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39" activeTab="3"/>
  </bookViews>
  <sheets>
    <sheet name="Printout" sheetId="2" r:id="rId1"/>
    <sheet name="TOTAL" sheetId="5" r:id="rId2"/>
    <sheet name="RECLASS" sheetId="6" r:id="rId3"/>
    <sheet name="Check" sheetId="4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C-GL" sheetId="46" r:id="rId30"/>
    <sheet name="TX-HPLR-GL " sheetId="2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3">Check!$A$1:$H$30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2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M1" i="44" l="1"/>
  <c r="O1" i="44"/>
  <c r="Q1" i="44"/>
  <c r="S1" i="44"/>
  <c r="U1" i="44"/>
  <c r="W1" i="44"/>
  <c r="Y1" i="44"/>
  <c r="AA1" i="44"/>
  <c r="AC1" i="44"/>
  <c r="AE1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X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P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K12" i="20"/>
  <c r="L12" i="20"/>
  <c r="M12" i="20"/>
  <c r="N12" i="20"/>
  <c r="P12" i="20"/>
  <c r="R12" i="20"/>
  <c r="S12" i="20"/>
  <c r="T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V23" i="20"/>
  <c r="W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V51" i="20"/>
  <c r="W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H31" i="4"/>
  <c r="B32" i="4"/>
  <c r="C32" i="4"/>
  <c r="D32" i="4"/>
  <c r="E32" i="4"/>
  <c r="F32" i="4"/>
  <c r="G32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V54" i="55"/>
  <c r="W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P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P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K39" i="36"/>
  <c r="D40" i="36"/>
  <c r="E40" i="36"/>
  <c r="F40" i="36"/>
  <c r="G40" i="36"/>
  <c r="H40" i="36"/>
  <c r="I40" i="36"/>
  <c r="K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E40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E74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V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E77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I11" i="6"/>
  <c r="AG11" i="6"/>
  <c r="D12" i="6"/>
  <c r="E12" i="6"/>
  <c r="W12" i="6"/>
  <c r="D13" i="6"/>
  <c r="E13" i="6"/>
  <c r="D14" i="6"/>
  <c r="E14" i="6"/>
  <c r="D15" i="6"/>
  <c r="E15" i="6"/>
  <c r="I15" i="6"/>
  <c r="W15" i="6"/>
  <c r="AG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I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I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W39" i="6"/>
  <c r="D40" i="6"/>
  <c r="E40" i="6"/>
  <c r="AG40" i="6"/>
  <c r="D41" i="6"/>
  <c r="E41" i="6"/>
  <c r="W41" i="6"/>
  <c r="Y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I54" i="6"/>
  <c r="AG54" i="6"/>
  <c r="D55" i="6"/>
  <c r="E55" i="6"/>
  <c r="G55" i="6"/>
  <c r="I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O74" i="6"/>
  <c r="Q74" i="6"/>
  <c r="W74" i="6"/>
  <c r="Y74" i="6"/>
  <c r="AA74" i="6"/>
  <c r="AC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I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R81" i="54"/>
  <c r="T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X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P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L27" i="46"/>
  <c r="M27" i="46"/>
  <c r="P27" i="46"/>
  <c r="Q27" i="46"/>
  <c r="D28" i="46"/>
  <c r="E28" i="46"/>
  <c r="F28" i="46"/>
  <c r="G28" i="46"/>
  <c r="O28" i="46"/>
  <c r="P28" i="46"/>
  <c r="Q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O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O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M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V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V35" i="28"/>
  <c r="W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W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Q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 cilco</t>
        </r>
      </text>
    </commen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1069500 is Devon Energy N75151.1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3058 is deal N70012.F</t>
        </r>
      </text>
    </comment>
    <comment ref="Y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qualitech pma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3/00 per roar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Savanah Foods</t>
        </r>
      </text>
    </comment>
    <comment ref="Q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
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4177 is columbia gas
3305 is Dayton
1370 is TVSG
3043 is Entergy
6056 offsets reclass from STG BOOK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Reliant Energy; Public Utilities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IM deals E07001.A and EK1331.3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M13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</t>
        </r>
      </text>
    </commen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Southern Union</t>
        </r>
      </text>
    </comment>
    <comment ref="Q6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prod serv.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Intra - Tx Deal N66370.1</t>
        </r>
      </text>
    </commen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Transport Desk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Q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bammel drip
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M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remove Liq PMA incorrectly included in Feb column
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12/99 per roar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M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12/99 per roar</t>
        </r>
      </text>
    </comment>
  </commentList>
</comments>
</file>

<file path=xl/comments11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<sst xmlns="http://schemas.openxmlformats.org/spreadsheetml/2006/main" count="6654" uniqueCount="227">
  <si>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</si>
  <si>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</si>
  <si>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</si>
  <si>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</si>
  <si>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</si>
  <si>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</si>
  <si>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</si>
  <si>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</si>
  <si>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</si>
  <si>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</si>
  <si>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</si>
  <si>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</si>
  <si>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</si>
  <si>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</si>
  <si>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</si>
  <si>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</si>
  <si>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</si>
  <si>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</si>
  <si>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</si>
  <si>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</si>
  <si>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</si>
  <si>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</si>
  <si>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</si>
  <si>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</si>
  <si>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</si>
  <si>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</si>
  <si>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</si>
  <si>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</si>
  <si>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</si>
  <si>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</si>
  <si>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</si>
  <si>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</si>
  <si>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</si>
  <si>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</si>
  <si>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</si>
  <si>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</si>
  <si>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</si>
  <si>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</si>
  <si>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</si>
  <si>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</si>
  <si>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</si>
  <si>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</si>
  <si>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</si>
  <si>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</si>
  <si>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</si>
  <si>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</si>
  <si>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</si>
  <si>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</si>
  <si>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</si>
  <si>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</si>
  <si>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</si>
  <si>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</si>
  <si>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</si>
  <si>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</si>
  <si>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</si>
  <si>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</si>
  <si>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</si>
  <si>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</si>
  <si>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</si>
  <si>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</si>
  <si>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</si>
  <si>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</si>
  <si>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</si>
  <si>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</si>
  <si>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</si>
  <si>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</si>
  <si>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</si>
  <si>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</si>
  <si>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</si>
  <si>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</si>
  <si>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</si>
  <si>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</si>
  <si>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</si>
  <si>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</si>
  <si>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</si>
  <si>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</si>
  <si>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</si>
  <si>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</si>
  <si>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</si>
  <si>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</si>
  <si>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</si>
  <si>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</si>
  <si>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</si>
  <si>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</si>
  <si>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</si>
  <si>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</si>
  <si>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</si>
  <si>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</si>
  <si>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</si>
  <si>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</si>
  <si>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</si>
  <si>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</si>
  <si>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</si>
  <si>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</si>
  <si>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</si>
  <si>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</si>
  <si>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</si>
  <si>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</si>
  <si>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</si>
  <si>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</si>
  <si>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</si>
  <si>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</si>
  <si>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</si>
  <si>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</si>
  <si>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</si>
  <si>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</si>
  <si>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</si>
  <si>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</si>
  <si>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</si>
  <si>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</si>
  <si>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</si>
  <si>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</si>
  <si>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</si>
  <si>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</si>
  <si>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</si>
  <si>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</si>
  <si>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</si>
  <si>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</si>
  <si>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</si>
  <si>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</si>
  <si>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</si>
  <si>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</si>
  <si>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</si>
  <si>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</si>
  <si>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</si>
  <si>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</si>
  <si>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</si>
  <si>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</si>
  <si>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</si>
  <si>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</si>
  <si>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</si>
  <si>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</si>
  <si>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</si>
  <si>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</si>
  <si>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</si>
  <si>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</si>
  <si>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</si>
  <si>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</si>
  <si>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</si>
  <si>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</si>
  <si>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</si>
  <si>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</si>
  <si>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</si>
  <si>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</si>
  <si>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</si>
  <si>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</si>
  <si>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</si>
  <si>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</si>
  <si>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</si>
  <si>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</si>
  <si>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</si>
  <si>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</si>
  <si>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</si>
  <si>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</si>
  <si>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</si>
  <si>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</si>
  <si>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</si>
  <si>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</si>
  <si>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</si>
  <si>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</si>
  <si>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</si>
  <si>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</si>
  <si>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</si>
  <si>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</si>
  <si>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</si>
  <si>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</si>
  <si>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</si>
  <si>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</si>
  <si>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</si>
  <si>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</si>
  <si>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</si>
  <si>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</si>
  <si>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</si>
  <si>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</si>
  <si>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</si>
  <si>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</si>
  <si>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</si>
  <si>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</si>
  <si>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</si>
  <si>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</si>
  <si>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</si>
  <si>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</si>
  <si>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</si>
  <si>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</si>
  <si>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</si>
  <si>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</si>
  <si>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</si>
  <si>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</si>
  <si>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</si>
  <si>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</si>
  <si>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</si>
  <si>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</si>
  <si>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</si>
  <si>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</si>
  <si>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</si>
  <si>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</si>
  <si>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</si>
  <si>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</si>
  <si>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January</t>
  </si>
  <si>
    <t>REGION:  DENVER</t>
  </si>
  <si>
    <t>Denver</t>
  </si>
  <si>
    <t>REGION: DENVER</t>
  </si>
  <si>
    <t>DENVER</t>
  </si>
  <si>
    <t>9912V</t>
  </si>
  <si>
    <t>9912A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</si>
  <si>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</si>
  <si>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</si>
  <si>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</si>
  <si>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</si>
  <si>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</si>
  <si>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</si>
  <si>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</si>
  <si>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</si>
  <si>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</si>
  <si>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</si>
  <si>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</si>
  <si>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PRODUCTION MONTH: 0001</t>
  </si>
  <si>
    <t>0001V</t>
  </si>
  <si>
    <t>0001A</t>
  </si>
  <si>
    <t>February</t>
  </si>
  <si>
    <t>March</t>
  </si>
  <si>
    <t>April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</si>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</sst>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8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65" fontId="24" fillId="0" borderId="2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7">
          <cell r="G57">
            <v>10466687.02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5">
          <cell r="B5">
            <v>3222000</v>
          </cell>
          <cell r="C5">
            <v>7551000</v>
          </cell>
          <cell r="D5">
            <v>-3743000</v>
          </cell>
          <cell r="E5">
            <v>478000</v>
          </cell>
          <cell r="G5">
            <v>3474000</v>
          </cell>
          <cell r="H5">
            <v>2827000</v>
          </cell>
          <cell r="I5">
            <v>-4000</v>
          </cell>
          <cell r="J5">
            <v>-56000</v>
          </cell>
          <cell r="K5">
            <v>532000</v>
          </cell>
          <cell r="L5">
            <v>6042000</v>
          </cell>
          <cell r="M5">
            <v>2719000</v>
          </cell>
          <cell r="N5">
            <v>119000</v>
          </cell>
          <cell r="O5">
            <v>666000</v>
          </cell>
          <cell r="P5">
            <v>-245000</v>
          </cell>
          <cell r="Q5">
            <v>-442000</v>
          </cell>
          <cell r="R5">
            <v>-63000</v>
          </cell>
          <cell r="S5">
            <v>-223000</v>
          </cell>
          <cell r="V5">
            <v>22854000</v>
          </cell>
        </row>
        <row r="22">
          <cell r="V22">
            <v>-4735745</v>
          </cell>
        </row>
        <row r="39">
          <cell r="B39">
            <v>3046247</v>
          </cell>
          <cell r="C39">
            <v>7401675</v>
          </cell>
          <cell r="D39">
            <v>-3743000</v>
          </cell>
          <cell r="E39">
            <v>478000</v>
          </cell>
          <cell r="G39">
            <v>3998724</v>
          </cell>
          <cell r="H39">
            <v>1832444</v>
          </cell>
          <cell r="I39">
            <v>-4000</v>
          </cell>
          <cell r="J39">
            <v>-56000</v>
          </cell>
          <cell r="K39">
            <v>532000</v>
          </cell>
          <cell r="L39">
            <v>3181094</v>
          </cell>
          <cell r="M39">
            <v>2204479</v>
          </cell>
          <cell r="N39">
            <v>120167</v>
          </cell>
          <cell r="O39">
            <v>629431</v>
          </cell>
          <cell r="P39">
            <v>-245000</v>
          </cell>
          <cell r="Q39">
            <v>-714184</v>
          </cell>
          <cell r="R39">
            <v>-63000</v>
          </cell>
          <cell r="S39">
            <v>-480822</v>
          </cell>
          <cell r="V39">
            <v>18118255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11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486237746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1159937374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472583147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1131213720.3200002</v>
      </c>
      <c r="H11" s="60">
        <f>F11-D11</f>
        <v>-13654599</v>
      </c>
      <c r="I11" s="38">
        <f>G11-E11</f>
        <v>-28723653.679999828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4964602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145372.03999999998</v>
      </c>
      <c r="H12" s="60">
        <f>F12-D12</f>
        <v>0</v>
      </c>
      <c r="I12" s="38">
        <f>G12-E12</f>
        <v>-4819229.96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232351716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646377598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234243648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653668315</v>
      </c>
      <c r="H13" s="60">
        <f t="shared" ref="H13:I15" si="0">F13-D13</f>
        <v>1891932</v>
      </c>
      <c r="I13" s="38">
        <f t="shared" si="0"/>
        <v>7290717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-496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10610859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26682620.950000003</v>
      </c>
      <c r="H15" s="60">
        <f t="shared" si="0"/>
        <v>0</v>
      </c>
      <c r="I15" s="38">
        <f t="shared" si="0"/>
        <v>16071761.950000003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718589462</v>
      </c>
      <c r="E16" s="39">
        <f t="shared" si="1"/>
        <v>1821889937</v>
      </c>
      <c r="F16" s="61">
        <f t="shared" si="1"/>
        <v>706826795</v>
      </c>
      <c r="G16" s="39">
        <f t="shared" si="1"/>
        <v>1811710028.3100002</v>
      </c>
      <c r="H16" s="61">
        <f t="shared" si="1"/>
        <v>-11762667</v>
      </c>
      <c r="I16" s="39">
        <f t="shared" si="1"/>
        <v>-10179908.689999826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-460693163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-1090477961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-447768762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-1047735679.73</v>
      </c>
      <c r="H19" s="60">
        <f>F19-D19</f>
        <v>12924401</v>
      </c>
      <c r="I19" s="38">
        <f>G19-E19</f>
        <v>42742281.269999981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-11533531.289999999</v>
      </c>
      <c r="H20" s="60">
        <f>F20-D20</f>
        <v>0</v>
      </c>
      <c r="I20" s="38">
        <f>G20-E20</f>
        <v>-11533531.289999999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-233178536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-647885082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-234243648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-649847764</v>
      </c>
      <c r="H21" s="60">
        <f t="shared" ref="H21:I23" si="2">F21-D21</f>
        <v>-1065112</v>
      </c>
      <c r="I21" s="38">
        <f t="shared" si="2"/>
        <v>-1962682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2677044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6717034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2694867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6329055.0239999993</v>
      </c>
      <c r="H23" s="60">
        <f t="shared" si="2"/>
        <v>17823</v>
      </c>
      <c r="I23" s="38">
        <f t="shared" si="2"/>
        <v>-387978.97600000072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-691194655</v>
      </c>
      <c r="E24" s="39">
        <f t="shared" si="3"/>
        <v>-1731646009</v>
      </c>
      <c r="F24" s="61">
        <f t="shared" si="3"/>
        <v>-679317543</v>
      </c>
      <c r="G24" s="39">
        <f t="shared" si="3"/>
        <v>-1702787919.9960001</v>
      </c>
      <c r="H24" s="61">
        <f t="shared" si="3"/>
        <v>11877112</v>
      </c>
      <c r="I24" s="39">
        <f t="shared" si="3"/>
        <v>28858089.003999982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91862022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215996358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47077031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111071663.3668</v>
      </c>
      <c r="H27" s="60">
        <f>F27-D27</f>
        <v>-44784991</v>
      </c>
      <c r="I27" s="38">
        <f>G27-E27</f>
        <v>-104924694.6332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-91086157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-214181338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-47043412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-110995113.38</v>
      </c>
      <c r="H28" s="60">
        <f>F28-D28</f>
        <v>44042745</v>
      </c>
      <c r="I28" s="38">
        <f>G28-E28</f>
        <v>103186224.62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775865</v>
      </c>
      <c r="E29" s="70">
        <f t="shared" si="4"/>
        <v>1815020</v>
      </c>
      <c r="F29" s="69">
        <f t="shared" si="4"/>
        <v>33619</v>
      </c>
      <c r="G29" s="70">
        <f t="shared" si="4"/>
        <v>76549.986800000072</v>
      </c>
      <c r="H29" s="69">
        <f t="shared" si="4"/>
        <v>-742246</v>
      </c>
      <c r="I29" s="70">
        <f t="shared" si="4"/>
        <v>-1738470.0131999999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-2137343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-5208429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4215247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10212869.780000001</v>
      </c>
      <c r="H32" s="60">
        <f>F32-D32</f>
        <v>6352590</v>
      </c>
      <c r="I32" s="38">
        <f>G32-E32</f>
        <v>15421298.780000001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407133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929952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-4084546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-3885128.29</v>
      </c>
      <c r="H33" s="60">
        <f t="shared" ref="H33:I35" si="5">F33-D33</f>
        <v>-4491679</v>
      </c>
      <c r="I33" s="38">
        <f t="shared" si="5"/>
        <v>-4815080.29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-816595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-1863552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4226804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1786124.0399999998</v>
      </c>
      <c r="H34" s="60">
        <f t="shared" si="5"/>
        <v>5043399</v>
      </c>
      <c r="I34" s="38">
        <f t="shared" si="5"/>
        <v>3649676.04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-523483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-1291028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-1521000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-3686579.28</v>
      </c>
      <c r="H35" s="60">
        <f t="shared" si="5"/>
        <v>-997517</v>
      </c>
      <c r="I35" s="38">
        <f t="shared" si="5"/>
        <v>-2395551.2799999998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-3070288</v>
      </c>
      <c r="E36" s="39">
        <f t="shared" si="6"/>
        <v>-7433057</v>
      </c>
      <c r="F36" s="61">
        <f t="shared" si="6"/>
        <v>2836505</v>
      </c>
      <c r="G36" s="39">
        <f t="shared" si="6"/>
        <v>4427286.2500000019</v>
      </c>
      <c r="H36" s="61">
        <f t="shared" si="6"/>
        <v>5906793</v>
      </c>
      <c r="I36" s="39">
        <f t="shared" si="6"/>
        <v>11860343.250000002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12448344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30327462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1531418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3185487.14</v>
      </c>
      <c r="H39" s="60">
        <f t="shared" ref="H39:I41" si="7">F39-D39</f>
        <v>-10916926</v>
      </c>
      <c r="I39" s="38">
        <f t="shared" si="7"/>
        <v>-27141974.859999999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-38681888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-72245430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-30097939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-44077488.689999998</v>
      </c>
      <c r="H40" s="60">
        <f t="shared" si="7"/>
        <v>8583949</v>
      </c>
      <c r="I40" s="38">
        <f t="shared" si="7"/>
        <v>28167941.310000002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-38681888</v>
      </c>
      <c r="E42" s="70">
        <f t="shared" si="8"/>
        <v>-72245430</v>
      </c>
      <c r="F42" s="69">
        <f t="shared" si="8"/>
        <v>-30097939</v>
      </c>
      <c r="G42" s="70">
        <f t="shared" si="8"/>
        <v>-44077488.689999998</v>
      </c>
      <c r="H42" s="69">
        <f t="shared" si="8"/>
        <v>8583949</v>
      </c>
      <c r="I42" s="70">
        <f t="shared" si="8"/>
        <v>28167941.310000002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-26233544</v>
      </c>
      <c r="E43" s="39">
        <f t="shared" si="9"/>
        <v>-41917968</v>
      </c>
      <c r="F43" s="61">
        <f t="shared" si="9"/>
        <v>-28566521</v>
      </c>
      <c r="G43" s="39">
        <f t="shared" si="9"/>
        <v>-40892001.549999997</v>
      </c>
      <c r="H43" s="61">
        <f t="shared" si="9"/>
        <v>-2332977</v>
      </c>
      <c r="I43" s="39">
        <f t="shared" si="9"/>
        <v>1025966.450000003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4326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113410.16</v>
      </c>
      <c r="H47" s="60">
        <f>F47-D47</f>
        <v>0</v>
      </c>
      <c r="I47" s="38">
        <f>G47-E47</f>
        <v>113410.16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1133160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2954769.3072397043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-1817181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-4480130.0349999983</v>
      </c>
      <c r="H49" s="60">
        <f>F49-D49</f>
        <v>-2950341</v>
      </c>
      <c r="I49" s="38">
        <f>G49-E49</f>
        <v>-7434899.3422397021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-2663681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-6685586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-2782905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-6554364.7640000004</v>
      </c>
      <c r="H51" s="60">
        <f>F51-D51</f>
        <v>-119224</v>
      </c>
      <c r="I51" s="38">
        <f>G51-E51</f>
        <v>131221.23599999957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-4906493.05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-294225387.89999998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-6737135.4900000002</v>
      </c>
      <c r="H54" s="60">
        <f>F54-D54</f>
        <v>-294225387.89999998</v>
      </c>
      <c r="I54" s="38">
        <f>G54-E54</f>
        <v>-1830642.4400000004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16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-15953698.539999999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-29161304.82</v>
      </c>
      <c r="H55" s="60">
        <f>F55-D55</f>
        <v>-16</v>
      </c>
      <c r="I55" s="38">
        <f>G55-E55</f>
        <v>-13207606.280000001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16</v>
      </c>
      <c r="E56" s="39">
        <f t="shared" si="10"/>
        <v>-20860191.59</v>
      </c>
      <c r="F56" s="61">
        <f t="shared" si="10"/>
        <v>-294225387.89999998</v>
      </c>
      <c r="G56" s="39">
        <f t="shared" si="10"/>
        <v>-35898440.310000002</v>
      </c>
      <c r="H56" s="61">
        <f t="shared" si="10"/>
        <v>-294225403.89999998</v>
      </c>
      <c r="I56" s="39">
        <f t="shared" si="10"/>
        <v>-15038248.720000003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2844445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-65989.340000000011</v>
      </c>
      <c r="H59" s="60">
        <f>F59-D59</f>
        <v>2844445</v>
      </c>
      <c r="I59" s="38">
        <f>G59-E59</f>
        <v>-65989.340000000011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954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300359</v>
      </c>
      <c r="H60" s="60">
        <f>F60-D60</f>
        <v>954</v>
      </c>
      <c r="I60" s="38">
        <f>G60-E60</f>
        <v>250359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2845399</v>
      </c>
      <c r="G61" s="70">
        <f t="shared" si="11"/>
        <v>234369.65999999997</v>
      </c>
      <c r="H61" s="69">
        <f t="shared" si="11"/>
        <v>2845399</v>
      </c>
      <c r="I61" s="70">
        <f t="shared" si="11"/>
        <v>184369.65999999997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55220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-24123340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-2933756.69</v>
      </c>
      <c r="H64" s="60">
        <f>F64-D64</f>
        <v>-24123340</v>
      </c>
      <c r="I64" s="38">
        <f>G64-E64</f>
        <v>-2988976.69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24123340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2913459.31</v>
      </c>
      <c r="H65" s="60">
        <f>F65-D65</f>
        <v>24123340</v>
      </c>
      <c r="I65" s="38">
        <f>G65-E65</f>
        <v>2913459.31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-20297.379999999888</v>
      </c>
      <c r="H66" s="61">
        <f t="shared" si="12"/>
        <v>0</v>
      </c>
      <c r="I66" s="39">
        <f t="shared" si="12"/>
        <v>-75517.379999999888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40326779.789599083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34984252.850000001</v>
      </c>
      <c r="H70" s="60">
        <f>F70-D70</f>
        <v>0</v>
      </c>
      <c r="I70" s="38">
        <f>G70-E70</f>
        <v>-5342526.9395990819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-29499400.814000003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-24156871.739999998</v>
      </c>
      <c r="H71" s="60">
        <f>F71-D71</f>
        <v>0</v>
      </c>
      <c r="I71" s="38">
        <f>G71-E71</f>
        <v>5342529.0740000047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10827378.97559908</v>
      </c>
      <c r="F72" s="69">
        <f t="shared" si="13"/>
        <v>0</v>
      </c>
      <c r="G72" s="70">
        <f t="shared" si="13"/>
        <v>10827381.110000003</v>
      </c>
      <c r="H72" s="69">
        <f t="shared" si="13"/>
        <v>0</v>
      </c>
      <c r="I72" s="70">
        <f t="shared" si="13"/>
        <v>2.1344009228050709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-541</v>
      </c>
      <c r="H73" s="60">
        <f>F73-D73</f>
        <v>0</v>
      </c>
      <c r="I73" s="38">
        <f>G73-E73</f>
        <v>-541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-4425815.2492999993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-7014972.2300000014</v>
      </c>
      <c r="H74" s="60">
        <f t="shared" ref="H74:I79" si="14">F74-D74</f>
        <v>0</v>
      </c>
      <c r="I74" s="38">
        <f t="shared" si="14"/>
        <v>-2589156.9807000021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733260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747400</v>
      </c>
      <c r="H75" s="60">
        <f t="shared" si="14"/>
        <v>0</v>
      </c>
      <c r="I75" s="38">
        <f t="shared" si="14"/>
        <v>14140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-39855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-34558.57</v>
      </c>
      <c r="H76" s="60">
        <f t="shared" si="14"/>
        <v>0</v>
      </c>
      <c r="I76" s="38">
        <f t="shared" si="14"/>
        <v>5296.43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-4414536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-3133217</v>
      </c>
      <c r="H77" s="60">
        <f t="shared" si="14"/>
        <v>0</v>
      </c>
      <c r="I77" s="38">
        <f t="shared" si="14"/>
        <v>1281319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844523.94499999995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845279</v>
      </c>
      <c r="H78" s="60">
        <f t="shared" si="14"/>
        <v>0</v>
      </c>
      <c r="I78" s="38">
        <f t="shared" si="14"/>
        <v>755.05500000005122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708059.94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-798054.94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-455702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-98257</v>
      </c>
      <c r="H80" s="60">
        <f>F80-D80</f>
        <v>0</v>
      </c>
      <c r="I80" s="38">
        <f>G80-E80</f>
        <v>357445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282470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-53985.55</v>
      </c>
      <c r="H81" s="60">
        <f>F81-D81</f>
        <v>0</v>
      </c>
      <c r="I81" s="38">
        <f>G81-E81</f>
        <v>-336455.55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22281919.328538742</v>
      </c>
      <c r="F82" s="91">
        <f>F16+F24+F29+F36+F43+F45+F47+F49</f>
        <v>0</v>
      </c>
      <c r="G82" s="92">
        <f>SUM(G72:G81)+G16+G24+G29+G36+G43+G45+G47+G49+G51+G56+G61+G66</f>
        <v>27923041.101800129</v>
      </c>
      <c r="H82" s="91">
        <f>H16+H24+H29+H36+H43+H45+H47+H49</f>
        <v>0</v>
      </c>
      <c r="I82" s="92">
        <f>SUM(I72:I81)+I16+I24+I29+I36+I43+I45+I47+I49+I51+I56+I61+I66</f>
        <v>5641121.7732613785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2816092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2819095.3200000003</v>
      </c>
      <c r="H86" s="145">
        <f t="shared" ref="H86:I88" si="15">F86-D86</f>
        <v>0</v>
      </c>
      <c r="I86" s="145">
        <f t="shared" si="15"/>
        <v>3003.320000000298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-9697</v>
      </c>
      <c r="H87" s="146">
        <f t="shared" si="15"/>
        <v>0</v>
      </c>
      <c r="I87" s="146">
        <f t="shared" si="15"/>
        <v>-9697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-2114953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-2147419</v>
      </c>
      <c r="H88" s="147">
        <f t="shared" si="15"/>
        <v>0</v>
      </c>
      <c r="I88" s="147">
        <f t="shared" si="15"/>
        <v>-32466</v>
      </c>
    </row>
    <row r="89" spans="1:9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701139</v>
      </c>
      <c r="F89" s="160">
        <f t="shared" si="16"/>
        <v>0</v>
      </c>
      <c r="G89" s="160">
        <f t="shared" si="16"/>
        <v>661979.3200000003</v>
      </c>
      <c r="H89" s="160">
        <f t="shared" si="16"/>
        <v>0</v>
      </c>
      <c r="I89" s="160">
        <f t="shared" si="16"/>
        <v>-39159.679999999702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22983058.328538742</v>
      </c>
      <c r="F91" s="160">
        <f t="shared" si="17"/>
        <v>0</v>
      </c>
      <c r="G91" s="160">
        <f t="shared" si="17"/>
        <v>28585020.421800129</v>
      </c>
      <c r="H91" s="160">
        <f t="shared" si="17"/>
        <v>0</v>
      </c>
      <c r="I91" s="160">
        <f t="shared" si="17"/>
        <v>5601962.0932613788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F34" activePane="bottomRight" state="frozen"/>
      <selection activeCell="D10" sqref="D10"/>
      <selection pane="topRight" activeCell="D10" sqref="D10"/>
      <selection pane="bottomLeft" activeCell="D10" sqref="D10"/>
      <selection pane="bottomRight" activeCell="H35" sqref="H35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0001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200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-18673828</v>
      </c>
      <c r="F11" s="60"/>
      <c r="G11" s="38">
        <v>0</v>
      </c>
      <c r="H11" s="60"/>
      <c r="I11" s="38">
        <f>-929671+201135+4177000+1770197+625394-29308</f>
        <v>5814747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265657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f>-24807112+3993609-3924785-15944</f>
        <v>-24754232</v>
      </c>
    </row>
    <row r="12" spans="1:33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-2165000</v>
      </c>
      <c r="F12" s="60"/>
      <c r="G12" s="38">
        <v>-1400000</v>
      </c>
      <c r="H12" s="60"/>
      <c r="I12" s="38">
        <v>0</v>
      </c>
      <c r="J12" s="60"/>
      <c r="K12" s="38">
        <v>170000</v>
      </c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-940000+5000</f>
        <v>-935000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-4668883</v>
      </c>
      <c r="F15" s="60"/>
      <c r="G15" s="38">
        <v>0</v>
      </c>
      <c r="H15" s="60"/>
      <c r="I15" s="38">
        <f>-10486107+929671-1770197+29308</f>
        <v>-11297325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>
        <f>940000-820000</f>
        <v>120000</v>
      </c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10486107-3993609+15944</f>
        <v>6508442</v>
      </c>
    </row>
    <row r="16" spans="1:33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-25507711</v>
      </c>
      <c r="F16" s="61">
        <f t="shared" si="1"/>
        <v>0</v>
      </c>
      <c r="G16" s="39">
        <f t="shared" si="1"/>
        <v>-1400000</v>
      </c>
      <c r="H16" s="61">
        <f t="shared" si="1"/>
        <v>0</v>
      </c>
      <c r="I16" s="39">
        <f t="shared" si="1"/>
        <v>-5482578</v>
      </c>
      <c r="J16" s="61">
        <f t="shared" si="1"/>
        <v>0</v>
      </c>
      <c r="K16" s="39">
        <f t="shared" si="1"/>
        <v>170000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-549343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-18245790</v>
      </c>
    </row>
    <row r="17" spans="1:3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5866359</v>
      </c>
      <c r="F19" s="60"/>
      <c r="G19" s="38">
        <v>-528798</v>
      </c>
      <c r="H19" s="60"/>
      <c r="I19" s="38">
        <f>2137655+1310-52644+528798</f>
        <v>2615119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>
        <v>-144747</v>
      </c>
      <c r="X19" s="60"/>
      <c r="Y19" s="38"/>
      <c r="Z19" s="60"/>
      <c r="AA19" s="38"/>
      <c r="AB19" s="60"/>
      <c r="AC19" s="38"/>
      <c r="AD19" s="60"/>
      <c r="AE19" s="38"/>
      <c r="AF19" s="60"/>
      <c r="AG19" s="38">
        <v>3924785</v>
      </c>
    </row>
    <row r="20" spans="1:33" x14ac:dyDescent="0.25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1400000</v>
      </c>
      <c r="F20" s="60"/>
      <c r="G20" s="38">
        <v>1400000</v>
      </c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5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7266359</v>
      </c>
      <c r="F24" s="61">
        <f t="shared" si="4"/>
        <v>0</v>
      </c>
      <c r="G24" s="39">
        <f t="shared" si="4"/>
        <v>871202</v>
      </c>
      <c r="H24" s="61">
        <f t="shared" si="4"/>
        <v>0</v>
      </c>
      <c r="I24" s="39">
        <f t="shared" si="4"/>
        <v>2615119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-144747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3924785</v>
      </c>
    </row>
    <row r="25" spans="1:3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6">
        <f t="shared" si="8"/>
        <v>-60039</v>
      </c>
      <c r="E35" s="66">
        <f t="shared" si="8"/>
        <v>-2453389</v>
      </c>
      <c r="F35" s="60"/>
      <c r="G35" s="38"/>
      <c r="H35" s="60">
        <v>0</v>
      </c>
      <c r="I35" s="38">
        <f>-2137655</f>
        <v>-2137655</v>
      </c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>
        <v>-60039</v>
      </c>
      <c r="AG35" s="38">
        <v>-315734</v>
      </c>
    </row>
    <row r="36" spans="1:33" x14ac:dyDescent="0.25">
      <c r="A36" s="9"/>
      <c r="B36" s="7" t="s">
        <v>43</v>
      </c>
      <c r="C36" s="6"/>
      <c r="D36" s="61">
        <f t="shared" ref="D36:I36" si="9">SUM(D32:D35)</f>
        <v>-60039</v>
      </c>
      <c r="E36" s="39">
        <f t="shared" si="9"/>
        <v>-2453389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-2137655</v>
      </c>
      <c r="J36" s="61">
        <f t="shared" ref="J36:Q36" si="10">SUM(J32:J34)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ref="R36:AG36" si="11">SUM(R32:R34)</f>
        <v>0</v>
      </c>
      <c r="S36" s="39">
        <f t="shared" si="11"/>
        <v>0</v>
      </c>
      <c r="T36" s="61">
        <f t="shared" si="11"/>
        <v>0</v>
      </c>
      <c r="U36" s="39">
        <f t="shared" si="11"/>
        <v>0</v>
      </c>
      <c r="V36" s="61">
        <f>SUM(V32:V34)</f>
        <v>0</v>
      </c>
      <c r="W36" s="39">
        <f>SUM(W32:W34)</f>
        <v>0</v>
      </c>
      <c r="X36" s="61">
        <f t="shared" si="11"/>
        <v>0</v>
      </c>
      <c r="Y36" s="39">
        <f t="shared" si="11"/>
        <v>0</v>
      </c>
      <c r="Z36" s="61">
        <f t="shared" si="11"/>
        <v>0</v>
      </c>
      <c r="AA36" s="39">
        <f t="shared" si="11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1"/>
        <v>0</v>
      </c>
      <c r="AG36" s="39">
        <f t="shared" si="11"/>
        <v>0</v>
      </c>
    </row>
    <row r="37" spans="1:3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6">
        <f t="shared" ref="D39:E41" si="12">F39+H39+J39+L39+N39+R39+T39+X39+Z39+AF39+P39+V39+AB39+AD39</f>
        <v>0</v>
      </c>
      <c r="E39" s="66">
        <f t="shared" si="12"/>
        <v>-120910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f>-265657+144747</f>
        <v>-120910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6">
        <f t="shared" si="12"/>
        <v>60039</v>
      </c>
      <c r="E40" s="66">
        <f t="shared" si="12"/>
        <v>25122846</v>
      </c>
      <c r="F40" s="60"/>
      <c r="G40" s="38"/>
      <c r="H40" s="60">
        <v>0</v>
      </c>
      <c r="I40" s="38">
        <v>0</v>
      </c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>
        <v>60039</v>
      </c>
      <c r="AG40" s="38">
        <f>24807112+315734</f>
        <v>25122846</v>
      </c>
    </row>
    <row r="41" spans="1:33" x14ac:dyDescent="0.25">
      <c r="A41" s="9">
        <v>19</v>
      </c>
      <c r="B41" s="7"/>
      <c r="C41" s="18" t="s">
        <v>47</v>
      </c>
      <c r="D41" s="66">
        <f t="shared" si="12"/>
        <v>0</v>
      </c>
      <c r="E41" s="66">
        <f t="shared" si="12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-146152+146152-196244+196244-291950</f>
        <v>-291950</v>
      </c>
      <c r="X41" s="60"/>
      <c r="Y41" s="38">
        <f>146152-146152+196244-196244+291950</f>
        <v>291950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5">
      <c r="A42" s="9"/>
      <c r="B42" s="7"/>
      <c r="C42" s="53" t="s">
        <v>48</v>
      </c>
      <c r="D42" s="61">
        <f t="shared" ref="D42:M42" si="13">SUM(D40:D41)</f>
        <v>60039</v>
      </c>
      <c r="E42" s="39">
        <f t="shared" si="13"/>
        <v>25122846</v>
      </c>
      <c r="F42" s="61">
        <f t="shared" si="13"/>
        <v>0</v>
      </c>
      <c r="G42" s="39">
        <f t="shared" si="13"/>
        <v>0</v>
      </c>
      <c r="H42" s="61">
        <f t="shared" si="13"/>
        <v>0</v>
      </c>
      <c r="I42" s="39">
        <f t="shared" si="13"/>
        <v>0</v>
      </c>
      <c r="J42" s="61">
        <f t="shared" si="13"/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ref="N42:AG42" si="14">SUM(N40:N41)</f>
        <v>0</v>
      </c>
      <c r="O42" s="39">
        <f t="shared" si="14"/>
        <v>0</v>
      </c>
      <c r="P42" s="61">
        <f>SUM(P40:P41)</f>
        <v>0</v>
      </c>
      <c r="Q42" s="39">
        <f>SUM(Q40:Q41)</f>
        <v>0</v>
      </c>
      <c r="R42" s="61">
        <f t="shared" si="14"/>
        <v>0</v>
      </c>
      <c r="S42" s="39">
        <f t="shared" si="14"/>
        <v>0</v>
      </c>
      <c r="T42" s="61">
        <f t="shared" si="14"/>
        <v>0</v>
      </c>
      <c r="U42" s="39">
        <f t="shared" si="14"/>
        <v>0</v>
      </c>
      <c r="V42" s="61">
        <f>SUM(V40:V41)</f>
        <v>0</v>
      </c>
      <c r="W42" s="39">
        <f>SUM(W40:W41)</f>
        <v>-291950</v>
      </c>
      <c r="X42" s="61">
        <f t="shared" si="14"/>
        <v>0</v>
      </c>
      <c r="Y42" s="39">
        <f t="shared" si="14"/>
        <v>291950</v>
      </c>
      <c r="Z42" s="61">
        <f t="shared" si="14"/>
        <v>0</v>
      </c>
      <c r="AA42" s="39">
        <f t="shared" si="14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4"/>
        <v>60039</v>
      </c>
      <c r="AG42" s="39">
        <f t="shared" si="14"/>
        <v>25122846</v>
      </c>
    </row>
    <row r="43" spans="1:33" ht="21" customHeight="1" x14ac:dyDescent="0.25">
      <c r="A43" s="9"/>
      <c r="B43" s="7" t="s">
        <v>49</v>
      </c>
      <c r="C43" s="6"/>
      <c r="D43" s="61">
        <f t="shared" ref="D43:M43" si="15">D42+D39</f>
        <v>60039</v>
      </c>
      <c r="E43" s="39">
        <f t="shared" si="15"/>
        <v>25001936</v>
      </c>
      <c r="F43" s="61">
        <f t="shared" si="15"/>
        <v>0</v>
      </c>
      <c r="G43" s="39">
        <f t="shared" si="15"/>
        <v>0</v>
      </c>
      <c r="H43" s="61">
        <f t="shared" si="15"/>
        <v>0</v>
      </c>
      <c r="I43" s="39">
        <f t="shared" si="15"/>
        <v>0</v>
      </c>
      <c r="J43" s="61">
        <f t="shared" si="15"/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ref="N43:AG43" si="16">N42+N39</f>
        <v>0</v>
      </c>
      <c r="O43" s="39">
        <f t="shared" si="16"/>
        <v>0</v>
      </c>
      <c r="P43" s="61">
        <f>P42+P39</f>
        <v>0</v>
      </c>
      <c r="Q43" s="39">
        <f>Q42+Q39</f>
        <v>0</v>
      </c>
      <c r="R43" s="61">
        <f t="shared" si="16"/>
        <v>0</v>
      </c>
      <c r="S43" s="39">
        <f t="shared" si="16"/>
        <v>0</v>
      </c>
      <c r="T43" s="61">
        <f t="shared" si="16"/>
        <v>0</v>
      </c>
      <c r="U43" s="39">
        <f t="shared" si="16"/>
        <v>0</v>
      </c>
      <c r="V43" s="61">
        <f>V42+V39</f>
        <v>0</v>
      </c>
      <c r="W43" s="39">
        <f>W42+W39</f>
        <v>-412860</v>
      </c>
      <c r="X43" s="61">
        <f t="shared" si="16"/>
        <v>0</v>
      </c>
      <c r="Y43" s="39">
        <f t="shared" si="16"/>
        <v>291950</v>
      </c>
      <c r="Z43" s="61">
        <f t="shared" si="16"/>
        <v>0</v>
      </c>
      <c r="AA43" s="39">
        <f t="shared" si="16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6"/>
        <v>60039</v>
      </c>
      <c r="AG43" s="39">
        <f t="shared" si="16"/>
        <v>25122846</v>
      </c>
    </row>
    <row r="44" spans="1:3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51334</v>
      </c>
      <c r="F54" s="60"/>
      <c r="G54" s="38"/>
      <c r="H54" s="60"/>
      <c r="I54" s="38">
        <f>54248+2646+356-1310+52644</f>
        <v>108584</v>
      </c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-54248-2646-356</f>
        <v>-57250</v>
      </c>
    </row>
    <row r="55" spans="1:33" x14ac:dyDescent="0.25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553015</v>
      </c>
      <c r="F55" s="60"/>
      <c r="G55" s="38">
        <f>97061-547047+97061-97061</f>
        <v>-449986</v>
      </c>
      <c r="H55" s="60"/>
      <c r="I55" s="38">
        <f>35136+2646</f>
        <v>37782</v>
      </c>
      <c r="J55" s="60"/>
      <c r="K55" s="38"/>
      <c r="L55" s="60"/>
      <c r="M55" s="38"/>
      <c r="N55" s="60"/>
      <c r="O55" s="38">
        <v>0</v>
      </c>
      <c r="P55" s="60"/>
      <c r="Q55" s="38">
        <v>362654</v>
      </c>
      <c r="R55" s="60"/>
      <c r="S55" s="38"/>
      <c r="T55" s="60"/>
      <c r="U55" s="38"/>
      <c r="V55" s="60"/>
      <c r="W55" s="38">
        <v>93300</v>
      </c>
      <c r="X55" s="60"/>
      <c r="Y55" s="38"/>
      <c r="Z55" s="60"/>
      <c r="AA55" s="38">
        <v>0</v>
      </c>
      <c r="AB55" s="60"/>
      <c r="AC55" s="38">
        <v>547047</v>
      </c>
      <c r="AD55" s="60"/>
      <c r="AE55" s="38"/>
      <c r="AF55" s="60"/>
      <c r="AG55" s="38">
        <f>-35136-2646</f>
        <v>-37782</v>
      </c>
    </row>
    <row r="56" spans="1:33" x14ac:dyDescent="0.25">
      <c r="A56" s="9"/>
      <c r="B56" s="7" t="s">
        <v>57</v>
      </c>
      <c r="C56" s="6"/>
      <c r="D56" s="61">
        <f t="shared" ref="D56:M56" si="17">SUM(D54:D55)</f>
        <v>0</v>
      </c>
      <c r="E56" s="39">
        <f t="shared" si="17"/>
        <v>604349</v>
      </c>
      <c r="F56" s="61">
        <f t="shared" si="17"/>
        <v>0</v>
      </c>
      <c r="G56" s="39">
        <f t="shared" si="17"/>
        <v>-449986</v>
      </c>
      <c r="H56" s="61">
        <f t="shared" si="17"/>
        <v>0</v>
      </c>
      <c r="I56" s="39">
        <f t="shared" si="17"/>
        <v>146366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ref="N56:AG56" si="18">SUM(N54:N55)</f>
        <v>0</v>
      </c>
      <c r="O56" s="39">
        <f t="shared" si="18"/>
        <v>0</v>
      </c>
      <c r="P56" s="61">
        <f>SUM(P54:P55)</f>
        <v>0</v>
      </c>
      <c r="Q56" s="39">
        <f>SUM(Q54:Q55)</f>
        <v>362654</v>
      </c>
      <c r="R56" s="61">
        <f t="shared" si="18"/>
        <v>0</v>
      </c>
      <c r="S56" s="39">
        <f t="shared" si="18"/>
        <v>0</v>
      </c>
      <c r="T56" s="61">
        <f t="shared" si="18"/>
        <v>0</v>
      </c>
      <c r="U56" s="39">
        <f t="shared" si="18"/>
        <v>0</v>
      </c>
      <c r="V56" s="61">
        <f>SUM(V54:V55)</f>
        <v>0</v>
      </c>
      <c r="W56" s="39">
        <f>SUM(W54:W55)</f>
        <v>93300</v>
      </c>
      <c r="X56" s="61">
        <f t="shared" si="18"/>
        <v>0</v>
      </c>
      <c r="Y56" s="39">
        <f t="shared" si="18"/>
        <v>0</v>
      </c>
      <c r="Z56" s="61">
        <f t="shared" si="18"/>
        <v>0</v>
      </c>
      <c r="AA56" s="39">
        <f t="shared" si="18"/>
        <v>0</v>
      </c>
      <c r="AB56" s="61">
        <f>SUM(AB54:AB55)</f>
        <v>0</v>
      </c>
      <c r="AC56" s="39">
        <f>SUM(AC54:AC55)</f>
        <v>547047</v>
      </c>
      <c r="AD56" s="61">
        <f>SUM(AD54:AD55)</f>
        <v>0</v>
      </c>
      <c r="AE56" s="39">
        <f>SUM(AE54:AE55)</f>
        <v>0</v>
      </c>
      <c r="AF56" s="61">
        <f t="shared" si="18"/>
        <v>0</v>
      </c>
      <c r="AG56" s="39">
        <f t="shared" si="18"/>
        <v>-95032</v>
      </c>
    </row>
    <row r="57" spans="1:33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-170000</v>
      </c>
      <c r="F59" s="60"/>
      <c r="G59" s="38"/>
      <c r="H59" s="60"/>
      <c r="I59" s="38"/>
      <c r="J59" s="60"/>
      <c r="K59" s="38">
        <v>-170000</v>
      </c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5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M61" si="19">SUM(D59:D60)</f>
        <v>0</v>
      </c>
      <c r="E61" s="39">
        <f t="shared" si="19"/>
        <v>-170000</v>
      </c>
      <c r="F61" s="61">
        <f t="shared" si="19"/>
        <v>0</v>
      </c>
      <c r="G61" s="39">
        <f t="shared" si="19"/>
        <v>0</v>
      </c>
      <c r="H61" s="61">
        <f t="shared" si="19"/>
        <v>0</v>
      </c>
      <c r="I61" s="39">
        <f t="shared" si="19"/>
        <v>0</v>
      </c>
      <c r="J61" s="61">
        <f t="shared" si="19"/>
        <v>0</v>
      </c>
      <c r="K61" s="39">
        <f t="shared" si="19"/>
        <v>-170000</v>
      </c>
      <c r="L61" s="61">
        <f t="shared" si="19"/>
        <v>0</v>
      </c>
      <c r="M61" s="39">
        <f t="shared" si="19"/>
        <v>0</v>
      </c>
      <c r="N61" s="61">
        <f t="shared" ref="N61:AG61" si="20">SUM(N59:N60)</f>
        <v>0</v>
      </c>
      <c r="O61" s="39">
        <f t="shared" si="20"/>
        <v>0</v>
      </c>
      <c r="P61" s="61">
        <f>SUM(P59:P60)</f>
        <v>0</v>
      </c>
      <c r="Q61" s="39">
        <f>SUM(Q59:Q60)</f>
        <v>0</v>
      </c>
      <c r="R61" s="61">
        <f t="shared" si="20"/>
        <v>0</v>
      </c>
      <c r="S61" s="39">
        <f t="shared" si="20"/>
        <v>0</v>
      </c>
      <c r="T61" s="61">
        <f t="shared" si="20"/>
        <v>0</v>
      </c>
      <c r="U61" s="39">
        <f t="shared" si="20"/>
        <v>0</v>
      </c>
      <c r="V61" s="61">
        <f>SUM(V59:V60)</f>
        <v>0</v>
      </c>
      <c r="W61" s="39">
        <f>SUM(W59:W60)</f>
        <v>0</v>
      </c>
      <c r="X61" s="61">
        <f t="shared" si="20"/>
        <v>0</v>
      </c>
      <c r="Y61" s="39">
        <f t="shared" si="20"/>
        <v>0</v>
      </c>
      <c r="Z61" s="61">
        <f t="shared" si="20"/>
        <v>0</v>
      </c>
      <c r="AA61" s="39">
        <f t="shared" si="20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20"/>
        <v>0</v>
      </c>
      <c r="AG61" s="39">
        <f t="shared" si="20"/>
        <v>0</v>
      </c>
    </row>
    <row r="62" spans="1:33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M66" si="21">SUM(D64:D65)</f>
        <v>0</v>
      </c>
      <c r="E66" s="39">
        <f t="shared" si="21"/>
        <v>0</v>
      </c>
      <c r="F66" s="61">
        <f t="shared" si="21"/>
        <v>0</v>
      </c>
      <c r="G66" s="39">
        <f t="shared" si="21"/>
        <v>0</v>
      </c>
      <c r="H66" s="61">
        <f t="shared" si="21"/>
        <v>0</v>
      </c>
      <c r="I66" s="39">
        <f t="shared" si="21"/>
        <v>0</v>
      </c>
      <c r="J66" s="61">
        <f t="shared" si="21"/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ref="N66:AG66" si="22">SUM(N64:N65)</f>
        <v>0</v>
      </c>
      <c r="O66" s="39">
        <f t="shared" si="22"/>
        <v>0</v>
      </c>
      <c r="P66" s="61">
        <f>SUM(P64:P65)</f>
        <v>0</v>
      </c>
      <c r="Q66" s="39">
        <f>SUM(Q64:Q65)</f>
        <v>0</v>
      </c>
      <c r="R66" s="61">
        <f t="shared" si="22"/>
        <v>0</v>
      </c>
      <c r="S66" s="39">
        <f t="shared" si="22"/>
        <v>0</v>
      </c>
      <c r="T66" s="61">
        <f t="shared" si="22"/>
        <v>0</v>
      </c>
      <c r="U66" s="39">
        <f t="shared" si="22"/>
        <v>0</v>
      </c>
      <c r="V66" s="61">
        <f>SUM(V64:V65)</f>
        <v>0</v>
      </c>
      <c r="W66" s="39">
        <f>SUM(W64:W65)</f>
        <v>0</v>
      </c>
      <c r="X66" s="61">
        <f t="shared" si="22"/>
        <v>0</v>
      </c>
      <c r="Y66" s="39">
        <f t="shared" si="22"/>
        <v>0</v>
      </c>
      <c r="Z66" s="61">
        <f t="shared" si="22"/>
        <v>0</v>
      </c>
      <c r="AA66" s="39">
        <f t="shared" si="22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2"/>
        <v>0</v>
      </c>
      <c r="AG66" s="39">
        <f t="shared" si="22"/>
        <v>0</v>
      </c>
    </row>
    <row r="67" spans="1:3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5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5">
      <c r="A72" s="9"/>
      <c r="B72" s="3"/>
      <c r="C72" s="55" t="s">
        <v>69</v>
      </c>
      <c r="D72" s="61">
        <f t="shared" ref="D72:M72" si="23">SUM(D70:D71)</f>
        <v>0</v>
      </c>
      <c r="E72" s="39">
        <f t="shared" si="23"/>
        <v>0</v>
      </c>
      <c r="F72" s="61">
        <f t="shared" si="23"/>
        <v>0</v>
      </c>
      <c r="G72" s="39">
        <f t="shared" si="23"/>
        <v>0</v>
      </c>
      <c r="H72" s="61">
        <f t="shared" si="23"/>
        <v>0</v>
      </c>
      <c r="I72" s="39">
        <f t="shared" si="23"/>
        <v>0</v>
      </c>
      <c r="J72" s="61">
        <f t="shared" si="23"/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ref="N72:AG72" si="24">SUM(N70:N71)</f>
        <v>0</v>
      </c>
      <c r="O72" s="39">
        <f t="shared" si="24"/>
        <v>0</v>
      </c>
      <c r="P72" s="61">
        <f>SUM(P70:P71)</f>
        <v>0</v>
      </c>
      <c r="Q72" s="39">
        <f>SUM(Q70:Q71)</f>
        <v>0</v>
      </c>
      <c r="R72" s="61">
        <f t="shared" si="24"/>
        <v>0</v>
      </c>
      <c r="S72" s="39">
        <f t="shared" si="24"/>
        <v>0</v>
      </c>
      <c r="T72" s="61">
        <f t="shared" si="24"/>
        <v>0</v>
      </c>
      <c r="U72" s="39">
        <f t="shared" si="24"/>
        <v>0</v>
      </c>
      <c r="V72" s="61">
        <f>SUM(V70:V71)</f>
        <v>0</v>
      </c>
      <c r="W72" s="39">
        <f>SUM(W70:W71)</f>
        <v>0</v>
      </c>
      <c r="X72" s="61">
        <f t="shared" si="24"/>
        <v>0</v>
      </c>
      <c r="Y72" s="39">
        <f t="shared" si="24"/>
        <v>0</v>
      </c>
      <c r="Z72" s="61">
        <f t="shared" si="24"/>
        <v>0</v>
      </c>
      <c r="AA72" s="39">
        <f t="shared" si="24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4"/>
        <v>0</v>
      </c>
      <c r="AG72" s="39">
        <f t="shared" si="24"/>
        <v>0</v>
      </c>
    </row>
    <row r="73" spans="1:33" x14ac:dyDescent="0.25">
      <c r="A73" s="9">
        <v>32</v>
      </c>
      <c r="B73" s="3"/>
      <c r="C73" s="10" t="s">
        <v>70</v>
      </c>
      <c r="D73" s="66">
        <f t="shared" ref="D73:D81" si="25">F73+H73+J73+L73+N73+R73+T73+X73+Z73+AF73+P73+V73+AB73+AD73</f>
        <v>0</v>
      </c>
      <c r="E73" s="66">
        <f t="shared" ref="E73:E81" si="26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6">
        <f t="shared" si="25"/>
        <v>0</v>
      </c>
      <c r="E74" s="66">
        <f t="shared" si="26"/>
        <v>-4899455</v>
      </c>
      <c r="F74" s="60"/>
      <c r="G74" s="38">
        <f>930794-280150-163880-100000+75000+26765-3058087-97061-97061-150000+97061</f>
        <v>-2816619</v>
      </c>
      <c r="H74" s="60"/>
      <c r="I74" s="38">
        <f>-142200-75000-6056175-4177000-625394+150000</f>
        <v>-10925769</v>
      </c>
      <c r="J74" s="60"/>
      <c r="K74" s="38"/>
      <c r="L74" s="60"/>
      <c r="M74" s="38"/>
      <c r="N74" s="60"/>
      <c r="O74" s="38">
        <f>91764-183528</f>
        <v>-91764</v>
      </c>
      <c r="P74" s="60"/>
      <c r="Q74" s="38">
        <f>-91764+183528</f>
        <v>91764</v>
      </c>
      <c r="R74" s="60"/>
      <c r="S74" s="38"/>
      <c r="T74" s="60"/>
      <c r="U74" s="38">
        <v>0</v>
      </c>
      <c r="V74" s="60"/>
      <c r="W74" s="38">
        <f>142200+100000-56790</f>
        <v>185410</v>
      </c>
      <c r="X74" s="60"/>
      <c r="Y74" s="38">
        <f>56790+6056175+3058087</f>
        <v>9171052</v>
      </c>
      <c r="Z74" s="60"/>
      <c r="AA74" s="38">
        <f>163880-26765</f>
        <v>137115</v>
      </c>
      <c r="AB74" s="60"/>
      <c r="AC74" s="38">
        <f>-930794+280150</f>
        <v>-650644</v>
      </c>
      <c r="AD74" s="60"/>
      <c r="AE74" s="38">
        <v>0</v>
      </c>
      <c r="AF74" s="60"/>
      <c r="AG74" s="38">
        <v>0</v>
      </c>
    </row>
    <row r="75" spans="1:33" x14ac:dyDescent="0.25">
      <c r="A75" s="9">
        <v>34</v>
      </c>
      <c r="B75" s="3"/>
      <c r="C75" s="10" t="s">
        <v>72</v>
      </c>
      <c r="D75" s="66">
        <f t="shared" si="25"/>
        <v>0</v>
      </c>
      <c r="E75" s="66">
        <f t="shared" si="26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5">
      <c r="A76" s="9">
        <v>35</v>
      </c>
      <c r="B76" s="3"/>
      <c r="C76" s="10" t="s">
        <v>73</v>
      </c>
      <c r="D76" s="66">
        <f t="shared" si="25"/>
        <v>0</v>
      </c>
      <c r="E76" s="66">
        <f t="shared" si="26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6">
        <f t="shared" si="25"/>
        <v>0</v>
      </c>
      <c r="E77" s="66">
        <f t="shared" si="26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5">
      <c r="A78" s="9">
        <v>37</v>
      </c>
      <c r="B78" s="3"/>
      <c r="C78" s="10" t="s">
        <v>75</v>
      </c>
      <c r="D78" s="66">
        <f t="shared" si="25"/>
        <v>0</v>
      </c>
      <c r="E78" s="66">
        <f t="shared" si="26"/>
        <v>845279</v>
      </c>
      <c r="F78" s="60"/>
      <c r="G78" s="38"/>
      <c r="H78" s="60"/>
      <c r="I78" s="38">
        <v>25279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>
        <v>820000</v>
      </c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6">
        <f t="shared" si="25"/>
        <v>0</v>
      </c>
      <c r="E79" s="66">
        <f t="shared" si="26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6">
        <f t="shared" si="25"/>
        <v>0</v>
      </c>
      <c r="E80" s="66">
        <f t="shared" si="26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6">
        <f t="shared" si="25"/>
        <v>0</v>
      </c>
      <c r="E81" s="66">
        <f t="shared" si="26"/>
        <v>-589068</v>
      </c>
      <c r="F81" s="60"/>
      <c r="G81" s="38"/>
      <c r="H81" s="60"/>
      <c r="I81" s="38">
        <f>-201135-25279</f>
        <v>-226414</v>
      </c>
      <c r="J81" s="60"/>
      <c r="K81" s="38"/>
      <c r="L81" s="60"/>
      <c r="M81" s="38"/>
      <c r="N81" s="60"/>
      <c r="O81" s="38"/>
      <c r="P81" s="60"/>
      <c r="Q81" s="38">
        <v>-362654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-3795403</v>
      </c>
      <c r="H82" s="91">
        <f>H16+H24+H29+H36+H43+H45+H47+H49</f>
        <v>0</v>
      </c>
      <c r="I82" s="92">
        <f>SUM(I72:I81)+I16+I24+I29+I36+I43+I45+I47+I49+I51+I56+I61+I66</f>
        <v>-15985652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-91764</v>
      </c>
      <c r="P82" s="91">
        <f>P16+P24+P29+P36+P43+P45+P47+P49</f>
        <v>0</v>
      </c>
      <c r="Q82" s="92">
        <f>SUM(Q72:Q81)+Q16+Q24+Q29+Q36+Q43+Q45+Q47+Q49+Q51+Q56+Q61+Q66</f>
        <v>91764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-926540</v>
      </c>
      <c r="X82" s="91">
        <f>X16+X24+X29+X36+X43+X45+X47+X49</f>
        <v>0</v>
      </c>
      <c r="Y82" s="92">
        <f>SUM(Y72:Y81)+Y16+Y24+Y29+Y36+Y43+Y45+Y47+Y49+Y51+Y56+Y61+Y66</f>
        <v>10283002</v>
      </c>
      <c r="Z82" s="91">
        <f>Z16+Z24+Z29+Z36+Z43+Z45+Z47+Z49</f>
        <v>0</v>
      </c>
      <c r="AA82" s="92">
        <f>SUM(AA72:AA81)+AA16+AA24+AA29+AA36+AA43+AA45+AA47+AA49+AA51+AA56+AA61+AA66</f>
        <v>137115</v>
      </c>
      <c r="AB82" s="91">
        <f>AB16+AB24+AB29+AB36+AB43+AB45+AB47+AB49</f>
        <v>0</v>
      </c>
      <c r="AC82" s="92">
        <f>SUM(AC72:AC81)+AC16+AC24+AC29+AC36+AC43+AC45+AC47+AC49+AC51+AC56+AC61+AC66</f>
        <v>-103597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60039</v>
      </c>
      <c r="AG82" s="92">
        <f>SUM(AG72:AG81)+AG16+AG24+AG29+AG36+AG43+AG45+AG47+AG49+AG51+AG56+AG61+AG66</f>
        <v>10706809</v>
      </c>
      <c r="AH82" s="96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M84" s="45"/>
    </row>
    <row r="85" spans="1:34" x14ac:dyDescent="0.25">
      <c r="A85" s="4"/>
      <c r="B85" s="3"/>
      <c r="U85" s="45"/>
      <c r="W85" s="45"/>
    </row>
    <row r="86" spans="1:34" x14ac:dyDescent="0.25">
      <c r="A86" s="4"/>
      <c r="B86" s="3"/>
    </row>
    <row r="87" spans="1:34" x14ac:dyDescent="0.25">
      <c r="A87" s="4"/>
      <c r="B87" s="3"/>
    </row>
    <row r="88" spans="1:34" x14ac:dyDescent="0.25">
      <c r="A88" s="4"/>
      <c r="B88" s="3"/>
    </row>
    <row r="89" spans="1:34" x14ac:dyDescent="0.25">
      <c r="A89" s="4"/>
      <c r="B89" s="3"/>
    </row>
    <row r="90" spans="1:34" x14ac:dyDescent="0.25">
      <c r="A90" s="4"/>
      <c r="B90" s="3"/>
    </row>
    <row r="91" spans="1:34" x14ac:dyDescent="0.25">
      <c r="A91" s="4"/>
      <c r="B91" s="3"/>
    </row>
    <row r="92" spans="1:34" x14ac:dyDescent="0.25">
      <c r="A92" s="4"/>
      <c r="B92" s="3"/>
    </row>
    <row r="93" spans="1:34" x14ac:dyDescent="0.25">
      <c r="A93" s="4"/>
      <c r="B93" s="3"/>
    </row>
    <row r="94" spans="1:34" x14ac:dyDescent="0.25">
      <c r="A94" s="4"/>
      <c r="B94" s="3"/>
    </row>
    <row r="95" spans="1:34" x14ac:dyDescent="0.25">
      <c r="A95" s="4"/>
      <c r="B95" s="3"/>
    </row>
    <row r="96" spans="1:34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V88"/>
  <sheetViews>
    <sheetView tabSelected="1" topLeftCell="A3" zoomScale="75" workbookViewId="0">
      <pane xSplit="1" ySplit="8" topLeftCell="C11" activePane="bottomRight" state="frozen"/>
      <selection activeCell="V65" sqref="V65"/>
      <selection pane="topRight" activeCell="V65" sqref="V65"/>
      <selection pane="bottomLeft" activeCell="V65" sqref="V65"/>
      <selection pane="bottomRight" activeCell="E16" sqref="E16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  <col min="24" max="41" width="0" hidden="1" customWidth="1"/>
  </cols>
  <sheetData>
    <row r="1" spans="1:22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22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22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22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22" s="33" customFormat="1" x14ac:dyDescent="0.25">
      <c r="A5" s="5" t="s">
        <v>216</v>
      </c>
      <c r="B5" s="50"/>
      <c r="C5" s="50"/>
      <c r="D5" s="50"/>
      <c r="E5" s="50"/>
      <c r="F5" s="50"/>
      <c r="G5" s="50"/>
      <c r="H5" s="50"/>
    </row>
    <row r="8" spans="1:22" x14ac:dyDescent="0.25">
      <c r="V8" t="s">
        <v>225</v>
      </c>
    </row>
    <row r="9" spans="1:22" ht="13.8" thickBot="1" x14ac:dyDescent="0.3"/>
    <row r="10" spans="1:22" s="87" customFormat="1" ht="36.6" thickBot="1" x14ac:dyDescent="0.4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22" x14ac:dyDescent="0.25">
      <c r="A11" s="101" t="s">
        <v>13</v>
      </c>
      <c r="B11" s="124">
        <f>'CE-FLSH'!$M$82</f>
        <v>3221380.6430000141</v>
      </c>
      <c r="C11" s="65">
        <f t="shared" ref="C11:C27" si="0">+D11-B11</f>
        <v>619.3569999858737</v>
      </c>
      <c r="D11" s="124">
        <f>+'[2]ST Warroom 99'!$B$5</f>
        <v>3222000</v>
      </c>
      <c r="E11" s="124">
        <f>+F11-D11</f>
        <v>-175753</v>
      </c>
      <c r="F11" s="124">
        <f>+'[2]ST Warroom 99'!$B$39</f>
        <v>3046247</v>
      </c>
      <c r="G11" s="168">
        <f>CE_GL!$E$82</f>
        <v>6496557.652000038</v>
      </c>
      <c r="H11" s="107">
        <f t="shared" ref="H11:H28" si="1">G11-F11</f>
        <v>3450310.652000038</v>
      </c>
      <c r="I11" s="31"/>
      <c r="J11" s="31"/>
    </row>
    <row r="12" spans="1:22" x14ac:dyDescent="0.25">
      <c r="A12" s="101" t="s">
        <v>195</v>
      </c>
      <c r="B12" s="124">
        <f>'SITHE-FLSH'!$M$82</f>
        <v>271897.66353996878</v>
      </c>
      <c r="C12" s="65">
        <f>+D12-B12</f>
        <v>-152897.66353996878</v>
      </c>
      <c r="D12" s="124">
        <f>+'[2]ST Warroom 99'!$N$5</f>
        <v>119000</v>
      </c>
      <c r="E12" s="124">
        <f>+F12-D12</f>
        <v>1167</v>
      </c>
      <c r="F12" s="124">
        <f>+'[2]ST Warroom 99'!$N$39</f>
        <v>120167</v>
      </c>
      <c r="G12" s="168">
        <f>SITHE_GL!$E$82</f>
        <v>-21736.918999998947</v>
      </c>
      <c r="H12" s="107">
        <f>G12-F12</f>
        <v>-141903.91899999895</v>
      </c>
      <c r="I12" s="31"/>
      <c r="J12" s="31"/>
    </row>
    <row r="13" spans="1:22" x14ac:dyDescent="0.25">
      <c r="A13" s="101" t="s">
        <v>189</v>
      </c>
      <c r="B13" s="124">
        <f>'ARUBA-FLSH'!$M$82</f>
        <v>-442333.36262470006</v>
      </c>
      <c r="C13" s="65">
        <f>+D13-B13</f>
        <v>333.36262470006477</v>
      </c>
      <c r="D13" s="124">
        <f>+'[2]ST Warroom 99'!$Q$5</f>
        <v>-442000</v>
      </c>
      <c r="E13" s="124">
        <f>+F13-D13</f>
        <v>-272184</v>
      </c>
      <c r="F13" s="124">
        <f>+'[2]ST Warroom 99'!$Q$39</f>
        <v>-714184</v>
      </c>
      <c r="G13" s="168">
        <f>ARUBA_GL!$E$82</f>
        <v>-727312.22600001423</v>
      </c>
      <c r="H13" s="107">
        <f>G13-F13</f>
        <v>-13128.226000014227</v>
      </c>
      <c r="I13" s="31"/>
      <c r="J13" s="31"/>
    </row>
    <row r="14" spans="1:22" x14ac:dyDescent="0.25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22" x14ac:dyDescent="0.25">
      <c r="A15" s="101" t="s">
        <v>156</v>
      </c>
      <c r="B15" s="123">
        <f>'BGC-EGM-FLSH'!$M$82+'EAST-EGM-FLSH'!M82</f>
        <v>7528788.2751381285</v>
      </c>
      <c r="C15" s="65">
        <f t="shared" si="0"/>
        <v>22211.724861871451</v>
      </c>
      <c r="D15" s="123">
        <f>+'[2]ST Warroom 99'!$C$5</f>
        <v>7551000</v>
      </c>
      <c r="E15" s="124">
        <f t="shared" si="2"/>
        <v>-149325</v>
      </c>
      <c r="F15" s="123">
        <f>+'[2]ST Warroom 99'!$C$39</f>
        <v>7401675</v>
      </c>
      <c r="G15" s="168">
        <f>'BGC-EGM-GL'!$E$82+'EAST-EGM-GL'!E82</f>
        <v>8476278.0990000013</v>
      </c>
      <c r="H15" s="107">
        <f t="shared" si="1"/>
        <v>1074603.0990000013</v>
      </c>
      <c r="I15" s="31"/>
      <c r="J15" s="31"/>
    </row>
    <row r="16" spans="1:22" x14ac:dyDescent="0.25">
      <c r="A16" s="101" t="s">
        <v>157</v>
      </c>
      <c r="B16" s="123">
        <f>'EAST-LRC-FLSH'!$M$82</f>
        <v>-3743312.0742380759</v>
      </c>
      <c r="C16" s="65">
        <f t="shared" si="0"/>
        <v>312.07423807587475</v>
      </c>
      <c r="D16" s="123">
        <f>+'[2]ST Warroom 99'!$D$5</f>
        <v>-3743000</v>
      </c>
      <c r="E16" s="124">
        <f t="shared" si="2"/>
        <v>0</v>
      </c>
      <c r="F16" s="123">
        <f>+'[2]ST Warroom 99'!$D$39</f>
        <v>-3743000</v>
      </c>
      <c r="G16" s="168">
        <f>'EAST-LRC-GL'!$E$82</f>
        <v>1275844.9199999967</v>
      </c>
      <c r="H16" s="107">
        <f t="shared" si="1"/>
        <v>5018844.9199999962</v>
      </c>
      <c r="I16" s="31"/>
      <c r="J16" s="31"/>
    </row>
    <row r="17" spans="1:10" x14ac:dyDescent="0.25">
      <c r="A17" s="101" t="s">
        <v>164</v>
      </c>
      <c r="B17" s="123">
        <f>+'EAST-EGM-FLSH'!M89</f>
        <v>477104</v>
      </c>
      <c r="C17" s="65">
        <f t="shared" si="0"/>
        <v>896</v>
      </c>
      <c r="D17" s="123">
        <f>+'[2]ST Warroom 99'!$E$5</f>
        <v>478000</v>
      </c>
      <c r="E17" s="124">
        <f t="shared" si="2"/>
        <v>0</v>
      </c>
      <c r="F17" s="123">
        <f>+'[2]ST Warroom 99'!$E$39</f>
        <v>478000</v>
      </c>
      <c r="G17" s="168">
        <f>+'EAST-EGM-GL'!E89</f>
        <v>477103</v>
      </c>
      <c r="H17" s="107">
        <f t="shared" si="1"/>
        <v>-897</v>
      </c>
      <c r="I17" s="31"/>
      <c r="J17" s="31"/>
    </row>
    <row r="18" spans="1:10" x14ac:dyDescent="0.25">
      <c r="A18" s="101" t="s">
        <v>16</v>
      </c>
      <c r="B18" s="123">
        <f>'TX-EGM-FLSH'!$M$82</f>
        <v>2827021.6329189576</v>
      </c>
      <c r="C18" s="65">
        <f t="shared" si="0"/>
        <v>-21.632918957620859</v>
      </c>
      <c r="D18" s="123">
        <f>+'[2]ST Warroom 99'!$H$5</f>
        <v>2827000</v>
      </c>
      <c r="E18" s="124">
        <f t="shared" si="2"/>
        <v>-994556</v>
      </c>
      <c r="F18" s="123">
        <f>+'[2]ST Warroom 99'!$H$39</f>
        <v>1832444</v>
      </c>
      <c r="G18" s="168">
        <f>'TX-EGM-GL'!$E$91</f>
        <v>1173938.7440000151</v>
      </c>
      <c r="H18" s="107">
        <f t="shared" si="1"/>
        <v>-658505.25599998492</v>
      </c>
      <c r="I18" s="31"/>
      <c r="J18" s="31"/>
    </row>
    <row r="19" spans="1:10" x14ac:dyDescent="0.25">
      <c r="A19" s="101" t="s">
        <v>182</v>
      </c>
      <c r="B19" s="123">
        <f>'TX-HPLR-FLSH'!$M$82</f>
        <v>-4367.5629122105311</v>
      </c>
      <c r="C19" s="65">
        <f t="shared" si="0"/>
        <v>367.56291221053107</v>
      </c>
      <c r="D19" s="123">
        <f>+'[2]ST Warroom 99'!$I$5</f>
        <v>-4000</v>
      </c>
      <c r="E19" s="124">
        <f t="shared" si="2"/>
        <v>0</v>
      </c>
      <c r="F19" s="123">
        <f>+'[2]ST Warroom 99'!$I$39</f>
        <v>-4000</v>
      </c>
      <c r="G19" s="168">
        <f>'TX-HPLR-GL '!$E$82</f>
        <v>-10064.483199999959</v>
      </c>
      <c r="H19" s="107">
        <f t="shared" si="1"/>
        <v>-6064.4831999999587</v>
      </c>
      <c r="I19" s="31"/>
      <c r="J19" s="31"/>
    </row>
    <row r="20" spans="1:10" x14ac:dyDescent="0.25">
      <c r="A20" s="101" t="s">
        <v>183</v>
      </c>
      <c r="B20" s="123">
        <f>'TX-HPLC-FLSH'!$M$82</f>
        <v>-55509.348336984171</v>
      </c>
      <c r="C20" s="65">
        <f t="shared" si="0"/>
        <v>-490.6516630158294</v>
      </c>
      <c r="D20" s="123">
        <f>+'[2]ST Warroom 99'!$J$5</f>
        <v>-56000</v>
      </c>
      <c r="E20" s="124">
        <f t="shared" si="2"/>
        <v>0</v>
      </c>
      <c r="F20" s="123">
        <f>+'[2]ST Warroom 99'!$J$39</f>
        <v>-56000</v>
      </c>
      <c r="G20" s="168">
        <f>'TX-HPLC-GL'!$E$82</f>
        <v>204925.45999999251</v>
      </c>
      <c r="H20" s="107">
        <f t="shared" si="1"/>
        <v>260925.45999999251</v>
      </c>
      <c r="I20" s="31"/>
      <c r="J20" s="31"/>
    </row>
    <row r="21" spans="1:10" x14ac:dyDescent="0.25">
      <c r="A21" s="101" t="s">
        <v>176</v>
      </c>
      <c r="B21" s="123">
        <f>'TX-EGM-FLSH'!$M$89</f>
        <v>532111</v>
      </c>
      <c r="C21" s="65">
        <f t="shared" si="0"/>
        <v>-111</v>
      </c>
      <c r="D21" s="60">
        <f>+'[2]ST Warroom 99'!$K$5</f>
        <v>532000</v>
      </c>
      <c r="E21" s="124">
        <f t="shared" si="2"/>
        <v>0</v>
      </c>
      <c r="F21" s="60">
        <f>+'[2]ST Warroom 99'!$K$39</f>
        <v>532000</v>
      </c>
      <c r="G21" s="168">
        <f>'TX-HPLC-GL'!$E$89</f>
        <v>531999.91000000015</v>
      </c>
      <c r="H21" s="107">
        <f t="shared" si="1"/>
        <v>-8.9999999850988388E-2</v>
      </c>
      <c r="I21" s="31"/>
      <c r="J21" s="31"/>
    </row>
    <row r="22" spans="1:10" x14ac:dyDescent="0.25">
      <c r="A22" s="101" t="s">
        <v>17</v>
      </c>
      <c r="B22" s="123">
        <f>'WE-FLSH'!$M$82</f>
        <v>6042496.219242271</v>
      </c>
      <c r="C22" s="65">
        <f t="shared" si="0"/>
        <v>-496.21924227103591</v>
      </c>
      <c r="D22" s="123">
        <f>+'[2]ST Warroom 99'!$L$5</f>
        <v>6042000</v>
      </c>
      <c r="E22" s="124">
        <f t="shared" si="2"/>
        <v>-2860906</v>
      </c>
      <c r="F22" s="123">
        <f>+'[2]ST Warroom 99'!$L$39</f>
        <v>3181094</v>
      </c>
      <c r="G22" s="168">
        <f>'WE-GL '!$E$82</f>
        <v>2633557.0910000615</v>
      </c>
      <c r="H22" s="107">
        <f t="shared" si="1"/>
        <v>-547536.90899993852</v>
      </c>
      <c r="I22" s="31"/>
      <c r="J22" s="31"/>
    </row>
    <row r="23" spans="1:10" x14ac:dyDescent="0.25">
      <c r="A23" s="101" t="s">
        <v>200</v>
      </c>
      <c r="B23" s="123">
        <f>'DEN-FLSH'!$M$82</f>
        <v>-223009.9902875796</v>
      </c>
      <c r="C23" s="65">
        <f>+D23-B23</f>
        <v>9.9902875795960426</v>
      </c>
      <c r="D23" s="123">
        <f>+'[2]ST Warroom 99'!$S$5</f>
        <v>-223000</v>
      </c>
      <c r="E23" s="124">
        <f>+F23-D23</f>
        <v>-257822</v>
      </c>
      <c r="F23" s="123">
        <f>+'[2]ST Warroom 99'!$S$39</f>
        <v>-480822</v>
      </c>
      <c r="G23" s="168">
        <f>'DEN-GL'!$E$82</f>
        <v>-589772.6780000024</v>
      </c>
      <c r="H23" s="107">
        <f>G23-F23</f>
        <v>-108950.6780000024</v>
      </c>
      <c r="I23" s="31"/>
      <c r="J23" s="31"/>
    </row>
    <row r="24" spans="1:10" x14ac:dyDescent="0.25">
      <c r="A24" s="101" t="s">
        <v>214</v>
      </c>
      <c r="B24" s="123">
        <f>'DEN-FLSH'!$M$89</f>
        <v>-63196</v>
      </c>
      <c r="C24" s="65">
        <f>+D24-B24</f>
        <v>196</v>
      </c>
      <c r="D24" s="123">
        <f>+'[2]ST Warroom 99'!$R$5</f>
        <v>-63000</v>
      </c>
      <c r="E24" s="124">
        <f>+F24-D24</f>
        <v>0</v>
      </c>
      <c r="F24" s="123">
        <f>+'[2]ST Warroom 99'!$R$39</f>
        <v>-63000</v>
      </c>
      <c r="G24" s="168">
        <f>'DEN-GL'!$E$89</f>
        <v>-102124</v>
      </c>
      <c r="H24" s="107">
        <f>G24-F24</f>
        <v>-39124</v>
      </c>
      <c r="I24" s="31"/>
      <c r="J24" s="31"/>
    </row>
    <row r="25" spans="1:10" x14ac:dyDescent="0.25">
      <c r="A25" s="101" t="s">
        <v>18</v>
      </c>
      <c r="B25" s="123">
        <f>STG_FLSH!$M$82</f>
        <v>2718631</v>
      </c>
      <c r="C25" s="65">
        <f t="shared" si="0"/>
        <v>369</v>
      </c>
      <c r="D25" s="123">
        <f>+'[2]ST Warroom 99'!$M$5</f>
        <v>2719000</v>
      </c>
      <c r="E25" s="124">
        <f t="shared" si="2"/>
        <v>-514521</v>
      </c>
      <c r="F25" s="123">
        <f>+'[2]ST Warroom 99'!$M$39</f>
        <v>2204479</v>
      </c>
      <c r="G25" s="168">
        <f>STG_GL!$E$82</f>
        <v>4470851.3899999997</v>
      </c>
      <c r="H25" s="107">
        <f t="shared" si="1"/>
        <v>2266372.3899999997</v>
      </c>
      <c r="I25" s="31"/>
      <c r="J25" s="31"/>
    </row>
    <row r="26" spans="1:10" x14ac:dyDescent="0.25">
      <c r="A26" s="101" t="s">
        <v>158</v>
      </c>
      <c r="B26" s="123">
        <f>ONT_FLSH!$M$82</f>
        <v>665966.12289828656</v>
      </c>
      <c r="C26" s="65">
        <f t="shared" si="0"/>
        <v>33.877101713442244</v>
      </c>
      <c r="D26" s="123">
        <f>+'[2]ST Warroom 99'!$O$5</f>
        <v>666000</v>
      </c>
      <c r="E26" s="124">
        <f t="shared" si="2"/>
        <v>-36569</v>
      </c>
      <c r="F26" s="123">
        <f>+'[2]ST Warroom 99'!$O$39</f>
        <v>629431</v>
      </c>
      <c r="G26" s="168">
        <f>'ONT_GL '!$E$82</f>
        <v>541226.81999999552</v>
      </c>
      <c r="H26" s="107">
        <f t="shared" si="1"/>
        <v>-88204.180000004475</v>
      </c>
      <c r="I26" s="31"/>
      <c r="J26" s="31"/>
    </row>
    <row r="27" spans="1:10" x14ac:dyDescent="0.25">
      <c r="A27" s="101" t="s">
        <v>163</v>
      </c>
      <c r="B27" s="123">
        <f>ONT_FLSH!$M$89</f>
        <v>-244880</v>
      </c>
      <c r="C27" s="65">
        <f t="shared" si="0"/>
        <v>-120</v>
      </c>
      <c r="D27" s="168">
        <f>+'[2]ST Warroom 99'!$P$5</f>
        <v>-245000</v>
      </c>
      <c r="E27" s="124">
        <f t="shared" si="2"/>
        <v>0</v>
      </c>
      <c r="F27" s="168">
        <f>+'[2]ST Warroom 99'!$P$39</f>
        <v>-245000</v>
      </c>
      <c r="G27" s="168">
        <f>+'ONT_GL '!E89</f>
        <v>-244999.59</v>
      </c>
      <c r="H27" s="107">
        <f t="shared" si="1"/>
        <v>0.41000000000349246</v>
      </c>
      <c r="I27" s="31"/>
      <c r="J27" s="31"/>
    </row>
    <row r="28" spans="1:10" x14ac:dyDescent="0.25">
      <c r="A28" s="138" t="s">
        <v>113</v>
      </c>
      <c r="B28" s="123">
        <f>+BUG_FLSH!M82</f>
        <v>3474270.1102007926</v>
      </c>
      <c r="C28" s="65">
        <f>+D28-B28</f>
        <v>-270.11020079255104</v>
      </c>
      <c r="D28" s="123">
        <f>+'[2]ST Warroom 99'!$G$5</f>
        <v>3474000</v>
      </c>
      <c r="E28" s="124">
        <f t="shared" si="2"/>
        <v>524724</v>
      </c>
      <c r="F28" s="123">
        <f>+'[2]ST Warroom 99'!$G$39</f>
        <v>3998724</v>
      </c>
      <c r="G28" s="168">
        <f>+BUG_GL!E82</f>
        <v>3998747.2319999952</v>
      </c>
      <c r="H28" s="107">
        <f t="shared" si="1"/>
        <v>23.231999995186925</v>
      </c>
      <c r="I28" s="31"/>
      <c r="J28" s="31"/>
    </row>
    <row r="29" spans="1:10" ht="21.75" customHeight="1" thickBot="1" x14ac:dyDescent="0.3">
      <c r="A29" s="101" t="s">
        <v>10</v>
      </c>
      <c r="B29" s="61">
        <f t="shared" ref="B29:H29" si="3">SUM(B11:B28)</f>
        <v>22983058.328538872</v>
      </c>
      <c r="C29" s="61">
        <f t="shared" si="3"/>
        <v>-129058.32853886898</v>
      </c>
      <c r="D29" s="61">
        <f t="shared" si="3"/>
        <v>22854000</v>
      </c>
      <c r="E29" s="61">
        <f t="shared" si="3"/>
        <v>-4735745</v>
      </c>
      <c r="F29" s="61">
        <f t="shared" si="3"/>
        <v>18118255</v>
      </c>
      <c r="G29" s="61">
        <f t="shared" si="3"/>
        <v>28585020.421800084</v>
      </c>
      <c r="H29" s="108">
        <f t="shared" si="3"/>
        <v>10466765.421800081</v>
      </c>
      <c r="I29" s="31"/>
      <c r="J29" s="31"/>
    </row>
    <row r="30" spans="1:10" ht="21" customHeight="1" thickBot="1" x14ac:dyDescent="0.3">
      <c r="A30" s="102" t="s">
        <v>19</v>
      </c>
      <c r="B30" s="103">
        <f>TOTAL!$E$91</f>
        <v>22983058.328538742</v>
      </c>
      <c r="C30" s="103">
        <f>+C29</f>
        <v>-129058.32853886898</v>
      </c>
      <c r="D30" s="103">
        <f>+'[2]ST Warroom 99'!$V$5</f>
        <v>22854000</v>
      </c>
      <c r="E30" s="103">
        <f>+'[2]ST Warroom 99'!$V$22</f>
        <v>-4735745</v>
      </c>
      <c r="F30" s="103">
        <f>+'[2]ST Warroom 99'!$V$39</f>
        <v>18118255</v>
      </c>
      <c r="G30" s="103">
        <f>TOTAL!$G$91</f>
        <v>28585020.421800129</v>
      </c>
      <c r="H30" s="179">
        <f>+[1]OAvsACT!$G$57</f>
        <v>10466687.02</v>
      </c>
      <c r="I30" s="31"/>
      <c r="J30" s="31"/>
    </row>
    <row r="31" spans="1:10" x14ac:dyDescent="0.25">
      <c r="B31" s="45"/>
      <c r="C31" s="45"/>
      <c r="D31" s="45"/>
      <c r="E31" s="45"/>
      <c r="F31" s="45"/>
      <c r="G31" s="45"/>
      <c r="H31" s="45">
        <f>+H30-H29</f>
        <v>-78.401800081133842</v>
      </c>
      <c r="I31" s="45"/>
      <c r="J31" s="45"/>
    </row>
    <row r="32" spans="1:10" x14ac:dyDescent="0.25">
      <c r="B32" s="45">
        <f t="shared" ref="B32:G32" si="4">+B29-B30</f>
        <v>1.3038516044616699E-7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-4.4703483581542969E-8</v>
      </c>
      <c r="H32" s="45">
        <v>0</v>
      </c>
      <c r="I32" s="45"/>
      <c r="J32" s="45"/>
    </row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>
      <c r="C61" s="2"/>
      <c r="D61" s="2"/>
      <c r="E61" s="2"/>
      <c r="F61" s="2"/>
      <c r="G61" s="2"/>
    </row>
    <row r="62" spans="3:7" hidden="1" x14ac:dyDescent="0.25"/>
    <row r="63" spans="3:7" hidden="1" x14ac:dyDescent="0.25"/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7" hidden="1" x14ac:dyDescent="0.25"/>
    <row r="82" spans="7:7" hidden="1" x14ac:dyDescent="0.25"/>
    <row r="83" spans="7:7" hidden="1" x14ac:dyDescent="0.25"/>
    <row r="84" spans="7:7" hidden="1" x14ac:dyDescent="0.25"/>
    <row r="86" spans="7:7" x14ac:dyDescent="0.25">
      <c r="G86" s="45"/>
    </row>
    <row r="88" spans="7:7" x14ac:dyDescent="0.25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Q74" activePane="bottomRight" state="frozen"/>
      <selection activeCell="D10" sqref="D10"/>
      <selection pane="topRight" activeCell="D10" sqref="D10"/>
      <selection pane="bottomLeft" activeCell="D10" sqref="D10"/>
      <selection pane="bottomRight" activeCell="S74" sqref="S74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3" width="15" customWidth="1"/>
  </cols>
  <sheetData>
    <row r="1" spans="1:33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0001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200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5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891063.28</v>
      </c>
      <c r="F12" s="65"/>
      <c r="G12" s="38">
        <v>3950820.88</v>
      </c>
      <c r="H12" s="65"/>
      <c r="I12" s="38">
        <v>497314.76</v>
      </c>
      <c r="J12" s="65">
        <v>0</v>
      </c>
      <c r="K12" s="38">
        <v>-3883840.07</v>
      </c>
      <c r="L12" s="65"/>
      <c r="M12" s="38">
        <v>-158335.73000000001</v>
      </c>
      <c r="N12" s="65"/>
      <c r="O12" s="38">
        <v>0</v>
      </c>
      <c r="P12" s="65"/>
      <c r="Q12" s="38">
        <v>2551788.73</v>
      </c>
      <c r="R12" s="65"/>
      <c r="S12" s="38">
        <v>-386881.57</v>
      </c>
      <c r="T12" s="65"/>
      <c r="U12" s="38">
        <v>-4575.6000000000004</v>
      </c>
      <c r="V12" s="65"/>
      <c r="W12" s="38">
        <v>-6216367.9299999997</v>
      </c>
      <c r="X12" s="65">
        <v>0</v>
      </c>
      <c r="Y12" s="38">
        <v>-485122.48</v>
      </c>
      <c r="Z12" s="65"/>
      <c r="AA12" s="38">
        <v>0</v>
      </c>
      <c r="AB12" s="65">
        <v>0</v>
      </c>
      <c r="AC12" s="38">
        <v>5720848.6699999999</v>
      </c>
      <c r="AD12" s="65"/>
      <c r="AE12" s="38">
        <v>-694586.38</v>
      </c>
      <c r="AF12" s="65"/>
      <c r="AG12" s="38">
        <v>0</v>
      </c>
    </row>
    <row r="13" spans="1:33" x14ac:dyDescent="0.25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5">
      <c r="A16" s="9"/>
      <c r="B16" s="7" t="s">
        <v>30</v>
      </c>
      <c r="C16" s="6"/>
      <c r="D16" s="61">
        <f t="shared" ref="D16:AG16" si="1">SUM(D11:D15)</f>
        <v>0</v>
      </c>
      <c r="E16" s="175">
        <f t="shared" si="1"/>
        <v>891063.28</v>
      </c>
      <c r="F16" s="61">
        <f t="shared" si="1"/>
        <v>0</v>
      </c>
      <c r="G16" s="39">
        <f t="shared" si="1"/>
        <v>3950820.88</v>
      </c>
      <c r="H16" s="61">
        <f>SUM(H11:H15)</f>
        <v>0</v>
      </c>
      <c r="I16" s="39">
        <f>SUM(I11:I15)</f>
        <v>497314.76</v>
      </c>
      <c r="J16" s="61">
        <f t="shared" si="1"/>
        <v>0</v>
      </c>
      <c r="K16" s="39">
        <f t="shared" si="1"/>
        <v>-3883840.07</v>
      </c>
      <c r="L16" s="61">
        <f t="shared" si="1"/>
        <v>0</v>
      </c>
      <c r="M16" s="39">
        <f t="shared" si="1"/>
        <v>-158335.73000000001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2551788.73</v>
      </c>
      <c r="R16" s="61">
        <f>SUM(R11:R15)</f>
        <v>0</v>
      </c>
      <c r="S16" s="39">
        <f>SUM(S11:S15)</f>
        <v>-386881.57</v>
      </c>
      <c r="T16" s="61">
        <f t="shared" si="1"/>
        <v>0</v>
      </c>
      <c r="U16" s="39">
        <f t="shared" si="1"/>
        <v>-4575.6000000000004</v>
      </c>
      <c r="V16" s="61">
        <f t="shared" si="1"/>
        <v>0</v>
      </c>
      <c r="W16" s="39">
        <f t="shared" si="1"/>
        <v>-6216367.9299999997</v>
      </c>
      <c r="X16" s="61">
        <f>SUM(X11:X15)</f>
        <v>0</v>
      </c>
      <c r="Y16" s="39">
        <f>SUM(Y11:Y15)</f>
        <v>-485122.48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5720848.6699999999</v>
      </c>
      <c r="AD16" s="61">
        <f>SUM(AD11:AD15)</f>
        <v>0</v>
      </c>
      <c r="AE16" s="39">
        <f>SUM(AE11:AE15)</f>
        <v>-694586.38</v>
      </c>
      <c r="AF16" s="61">
        <f t="shared" si="1"/>
        <v>0</v>
      </c>
      <c r="AG16" s="39">
        <f t="shared" si="1"/>
        <v>0</v>
      </c>
    </row>
    <row r="17" spans="1:33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-11600144.439999999</v>
      </c>
      <c r="F20" s="65"/>
      <c r="G20" s="38">
        <v>985339.05</v>
      </c>
      <c r="H20" s="65"/>
      <c r="I20" s="38">
        <v>-336602.09</v>
      </c>
      <c r="J20" s="65"/>
      <c r="K20" s="38">
        <v>-9176533.7799999993</v>
      </c>
      <c r="L20" s="65"/>
      <c r="M20" s="38">
        <v>0</v>
      </c>
      <c r="N20" s="65"/>
      <c r="O20" s="38">
        <v>0</v>
      </c>
      <c r="P20" s="65"/>
      <c r="Q20" s="38">
        <v>-76977.850000000006</v>
      </c>
      <c r="R20" s="65"/>
      <c r="S20" s="38">
        <v>263447.03999999998</v>
      </c>
      <c r="T20" s="65"/>
      <c r="U20" s="38">
        <v>0</v>
      </c>
      <c r="V20" s="65"/>
      <c r="W20" s="38">
        <v>1882156.23</v>
      </c>
      <c r="X20" s="65"/>
      <c r="Y20" s="38">
        <v>-11462.19</v>
      </c>
      <c r="Z20" s="65"/>
      <c r="AA20" s="38">
        <v>0</v>
      </c>
      <c r="AB20" s="65">
        <v>0</v>
      </c>
      <c r="AC20" s="38">
        <v>-4881100.3499999996</v>
      </c>
      <c r="AD20" s="65"/>
      <c r="AE20" s="38">
        <v>-6889.5</v>
      </c>
      <c r="AF20" s="65"/>
      <c r="AG20" s="38">
        <v>-241521</v>
      </c>
    </row>
    <row r="21" spans="1:33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AG24" si="3">SUM(D19:D23)</f>
        <v>0</v>
      </c>
      <c r="E24" s="175">
        <f t="shared" si="3"/>
        <v>-11600144.439999999</v>
      </c>
      <c r="F24" s="61">
        <f t="shared" si="3"/>
        <v>0</v>
      </c>
      <c r="G24" s="39">
        <f t="shared" si="3"/>
        <v>985339.05</v>
      </c>
      <c r="H24" s="61">
        <f>SUM(H19:H23)</f>
        <v>0</v>
      </c>
      <c r="I24" s="39">
        <f>SUM(I19:I23)</f>
        <v>-336602.09</v>
      </c>
      <c r="J24" s="61">
        <f t="shared" si="3"/>
        <v>0</v>
      </c>
      <c r="K24" s="39">
        <f t="shared" si="3"/>
        <v>-9176533.7799999993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-76977.850000000006</v>
      </c>
      <c r="R24" s="61">
        <f>SUM(R19:R23)</f>
        <v>0</v>
      </c>
      <c r="S24" s="39">
        <f>SUM(S19:S23)</f>
        <v>263447.03999999998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1882156.23</v>
      </c>
      <c r="X24" s="61">
        <f>SUM(X19:X23)</f>
        <v>0</v>
      </c>
      <c r="Y24" s="39">
        <f>SUM(Y19:Y23)</f>
        <v>-11462.19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-4881100.3499999996</v>
      </c>
      <c r="AD24" s="61">
        <f>SUM(AD19:AD23)</f>
        <v>0</v>
      </c>
      <c r="AE24" s="39">
        <f>SUM(AE19:AE23)</f>
        <v>-6889.5</v>
      </c>
      <c r="AF24" s="61">
        <f t="shared" si="3"/>
        <v>0</v>
      </c>
      <c r="AG24" s="39">
        <f t="shared" si="3"/>
        <v>-241521</v>
      </c>
    </row>
    <row r="25" spans="1:33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5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-1365278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-1365278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5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-1365278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-1365278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5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38202754.850000001</v>
      </c>
      <c r="F70" s="60"/>
      <c r="G70" s="38">
        <v>7591856.8799999999</v>
      </c>
      <c r="H70" s="60"/>
      <c r="I70" s="38">
        <v>12261468.49</v>
      </c>
      <c r="J70" s="60"/>
      <c r="K70" s="38">
        <v>13133657.73</v>
      </c>
      <c r="L70" s="60"/>
      <c r="M70" s="38">
        <v>0</v>
      </c>
      <c r="N70" s="60"/>
      <c r="O70" s="38">
        <v>0</v>
      </c>
      <c r="P70" s="60">
        <v>0</v>
      </c>
      <c r="Q70" s="38">
        <v>6953222</v>
      </c>
      <c r="R70" s="60"/>
      <c r="S70" s="38">
        <v>0</v>
      </c>
      <c r="T70" s="60"/>
      <c r="U70" s="38">
        <v>0</v>
      </c>
      <c r="V70" s="60">
        <v>0</v>
      </c>
      <c r="W70" s="38">
        <v>-2639306.77</v>
      </c>
      <c r="X70" s="60">
        <v>0</v>
      </c>
      <c r="Y70" s="38">
        <v>0</v>
      </c>
      <c r="Z70" s="60">
        <v>0</v>
      </c>
      <c r="AA70" s="38">
        <v>207406</v>
      </c>
      <c r="AB70" s="60"/>
      <c r="AC70" s="38">
        <v>1508208.52</v>
      </c>
      <c r="AD70" s="60"/>
      <c r="AE70" s="38">
        <v>-400747</v>
      </c>
      <c r="AF70" s="60"/>
      <c r="AG70" s="38">
        <v>-413011</v>
      </c>
    </row>
    <row r="71" spans="1:33" x14ac:dyDescent="0.25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-24156871.739999998</v>
      </c>
      <c r="F71" s="60"/>
      <c r="G71" s="38">
        <v>-1768212</v>
      </c>
      <c r="H71" s="60"/>
      <c r="I71" s="38">
        <v>-14085867</v>
      </c>
      <c r="J71" s="60"/>
      <c r="K71" s="38">
        <v>-5194257</v>
      </c>
      <c r="L71" s="60"/>
      <c r="M71" s="38">
        <v>0</v>
      </c>
      <c r="N71" s="60"/>
      <c r="O71" s="38">
        <v>0</v>
      </c>
      <c r="P71" s="60"/>
      <c r="Q71" s="38">
        <v>-2053660</v>
      </c>
      <c r="R71" s="60"/>
      <c r="S71" s="38">
        <v>0</v>
      </c>
      <c r="T71" s="60"/>
      <c r="U71" s="38">
        <v>0</v>
      </c>
      <c r="V71" s="60"/>
      <c r="W71" s="38">
        <v>739518.78</v>
      </c>
      <c r="X71" s="60"/>
      <c r="Y71" s="38">
        <v>0</v>
      </c>
      <c r="Z71" s="60"/>
      <c r="AA71" s="38">
        <v>-1085483</v>
      </c>
      <c r="AB71" s="60"/>
      <c r="AC71" s="38">
        <v>-708911.52</v>
      </c>
      <c r="AD71" s="60"/>
      <c r="AE71" s="38">
        <v>0</v>
      </c>
      <c r="AF71" s="60"/>
      <c r="AG71" s="38">
        <v>0</v>
      </c>
    </row>
    <row r="72" spans="1:33" x14ac:dyDescent="0.25">
      <c r="A72" s="9"/>
      <c r="B72" s="3"/>
      <c r="C72" s="55" t="s">
        <v>69</v>
      </c>
      <c r="D72" s="61">
        <f t="shared" ref="D72:AG72" si="13">SUM(D70:D71)</f>
        <v>0</v>
      </c>
      <c r="E72" s="226">
        <f t="shared" si="13"/>
        <v>14045883.110000003</v>
      </c>
      <c r="F72" s="61">
        <f t="shared" si="13"/>
        <v>0</v>
      </c>
      <c r="G72" s="183">
        <f t="shared" si="13"/>
        <v>5823644.8799999999</v>
      </c>
      <c r="H72" s="61">
        <f>SUM(H70:H71)</f>
        <v>0</v>
      </c>
      <c r="I72" s="183">
        <f>SUM(I70:I71)</f>
        <v>-1824398.5099999998</v>
      </c>
      <c r="J72" s="61">
        <f t="shared" si="13"/>
        <v>0</v>
      </c>
      <c r="K72" s="183">
        <f t="shared" si="13"/>
        <v>7939400.7300000004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4899562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-1899787.99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-878077</v>
      </c>
      <c r="AB72" s="61">
        <f t="shared" si="13"/>
        <v>0</v>
      </c>
      <c r="AC72" s="39">
        <f t="shared" si="13"/>
        <v>799297</v>
      </c>
      <c r="AD72" s="61">
        <f>SUM(AD70:AD71)</f>
        <v>0</v>
      </c>
      <c r="AE72" s="183">
        <f>SUM(AE70:AE71)</f>
        <v>-400747</v>
      </c>
      <c r="AF72" s="61">
        <f t="shared" si="13"/>
        <v>0</v>
      </c>
      <c r="AG72" s="183">
        <f t="shared" si="13"/>
        <v>-413011</v>
      </c>
    </row>
    <row r="73" spans="1:33" x14ac:dyDescent="0.25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23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-26326449.240000002</v>
      </c>
      <c r="F74" s="65"/>
      <c r="G74" s="66">
        <v>580965.77</v>
      </c>
      <c r="H74" s="65"/>
      <c r="I74" s="66">
        <v>1333966.53</v>
      </c>
      <c r="J74" s="65"/>
      <c r="K74" s="66">
        <v>-14311349.35</v>
      </c>
      <c r="L74" s="65"/>
      <c r="M74" s="66">
        <v>0</v>
      </c>
      <c r="N74" s="65"/>
      <c r="O74" s="66">
        <v>0</v>
      </c>
      <c r="P74" s="65"/>
      <c r="Q74" s="66">
        <v>1329493.44</v>
      </c>
      <c r="R74" s="65"/>
      <c r="S74" s="66">
        <v>12423</v>
      </c>
      <c r="T74" s="65"/>
      <c r="U74" s="66">
        <v>0</v>
      </c>
      <c r="V74" s="65"/>
      <c r="W74" s="66">
        <v>-169890.73</v>
      </c>
      <c r="X74" s="65"/>
      <c r="Y74" s="66">
        <v>-945496.32</v>
      </c>
      <c r="Z74" s="65"/>
      <c r="AA74" s="180">
        <v>-7514776.7000000002</v>
      </c>
      <c r="AB74" s="65"/>
      <c r="AC74" s="180">
        <v>-455424.51</v>
      </c>
      <c r="AD74" s="65"/>
      <c r="AE74" s="66">
        <v>451953.34</v>
      </c>
      <c r="AF74" s="65"/>
      <c r="AG74" s="180">
        <v>-6638313.71</v>
      </c>
    </row>
    <row r="75" spans="1:33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747400</v>
      </c>
      <c r="F75" s="65"/>
      <c r="G75" s="38">
        <v>51500</v>
      </c>
      <c r="H75" s="65"/>
      <c r="I75" s="38">
        <v>0</v>
      </c>
      <c r="J75" s="65"/>
      <c r="K75" s="38">
        <v>323400</v>
      </c>
      <c r="L75" s="65"/>
      <c r="M75" s="38">
        <v>0</v>
      </c>
      <c r="N75" s="65"/>
      <c r="O75" s="38">
        <v>0</v>
      </c>
      <c r="P75" s="65"/>
      <c r="Q75" s="38">
        <v>354800</v>
      </c>
      <c r="R75" s="65"/>
      <c r="S75" s="38"/>
      <c r="T75" s="65"/>
      <c r="U75" s="38"/>
      <c r="V75" s="65"/>
      <c r="W75" s="38">
        <v>17700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5">
      <c r="A76" s="9">
        <v>35</v>
      </c>
      <c r="B76" s="3"/>
      <c r="C76" s="10" t="s">
        <v>73</v>
      </c>
      <c r="D76" s="60">
        <f t="shared" si="14"/>
        <v>0</v>
      </c>
      <c r="E76" s="123">
        <f t="shared" si="15"/>
        <v>-9625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-9625</v>
      </c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-2658334</v>
      </c>
      <c r="F77" s="65"/>
      <c r="G77" s="38"/>
      <c r="H77" s="65"/>
      <c r="I77" s="38"/>
      <c r="J77" s="65"/>
      <c r="K77" s="38">
        <v>-2658334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5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0">
        <f t="shared" si="14"/>
        <v>0</v>
      </c>
      <c r="E81" s="123">
        <f t="shared" si="15"/>
        <v>779146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779146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3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-25496338.289999999</v>
      </c>
      <c r="F82" s="91">
        <f>F16+F24+F29+F36+F43+F45+F47+F49</f>
        <v>0</v>
      </c>
      <c r="G82" s="92">
        <f>SUM(G72:G81)+G16+G24+G29+G36+G43+G45+G47+G49+G51+G56+G61+G66</f>
        <v>11392270.580000002</v>
      </c>
      <c r="H82" s="91">
        <f>H16+H24+H29+H36+H43+H45+H47+H49</f>
        <v>0</v>
      </c>
      <c r="I82" s="92">
        <f>SUM(I72:I81)+I16+I24+I29+I36+I43+I45+I47+I49+I51+I56+I61+I66</f>
        <v>-329719.30999999976</v>
      </c>
      <c r="J82" s="91">
        <f>J16+J24+J29+J36+J43+J45+J47+J49</f>
        <v>0</v>
      </c>
      <c r="K82" s="92">
        <f>SUM(K72:K81)+K16+K24+K29+K36+K43+K45+K47+K49+K51+K56+K61+K66</f>
        <v>-21767256.469999999</v>
      </c>
      <c r="L82" s="91">
        <f>L16+L24+L29+L36+L43+L45+L47+L49</f>
        <v>0</v>
      </c>
      <c r="M82" s="92">
        <f>SUM(M72:M81)+M16+M24+M29+M36+M43+M45+M47+M49+M51+M56+M61+M66</f>
        <v>-158335.73000000001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9058666.3200000003</v>
      </c>
      <c r="R82" s="91">
        <f>R16+R24+R29+R36+R43+R45+R47+R49</f>
        <v>0</v>
      </c>
      <c r="S82" s="92">
        <f>SUM(S72:S81)+S16+S24+S29+S36+S43+S45+S47+S49+S51+S56+S61+S66</f>
        <v>668134.47</v>
      </c>
      <c r="T82" s="91">
        <f>T16+T24+T29+T36+T43+T45+T47+T49</f>
        <v>0</v>
      </c>
      <c r="U82" s="92">
        <f>SUM(U72:U81)+U16+U24+U29+U36+U43+U45+U47+U49+U51+U56+U61+U66</f>
        <v>-4575.6000000000004</v>
      </c>
      <c r="V82" s="91">
        <f>V16+V24+V29+V36+V43+V45+V47+V49</f>
        <v>0</v>
      </c>
      <c r="W82" s="92">
        <f>SUM(W72:W81)+W16+W24+W29+W36+W43+W45+W47+W49+W51+W56+W61+W66</f>
        <v>-6386190.4199999999</v>
      </c>
      <c r="X82" s="91">
        <f>X16+X24+X29+X36+X43+X45+X47+X49</f>
        <v>0</v>
      </c>
      <c r="Y82" s="92">
        <f>SUM(Y72:Y81)+Y16+Y24+Y29+Y36+Y43+Y45+Y47+Y49+Y51+Y56+Y61+Y66</f>
        <v>-2807358.9899999998</v>
      </c>
      <c r="Z82" s="91">
        <f>Z16+Z24+Z29+Z36+Z43+Z45+Z47+Z49</f>
        <v>0</v>
      </c>
      <c r="AA82" s="92">
        <f>SUM(AA72:AA81)+AA16+AA24+AA29+AA36+AA43+AA45+AA47+AA49+AA51+AA56+AA61+AA66</f>
        <v>-8402478.6999999993</v>
      </c>
      <c r="AB82" s="91">
        <f>AB16+AB24+AB29+AB36+AB43+AB45+AB47+AB49</f>
        <v>0</v>
      </c>
      <c r="AC82" s="92">
        <f>SUM(AC72:AC81)+AC16+AC24+AC29+AC36+AC43+AC45+AC47+AC49+AC51+AC56+AC61+AC66</f>
        <v>1183620.8100000005</v>
      </c>
      <c r="AD82" s="91">
        <f>AD16+AD24+AD29+AD36+AD43+AD45+AD47+AD49</f>
        <v>0</v>
      </c>
      <c r="AE82" s="92">
        <f>SUM(AE72:AE81)+AE16+AE24+AE29+AE36+AE43+AE45+AE47+AE49+AE51+AE56+AE61+AE66</f>
        <v>-650269.54</v>
      </c>
      <c r="AF82" s="91">
        <f>AF16+AF24+AF29+AF36+AF43+AF45+AF47+AF49</f>
        <v>0</v>
      </c>
      <c r="AG82" s="92">
        <f>SUM(AG72:AG81)+AG16+AG24+AG29+AG36+AG43+AG45+AG47+AG49+AG51+AG56+AG61+AG66</f>
        <v>-7292845.71</v>
      </c>
      <c r="AH82" s="93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O84" s="45"/>
    </row>
    <row r="85" spans="1:34" x14ac:dyDescent="0.25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5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2776671</v>
      </c>
      <c r="F86" s="145"/>
      <c r="G86" s="145">
        <v>0</v>
      </c>
      <c r="H86" s="145"/>
      <c r="I86" s="145">
        <v>0</v>
      </c>
      <c r="J86" s="145"/>
      <c r="K86" s="184">
        <v>477103</v>
      </c>
      <c r="L86" s="145"/>
      <c r="M86" s="145"/>
      <c r="N86" s="145"/>
      <c r="O86" s="145"/>
      <c r="P86" s="145"/>
      <c r="Q86" s="145"/>
      <c r="R86" s="145"/>
      <c r="S86" s="145">
        <v>-101722</v>
      </c>
      <c r="T86" s="145"/>
      <c r="U86" s="145"/>
      <c r="V86" s="145"/>
      <c r="W86" s="145">
        <v>0</v>
      </c>
      <c r="X86" s="145"/>
      <c r="Y86" s="145">
        <v>2598320</v>
      </c>
      <c r="Z86" s="145"/>
      <c r="AA86" s="145"/>
      <c r="AB86" s="145"/>
      <c r="AC86" s="145">
        <v>-197030</v>
      </c>
      <c r="AD86" s="145"/>
      <c r="AE86" s="145"/>
      <c r="AF86" s="145"/>
      <c r="AG86" s="145"/>
    </row>
    <row r="87" spans="1:34" s="3" customFormat="1" x14ac:dyDescent="0.25">
      <c r="A87" s="144"/>
      <c r="C87" s="10" t="s">
        <v>71</v>
      </c>
      <c r="D87" s="60">
        <f t="shared" si="16"/>
        <v>0</v>
      </c>
      <c r="E87" s="182">
        <f t="shared" si="16"/>
        <v>-9697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-402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-9295</v>
      </c>
      <c r="AD87" s="146"/>
      <c r="AE87" s="146"/>
      <c r="AF87" s="146"/>
      <c r="AG87" s="146"/>
    </row>
    <row r="88" spans="1:34" s="3" customFormat="1" x14ac:dyDescent="0.25">
      <c r="A88" s="144"/>
      <c r="C88" s="10" t="s">
        <v>72</v>
      </c>
      <c r="D88" s="60">
        <f t="shared" si="16"/>
        <v>0</v>
      </c>
      <c r="E88" s="182">
        <f t="shared" si="16"/>
        <v>-2057500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-2057500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5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709474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477103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-102124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540820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-206325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5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5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-24786864.289999999</v>
      </c>
      <c r="F91" s="160">
        <f t="shared" si="19"/>
        <v>0</v>
      </c>
      <c r="G91" s="160">
        <f t="shared" si="19"/>
        <v>11392270.580000002</v>
      </c>
      <c r="H91" s="160">
        <f>+H82+H89</f>
        <v>0</v>
      </c>
      <c r="I91" s="160">
        <f>+I82+I89</f>
        <v>-329719.30999999976</v>
      </c>
      <c r="J91" s="160">
        <f t="shared" si="19"/>
        <v>0</v>
      </c>
      <c r="K91" s="160">
        <f t="shared" si="19"/>
        <v>-21290153.469999999</v>
      </c>
      <c r="L91" s="160">
        <f t="shared" si="19"/>
        <v>0</v>
      </c>
      <c r="M91" s="160">
        <f t="shared" si="19"/>
        <v>-158335.73000000001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9058666.3200000003</v>
      </c>
      <c r="R91" s="160">
        <f>+R82+R89</f>
        <v>0</v>
      </c>
      <c r="S91" s="160">
        <f>+S82+S89</f>
        <v>566010.47</v>
      </c>
      <c r="T91" s="160">
        <f t="shared" si="20"/>
        <v>0</v>
      </c>
      <c r="U91" s="160">
        <f t="shared" si="20"/>
        <v>-4575.6000000000004</v>
      </c>
      <c r="V91" s="160">
        <f t="shared" si="20"/>
        <v>0</v>
      </c>
      <c r="W91" s="160">
        <f t="shared" si="20"/>
        <v>-6386190.4199999999</v>
      </c>
      <c r="X91" s="160">
        <f>+X82+X89</f>
        <v>0</v>
      </c>
      <c r="Y91" s="160">
        <f>+Y82+Y89</f>
        <v>-2266538.9899999998</v>
      </c>
      <c r="Z91" s="160">
        <f t="shared" si="20"/>
        <v>0</v>
      </c>
      <c r="AA91" s="160">
        <f t="shared" si="20"/>
        <v>-8402478.6999999993</v>
      </c>
      <c r="AB91" s="160">
        <f t="shared" si="20"/>
        <v>0</v>
      </c>
      <c r="AC91" s="160">
        <f t="shared" si="20"/>
        <v>977295.81000000052</v>
      </c>
      <c r="AD91" s="160">
        <f>+AD82+AD89</f>
        <v>0</v>
      </c>
      <c r="AE91" s="160">
        <f>+AE82+AE89</f>
        <v>-650269.54</v>
      </c>
      <c r="AF91" s="160">
        <f t="shared" si="20"/>
        <v>0</v>
      </c>
      <c r="AG91" s="160">
        <f t="shared" si="20"/>
        <v>-7292845.71</v>
      </c>
    </row>
    <row r="92" spans="1:34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5">
      <c r="A93" s="4"/>
      <c r="B93" s="3"/>
    </row>
    <row r="94" spans="1:34" x14ac:dyDescent="0.25">
      <c r="A94" s="4"/>
      <c r="B94" s="3"/>
      <c r="E94" s="171">
        <f>+E74+E12+E20</f>
        <v>-37035530.399999999</v>
      </c>
      <c r="G94" s="163">
        <f>+G12+G20+G74</f>
        <v>5517125.6999999993</v>
      </c>
      <c r="I94" s="163">
        <f>+I12+I20+I74</f>
        <v>1494679.2</v>
      </c>
      <c r="K94" s="163">
        <f>+K12+K20+K74</f>
        <v>-27371723.199999999</v>
      </c>
      <c r="M94" s="163">
        <f>+M12+M20+M74</f>
        <v>-158335.73000000001</v>
      </c>
      <c r="O94" s="163">
        <f>+O12+O20+O74</f>
        <v>0</v>
      </c>
      <c r="Q94" s="163">
        <f>+Q12+Q20+Q74</f>
        <v>3804304.32</v>
      </c>
      <c r="S94" s="163">
        <f>+S12+S20+S74</f>
        <v>-111011.53000000003</v>
      </c>
      <c r="U94" s="163">
        <f>+U12+U20+U74</f>
        <v>-4575.6000000000004</v>
      </c>
      <c r="W94" s="163">
        <f>+W12+W20+W74</f>
        <v>-4504102.43</v>
      </c>
      <c r="Y94" s="163">
        <f>+Y12+Y20+Y74</f>
        <v>-1442080.99</v>
      </c>
      <c r="AA94" s="163">
        <f>+AA12+AA20+AA74</f>
        <v>-7514776.7000000002</v>
      </c>
      <c r="AC94" s="163">
        <f>+AC12+AC20+AC74</f>
        <v>384323.81000000029</v>
      </c>
      <c r="AE94" s="163">
        <f>+AE12+AE20+AE74</f>
        <v>-249522.53999999998</v>
      </c>
      <c r="AG94" s="163">
        <f>+AG12+AG20+AG74</f>
        <v>-6879834.71</v>
      </c>
    </row>
    <row r="95" spans="1:34" x14ac:dyDescent="0.25">
      <c r="A95" s="4"/>
      <c r="B95" s="3"/>
      <c r="E95" s="171">
        <v>-37035522</v>
      </c>
    </row>
    <row r="96" spans="1:34" x14ac:dyDescent="0.25">
      <c r="A96" s="4"/>
      <c r="B96" s="3"/>
      <c r="E96" s="171">
        <f>+E94-E95</f>
        <v>-8.3999999985098839</v>
      </c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86480259</v>
      </c>
      <c r="E11" s="146">
        <v>202895435</v>
      </c>
      <c r="F11" s="60">
        <f>H11-D11</f>
        <v>0</v>
      </c>
      <c r="G11" s="37">
        <f>I11-E11</f>
        <v>0</v>
      </c>
      <c r="H11" s="65">
        <f t="shared" ref="H11:I15" si="0">D11</f>
        <v>86480259</v>
      </c>
      <c r="I11" s="66">
        <f t="shared" si="0"/>
        <v>202895435</v>
      </c>
      <c r="J11" s="37"/>
      <c r="K11" s="38"/>
      <c r="L11" s="60">
        <f t="shared" ref="L11:M15" si="1">H11+J11</f>
        <v>86480259</v>
      </c>
      <c r="M11" s="38">
        <f t="shared" si="1"/>
        <v>202895435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41011971</v>
      </c>
      <c r="E13" s="146">
        <v>97311530</v>
      </c>
      <c r="F13" s="60">
        <f t="shared" si="2"/>
        <v>0</v>
      </c>
      <c r="G13" s="37">
        <f t="shared" si="2"/>
        <v>0</v>
      </c>
      <c r="H13" s="65">
        <f t="shared" si="0"/>
        <v>41011971</v>
      </c>
      <c r="I13" s="66">
        <f t="shared" si="0"/>
        <v>97311530</v>
      </c>
      <c r="J13" s="37"/>
      <c r="K13" s="38"/>
      <c r="L13" s="60">
        <f t="shared" si="1"/>
        <v>41011971</v>
      </c>
      <c r="M13" s="38">
        <f t="shared" si="1"/>
        <v>97311530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127492230</v>
      </c>
      <c r="E16" s="166">
        <v>300206965</v>
      </c>
      <c r="F16" s="61">
        <f t="shared" ref="F16:M16" si="3">SUM(F11:F15)</f>
        <v>0</v>
      </c>
      <c r="G16" s="39">
        <f t="shared" si="3"/>
        <v>0</v>
      </c>
      <c r="H16" s="61">
        <f>SUM(H11:H15)</f>
        <v>127492230</v>
      </c>
      <c r="I16" s="39">
        <f>SUM(I11:I15)</f>
        <v>300206965</v>
      </c>
      <c r="J16" s="133">
        <f t="shared" si="3"/>
        <v>0</v>
      </c>
      <c r="K16" s="39">
        <f t="shared" si="3"/>
        <v>0</v>
      </c>
      <c r="L16" s="61">
        <f t="shared" si="3"/>
        <v>127492230</v>
      </c>
      <c r="M16" s="39">
        <f t="shared" si="3"/>
        <v>300206965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-95357565</v>
      </c>
      <c r="E19" s="146">
        <v>-222705101</v>
      </c>
      <c r="F19" s="60">
        <f>H19-D19</f>
        <v>0</v>
      </c>
      <c r="G19" s="37">
        <f>I19-E19</f>
        <v>0</v>
      </c>
      <c r="H19" s="65">
        <f t="shared" si="4"/>
        <v>-95357565</v>
      </c>
      <c r="I19" s="66">
        <f t="shared" si="4"/>
        <v>-222705101</v>
      </c>
      <c r="J19" s="37">
        <v>0</v>
      </c>
      <c r="K19" s="38">
        <v>0</v>
      </c>
      <c r="L19" s="60">
        <f t="shared" ref="L19:M23" si="5">H19+J19</f>
        <v>-95357565</v>
      </c>
      <c r="M19" s="38">
        <f t="shared" si="5"/>
        <v>-222705101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-32340740</v>
      </c>
      <c r="E21" s="146">
        <v>-77121536</v>
      </c>
      <c r="F21" s="60">
        <f t="shared" si="6"/>
        <v>0</v>
      </c>
      <c r="G21" s="37">
        <f t="shared" si="6"/>
        <v>0</v>
      </c>
      <c r="H21" s="65">
        <f t="shared" si="4"/>
        <v>-32340740</v>
      </c>
      <c r="I21" s="66">
        <f t="shared" si="4"/>
        <v>-77121536</v>
      </c>
      <c r="J21" s="37"/>
      <c r="K21" s="38"/>
      <c r="L21" s="60">
        <f t="shared" si="5"/>
        <v>-32340740</v>
      </c>
      <c r="M21" s="38">
        <f t="shared" si="5"/>
        <v>-77121536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331530</v>
      </c>
      <c r="E23" s="146">
        <v>764277</v>
      </c>
      <c r="F23" s="60">
        <f t="shared" si="6"/>
        <v>0</v>
      </c>
      <c r="G23" s="37">
        <f t="shared" si="6"/>
        <v>0</v>
      </c>
      <c r="H23" s="65">
        <f t="shared" si="4"/>
        <v>331530</v>
      </c>
      <c r="I23" s="66">
        <f t="shared" si="4"/>
        <v>764277</v>
      </c>
      <c r="J23" s="37"/>
      <c r="K23" s="38"/>
      <c r="L23" s="60">
        <f t="shared" si="5"/>
        <v>331530</v>
      </c>
      <c r="M23" s="38">
        <f t="shared" si="5"/>
        <v>764277</v>
      </c>
    </row>
    <row r="24" spans="1:13" x14ac:dyDescent="0.25">
      <c r="A24" s="9"/>
      <c r="B24" s="7" t="s">
        <v>33</v>
      </c>
      <c r="C24" s="6"/>
      <c r="D24" s="166">
        <v>-127366775</v>
      </c>
      <c r="E24" s="166">
        <v>-299062360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-127366775</v>
      </c>
      <c r="I24" s="39">
        <f>SUM(I19:I23)</f>
        <v>-299062360</v>
      </c>
      <c r="J24" s="133">
        <f t="shared" si="7"/>
        <v>0</v>
      </c>
      <c r="K24" s="39">
        <f t="shared" si="7"/>
        <v>0</v>
      </c>
      <c r="L24" s="61">
        <f t="shared" si="7"/>
        <v>-127366775</v>
      </c>
      <c r="M24" s="39">
        <f t="shared" si="7"/>
        <v>-299062360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16861</v>
      </c>
      <c r="E32" s="146">
        <v>16125</v>
      </c>
      <c r="F32" s="60">
        <f>H32-D32</f>
        <v>0</v>
      </c>
      <c r="G32" s="37">
        <f>I32-E32</f>
        <v>0</v>
      </c>
      <c r="H32" s="65">
        <f t="shared" ref="H32:I35" si="9">D32</f>
        <v>16861</v>
      </c>
      <c r="I32" s="66">
        <f t="shared" si="9"/>
        <v>16125</v>
      </c>
      <c r="J32" s="37"/>
      <c r="K32" s="38"/>
      <c r="L32" s="60">
        <f t="shared" ref="L32:M35" si="10">H32+J32</f>
        <v>16861</v>
      </c>
      <c r="M32" s="38">
        <f t="shared" si="10"/>
        <v>16125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252323</v>
      </c>
      <c r="E35" s="146">
        <v>582089</v>
      </c>
      <c r="F35" s="60">
        <f t="shared" si="11"/>
        <v>0</v>
      </c>
      <c r="G35" s="37">
        <f t="shared" si="11"/>
        <v>0</v>
      </c>
      <c r="H35" s="65">
        <f t="shared" si="9"/>
        <v>252323</v>
      </c>
      <c r="I35" s="66">
        <f t="shared" si="9"/>
        <v>582089</v>
      </c>
      <c r="J35" s="37">
        <v>0</v>
      </c>
      <c r="K35" s="38">
        <v>0</v>
      </c>
      <c r="L35" s="60">
        <f t="shared" si="10"/>
        <v>252323</v>
      </c>
      <c r="M35" s="38">
        <f t="shared" si="10"/>
        <v>582089</v>
      </c>
    </row>
    <row r="36" spans="1:13" x14ac:dyDescent="0.25">
      <c r="A36" s="9"/>
      <c r="B36" s="7" t="s">
        <v>43</v>
      </c>
      <c r="C36" s="6"/>
      <c r="D36" s="166">
        <v>269184</v>
      </c>
      <c r="E36" s="166">
        <v>598214</v>
      </c>
      <c r="F36" s="61">
        <f>SUM(F32:F35)</f>
        <v>0</v>
      </c>
      <c r="G36" s="39">
        <f>SUM(G32:G35)</f>
        <v>0</v>
      </c>
      <c r="H36" s="61">
        <f>SUM(H32:H35)</f>
        <v>269184</v>
      </c>
      <c r="I36" s="39">
        <f>SUM(I32:I35)</f>
        <v>598214</v>
      </c>
      <c r="J36" s="133">
        <f>SUM(J32:J34)</f>
        <v>0</v>
      </c>
      <c r="K36" s="39">
        <f>SUM(K32:K34)</f>
        <v>0</v>
      </c>
      <c r="L36" s="61">
        <f>SUM(L32:L35)</f>
        <v>269184</v>
      </c>
      <c r="M36" s="39">
        <f>SUM(M32:M35)</f>
        <v>598214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15000</v>
      </c>
      <c r="E39" s="146">
        <v>40875</v>
      </c>
      <c r="F39" s="60">
        <f t="shared" ref="F39:G41" si="13">H39-D39</f>
        <v>0</v>
      </c>
      <c r="G39" s="37">
        <f t="shared" si="13"/>
        <v>0</v>
      </c>
      <c r="H39" s="65">
        <f t="shared" si="12"/>
        <v>15000</v>
      </c>
      <c r="I39" s="66">
        <f t="shared" si="12"/>
        <v>40875</v>
      </c>
      <c r="J39" s="37"/>
      <c r="K39" s="38"/>
      <c r="L39" s="60">
        <f t="shared" ref="L39:M41" si="14">H39+J39</f>
        <v>15000</v>
      </c>
      <c r="M39" s="38">
        <f t="shared" si="14"/>
        <v>40875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-396449</v>
      </c>
      <c r="E40" s="146">
        <v>-952639</v>
      </c>
      <c r="F40" s="60">
        <f t="shared" si="13"/>
        <v>0</v>
      </c>
      <c r="G40" s="37">
        <f t="shared" si="13"/>
        <v>0</v>
      </c>
      <c r="H40" s="65">
        <f t="shared" si="12"/>
        <v>-396449</v>
      </c>
      <c r="I40" s="66">
        <f t="shared" si="12"/>
        <v>-952639</v>
      </c>
      <c r="J40" s="37"/>
      <c r="K40" s="38"/>
      <c r="L40" s="60">
        <f t="shared" si="14"/>
        <v>-396449</v>
      </c>
      <c r="M40" s="38">
        <f t="shared" si="14"/>
        <v>-952639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-396449</v>
      </c>
      <c r="E42" s="166">
        <v>-952639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-396449</v>
      </c>
      <c r="I42" s="39">
        <f>SUM(I40:I41)</f>
        <v>-952639</v>
      </c>
      <c r="J42" s="133">
        <f t="shared" si="15"/>
        <v>0</v>
      </c>
      <c r="K42" s="39">
        <f t="shared" si="15"/>
        <v>0</v>
      </c>
      <c r="L42" s="61">
        <f t="shared" si="15"/>
        <v>-396449</v>
      </c>
      <c r="M42" s="39">
        <f t="shared" si="15"/>
        <v>-952639</v>
      </c>
    </row>
    <row r="43" spans="1:13" ht="21" customHeight="1" x14ac:dyDescent="0.25">
      <c r="A43" s="9"/>
      <c r="B43" s="7" t="s">
        <v>49</v>
      </c>
      <c r="C43" s="6"/>
      <c r="D43" s="166">
        <v>-381449</v>
      </c>
      <c r="E43" s="166">
        <v>-911764</v>
      </c>
      <c r="F43" s="61">
        <f t="shared" ref="F43:M43" si="16">F42+F39</f>
        <v>0</v>
      </c>
      <c r="G43" s="39">
        <f t="shared" si="16"/>
        <v>0</v>
      </c>
      <c r="H43" s="61">
        <f>H42+H39</f>
        <v>-381449</v>
      </c>
      <c r="I43" s="39">
        <f>I42+I39</f>
        <v>-911764</v>
      </c>
      <c r="J43" s="133">
        <f t="shared" si="16"/>
        <v>0</v>
      </c>
      <c r="K43" s="39">
        <f t="shared" si="16"/>
        <v>0</v>
      </c>
      <c r="L43" s="61">
        <f t="shared" si="16"/>
        <v>-381449</v>
      </c>
      <c r="M43" s="39">
        <f t="shared" si="16"/>
        <v>-911764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-13190</v>
      </c>
      <c r="E49" s="146">
        <v>-30627.18</v>
      </c>
      <c r="F49" s="60">
        <f>H49-D49</f>
        <v>0</v>
      </c>
      <c r="G49" s="37">
        <f>I49-E49</f>
        <v>0</v>
      </c>
      <c r="H49" s="65">
        <f>D49</f>
        <v>-13190</v>
      </c>
      <c r="I49" s="66">
        <f>E49</f>
        <v>-30627.18</v>
      </c>
      <c r="J49" s="37"/>
      <c r="K49" s="38"/>
      <c r="L49" s="60">
        <f>H49+J49</f>
        <v>-13190</v>
      </c>
      <c r="M49" s="38">
        <f>I49+K49</f>
        <v>-30627.18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-331530</v>
      </c>
      <c r="E51" s="146">
        <v>-764277</v>
      </c>
      <c r="F51" s="60">
        <f>H51-D51</f>
        <v>0</v>
      </c>
      <c r="G51" s="37">
        <f>I51-E51</f>
        <v>0</v>
      </c>
      <c r="H51" s="65">
        <f>D51</f>
        <v>-331530</v>
      </c>
      <c r="I51" s="66">
        <f>E51</f>
        <v>-764277</v>
      </c>
      <c r="J51" s="37"/>
      <c r="K51" s="38"/>
      <c r="L51" s="60">
        <f>H51+J51</f>
        <v>-331530</v>
      </c>
      <c r="M51" s="38">
        <f>I51+K51</f>
        <v>-764277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-195130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-195130</v>
      </c>
      <c r="J54" s="37"/>
      <c r="K54" s="38"/>
      <c r="L54" s="60">
        <f>H54+J54</f>
        <v>0</v>
      </c>
      <c r="M54" s="38">
        <f>I54+K54</f>
        <v>-195130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-2688464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-2688464</v>
      </c>
      <c r="J55" s="37"/>
      <c r="K55" s="38"/>
      <c r="L55" s="60">
        <f>H55+J55</f>
        <v>0</v>
      </c>
      <c r="M55" s="38">
        <f>I55+K55</f>
        <v>-2688464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-2883594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-2883594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-2883594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7591856.8829999994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7591856.8829999994</v>
      </c>
      <c r="J70" s="37"/>
      <c r="K70" s="38"/>
      <c r="L70" s="60">
        <f t="shared" si="20"/>
        <v>0</v>
      </c>
      <c r="M70" s="38">
        <f t="shared" si="20"/>
        <v>7591856.8829999994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-1768211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-1768211</v>
      </c>
      <c r="J71" s="37"/>
      <c r="K71" s="38"/>
      <c r="L71" s="60">
        <f t="shared" si="20"/>
        <v>0</v>
      </c>
      <c r="M71" s="38">
        <f t="shared" si="20"/>
        <v>-1768211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5823645.8829999994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5823645.8829999994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5823645.8829999994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-1002755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-1002755</v>
      </c>
      <c r="J74" s="37"/>
      <c r="K74" s="38"/>
      <c r="L74" s="60">
        <f t="shared" si="24"/>
        <v>0</v>
      </c>
      <c r="M74" s="38">
        <f t="shared" si="24"/>
        <v>-1002755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49575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49575</v>
      </c>
      <c r="J75" s="37"/>
      <c r="K75" s="38"/>
      <c r="L75" s="60">
        <f t="shared" si="24"/>
        <v>0</v>
      </c>
      <c r="M75" s="38">
        <f t="shared" si="24"/>
        <v>49575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-8354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-8354</v>
      </c>
      <c r="J76" s="37"/>
      <c r="K76" s="38"/>
      <c r="L76" s="60">
        <f t="shared" si="24"/>
        <v>0</v>
      </c>
      <c r="M76" s="38">
        <f t="shared" si="24"/>
        <v>-8354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1211768.94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1211768.94</v>
      </c>
      <c r="J79" s="37"/>
      <c r="K79" s="38"/>
      <c r="L79" s="60">
        <f t="shared" si="24"/>
        <v>0</v>
      </c>
      <c r="M79" s="38">
        <f t="shared" si="24"/>
        <v>1211768.94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-5057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-5057</v>
      </c>
      <c r="J81" s="37"/>
      <c r="K81" s="38"/>
      <c r="L81" s="60">
        <f t="shared" si="24"/>
        <v>0</v>
      </c>
      <c r="M81" s="38">
        <f t="shared" si="24"/>
        <v>-5057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3221380.6430000141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3221380.6430000141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3221380.6430000141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7555750</v>
      </c>
      <c r="E11" s="146">
        <v>17429803</v>
      </c>
      <c r="F11" s="60">
        <f>H11-D11</f>
        <v>0</v>
      </c>
      <c r="G11" s="37">
        <f>I11-E11</f>
        <v>0</v>
      </c>
      <c r="H11" s="65">
        <f t="shared" ref="H11:I15" si="0">D11</f>
        <v>7555750</v>
      </c>
      <c r="I11" s="66">
        <f t="shared" si="0"/>
        <v>17429803</v>
      </c>
      <c r="J11" s="37"/>
      <c r="K11" s="38"/>
      <c r="L11" s="60">
        <f t="shared" ref="L11:M15" si="1">H11+J11</f>
        <v>7555750</v>
      </c>
      <c r="M11" s="38">
        <f t="shared" si="1"/>
        <v>17429803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3927553</v>
      </c>
      <c r="E13" s="146">
        <v>9502443</v>
      </c>
      <c r="F13" s="60">
        <f t="shared" si="2"/>
        <v>0</v>
      </c>
      <c r="G13" s="37">
        <f t="shared" si="2"/>
        <v>0</v>
      </c>
      <c r="H13" s="65">
        <f t="shared" si="0"/>
        <v>3927553</v>
      </c>
      <c r="I13" s="66">
        <f t="shared" si="0"/>
        <v>9502443</v>
      </c>
      <c r="J13" s="37"/>
      <c r="K13" s="38"/>
      <c r="L13" s="60">
        <f t="shared" si="1"/>
        <v>3927553</v>
      </c>
      <c r="M13" s="38">
        <f t="shared" si="1"/>
        <v>9502443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11483303</v>
      </c>
      <c r="E16" s="166">
        <v>26932246</v>
      </c>
      <c r="F16" s="61">
        <f t="shared" ref="F16:M16" si="3">SUM(F11:F15)</f>
        <v>0</v>
      </c>
      <c r="G16" s="39">
        <f t="shared" si="3"/>
        <v>0</v>
      </c>
      <c r="H16" s="61">
        <f>SUM(H11:H15)</f>
        <v>11483303</v>
      </c>
      <c r="I16" s="39">
        <f>SUM(I11:I15)</f>
        <v>26932246</v>
      </c>
      <c r="J16" s="133">
        <f t="shared" si="3"/>
        <v>0</v>
      </c>
      <c r="K16" s="39">
        <f t="shared" si="3"/>
        <v>0</v>
      </c>
      <c r="L16" s="61">
        <f t="shared" si="3"/>
        <v>11483303</v>
      </c>
      <c r="M16" s="39">
        <f t="shared" si="3"/>
        <v>26932246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-4678366</v>
      </c>
      <c r="E19" s="146">
        <v>-11156729</v>
      </c>
      <c r="F19" s="60">
        <f>H19-D19</f>
        <v>0</v>
      </c>
      <c r="G19" s="37">
        <f>I19-E19</f>
        <v>0</v>
      </c>
      <c r="H19" s="65">
        <f t="shared" si="4"/>
        <v>-4678366</v>
      </c>
      <c r="I19" s="66">
        <f t="shared" si="4"/>
        <v>-11156729</v>
      </c>
      <c r="J19" s="37">
        <v>0</v>
      </c>
      <c r="K19" s="38">
        <v>0</v>
      </c>
      <c r="L19" s="60">
        <f t="shared" ref="L19:M23" si="5">H19+J19</f>
        <v>-4678366</v>
      </c>
      <c r="M19" s="38">
        <f t="shared" si="5"/>
        <v>-11156729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-6777912</v>
      </c>
      <c r="E21" s="146">
        <v>-15769833</v>
      </c>
      <c r="F21" s="60">
        <f t="shared" si="6"/>
        <v>0</v>
      </c>
      <c r="G21" s="37">
        <f t="shared" si="6"/>
        <v>0</v>
      </c>
      <c r="H21" s="65">
        <f t="shared" si="4"/>
        <v>-6777912</v>
      </c>
      <c r="I21" s="66">
        <f t="shared" si="4"/>
        <v>-15769833</v>
      </c>
      <c r="J21" s="37"/>
      <c r="K21" s="38"/>
      <c r="L21" s="60">
        <f t="shared" si="5"/>
        <v>-6777912</v>
      </c>
      <c r="M21" s="38">
        <f t="shared" si="5"/>
        <v>-15769833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84</v>
      </c>
      <c r="E23" s="146">
        <v>200</v>
      </c>
      <c r="F23" s="60">
        <f t="shared" si="6"/>
        <v>0</v>
      </c>
      <c r="G23" s="37">
        <f t="shared" si="6"/>
        <v>0</v>
      </c>
      <c r="H23" s="65">
        <f t="shared" si="4"/>
        <v>84</v>
      </c>
      <c r="I23" s="66">
        <f t="shared" si="4"/>
        <v>200</v>
      </c>
      <c r="J23" s="37"/>
      <c r="K23" s="38"/>
      <c r="L23" s="60">
        <f t="shared" si="5"/>
        <v>84</v>
      </c>
      <c r="M23" s="38">
        <f t="shared" si="5"/>
        <v>200</v>
      </c>
    </row>
    <row r="24" spans="1:13" x14ac:dyDescent="0.25">
      <c r="A24" s="9"/>
      <c r="B24" s="7" t="s">
        <v>33</v>
      </c>
      <c r="C24" s="6"/>
      <c r="D24" s="166">
        <v>-11456194</v>
      </c>
      <c r="E24" s="166">
        <v>-26926362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-11456194</v>
      </c>
      <c r="I24" s="39">
        <f>SUM(I19:I23)</f>
        <v>-26926362</v>
      </c>
      <c r="J24" s="133">
        <f t="shared" si="7"/>
        <v>0</v>
      </c>
      <c r="K24" s="39">
        <f t="shared" si="7"/>
        <v>0</v>
      </c>
      <c r="L24" s="61">
        <f t="shared" si="7"/>
        <v>-11456194</v>
      </c>
      <c r="M24" s="39">
        <f t="shared" si="7"/>
        <v>-26926362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-56791</v>
      </c>
      <c r="E32" s="146">
        <v>-58</v>
      </c>
      <c r="F32" s="60">
        <f>H32-D32</f>
        <v>0</v>
      </c>
      <c r="G32" s="37">
        <f>I32-E32</f>
        <v>0</v>
      </c>
      <c r="H32" s="65">
        <f t="shared" ref="H32:I35" si="9">D32</f>
        <v>-56791</v>
      </c>
      <c r="I32" s="66">
        <f t="shared" si="9"/>
        <v>-58</v>
      </c>
      <c r="J32" s="37"/>
      <c r="K32" s="38"/>
      <c r="L32" s="60">
        <f t="shared" ref="L32:M35" si="10">H32+J32</f>
        <v>-56791</v>
      </c>
      <c r="M32" s="38">
        <f t="shared" si="10"/>
        <v>-58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-56791</v>
      </c>
      <c r="E36" s="166">
        <v>-58</v>
      </c>
      <c r="F36" s="61">
        <f>SUM(F32:F35)</f>
        <v>0</v>
      </c>
      <c r="G36" s="39">
        <f>SUM(G32:G35)</f>
        <v>0</v>
      </c>
      <c r="H36" s="61">
        <f>SUM(H32:H35)</f>
        <v>-56791</v>
      </c>
      <c r="I36" s="39">
        <f>SUM(I32:I35)</f>
        <v>-58</v>
      </c>
      <c r="J36" s="133">
        <f>SUM(J32:J34)</f>
        <v>0</v>
      </c>
      <c r="K36" s="39">
        <f>SUM(K32:K34)</f>
        <v>0</v>
      </c>
      <c r="L36" s="61">
        <f>SUM(L32:L35)</f>
        <v>-56791</v>
      </c>
      <c r="M36" s="39">
        <f>SUM(M32:M35)</f>
        <v>-58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29682</v>
      </c>
      <c r="E49" s="146">
        <v>67877.929239970021</v>
      </c>
      <c r="F49" s="60">
        <f>H49-D49</f>
        <v>0</v>
      </c>
      <c r="G49" s="37">
        <f>I49-E49</f>
        <v>0</v>
      </c>
      <c r="H49" s="65">
        <f>D49</f>
        <v>29682</v>
      </c>
      <c r="I49" s="66">
        <f>E49</f>
        <v>67877.929239970021</v>
      </c>
      <c r="J49" s="37"/>
      <c r="K49" s="38"/>
      <c r="L49" s="60">
        <f>H49+J49</f>
        <v>29682</v>
      </c>
      <c r="M49" s="38">
        <f>I49+K49</f>
        <v>67877.929239970021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-84</v>
      </c>
      <c r="E51" s="146">
        <v>-200</v>
      </c>
      <c r="F51" s="60">
        <f>H51-D51</f>
        <v>0</v>
      </c>
      <c r="G51" s="37">
        <f>I51-E51</f>
        <v>0</v>
      </c>
      <c r="H51" s="65">
        <f>D51</f>
        <v>-84</v>
      </c>
      <c r="I51" s="66">
        <f>E51</f>
        <v>-200</v>
      </c>
      <c r="J51" s="37"/>
      <c r="K51" s="38"/>
      <c r="L51" s="60">
        <f>H51+J51</f>
        <v>-84</v>
      </c>
      <c r="M51" s="38">
        <f>I51+K51</f>
        <v>-200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-64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-64</v>
      </c>
      <c r="J54" s="37"/>
      <c r="K54" s="38"/>
      <c r="L54" s="60">
        <f>H54+J54</f>
        <v>0</v>
      </c>
      <c r="M54" s="38">
        <f>I54+K54</f>
        <v>-64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-7483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-7483</v>
      </c>
      <c r="J55" s="37"/>
      <c r="K55" s="38"/>
      <c r="L55" s="60">
        <f>H55+J55</f>
        <v>0</v>
      </c>
      <c r="M55" s="38">
        <f>I55+K55</f>
        <v>-7483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-7547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-7547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-7547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-322863.26569999999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-322863.26569999999</v>
      </c>
      <c r="J70" s="37"/>
      <c r="K70" s="38"/>
      <c r="L70" s="60">
        <f t="shared" si="20"/>
        <v>0</v>
      </c>
      <c r="M70" s="38">
        <f t="shared" si="20"/>
        <v>-322863.26569999999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-77884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-77884</v>
      </c>
      <c r="J71" s="37"/>
      <c r="K71" s="38"/>
      <c r="L71" s="60">
        <f t="shared" si="20"/>
        <v>0</v>
      </c>
      <c r="M71" s="38">
        <f t="shared" si="20"/>
        <v>-77884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-400747.26569999999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-400747.26569999999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-400747.26569999999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453414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453414</v>
      </c>
      <c r="J74" s="37"/>
      <c r="K74" s="38"/>
      <c r="L74" s="60">
        <f t="shared" si="23"/>
        <v>0</v>
      </c>
      <c r="M74" s="38">
        <f t="shared" si="23"/>
        <v>453414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153274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153274</v>
      </c>
      <c r="J81" s="37"/>
      <c r="K81" s="38"/>
      <c r="L81" s="60">
        <f t="shared" si="23"/>
        <v>0</v>
      </c>
      <c r="M81" s="38">
        <f t="shared" si="23"/>
        <v>153274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271897.66353996878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271897.66353996878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271897.66353996878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16545855</v>
      </c>
      <c r="E11" s="146">
        <v>40536583</v>
      </c>
      <c r="F11" s="60">
        <f>H11-D11</f>
        <v>0</v>
      </c>
      <c r="G11" s="37">
        <f>I11-E11</f>
        <v>0</v>
      </c>
      <c r="H11" s="65">
        <f t="shared" ref="H11:I15" si="0">D11</f>
        <v>16545855</v>
      </c>
      <c r="I11" s="66">
        <f t="shared" si="0"/>
        <v>40536583</v>
      </c>
      <c r="J11" s="37"/>
      <c r="K11" s="38"/>
      <c r="L11" s="60">
        <f t="shared" ref="L11:M15" si="1">H11+J11</f>
        <v>16545855</v>
      </c>
      <c r="M11" s="38">
        <f t="shared" si="1"/>
        <v>40536583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25646524</v>
      </c>
      <c r="E13" s="146">
        <v>62333419</v>
      </c>
      <c r="F13" s="60">
        <f t="shared" si="2"/>
        <v>0</v>
      </c>
      <c r="G13" s="37">
        <f t="shared" si="2"/>
        <v>0</v>
      </c>
      <c r="H13" s="65">
        <f t="shared" si="0"/>
        <v>25646524</v>
      </c>
      <c r="I13" s="66">
        <f t="shared" si="0"/>
        <v>62333419</v>
      </c>
      <c r="J13" s="37"/>
      <c r="K13" s="38"/>
      <c r="L13" s="60">
        <f t="shared" si="1"/>
        <v>25646524</v>
      </c>
      <c r="M13" s="38">
        <f t="shared" si="1"/>
        <v>62333419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42192379</v>
      </c>
      <c r="E16" s="166">
        <v>102870002</v>
      </c>
      <c r="F16" s="61">
        <f t="shared" ref="F16:M16" si="3">SUM(F11:F15)</f>
        <v>0</v>
      </c>
      <c r="G16" s="39">
        <f t="shared" si="3"/>
        <v>0</v>
      </c>
      <c r="H16" s="61">
        <f>SUM(H11:H15)</f>
        <v>42192379</v>
      </c>
      <c r="I16" s="39">
        <f>SUM(I11:I15)</f>
        <v>102870002</v>
      </c>
      <c r="J16" s="133">
        <f t="shared" si="3"/>
        <v>0</v>
      </c>
      <c r="K16" s="39">
        <f t="shared" si="3"/>
        <v>0</v>
      </c>
      <c r="L16" s="61">
        <f t="shared" si="3"/>
        <v>42192379</v>
      </c>
      <c r="M16" s="39">
        <f t="shared" si="3"/>
        <v>102870002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-11681391</v>
      </c>
      <c r="E19" s="146">
        <v>-27562027</v>
      </c>
      <c r="F19" s="60">
        <f>H19-D19</f>
        <v>0</v>
      </c>
      <c r="G19" s="37">
        <f>I19-E19</f>
        <v>0</v>
      </c>
      <c r="H19" s="65">
        <f t="shared" si="4"/>
        <v>-11681391</v>
      </c>
      <c r="I19" s="66">
        <f t="shared" si="4"/>
        <v>-27562027</v>
      </c>
      <c r="J19" s="37">
        <v>0</v>
      </c>
      <c r="K19" s="38">
        <v>0</v>
      </c>
      <c r="L19" s="60">
        <f t="shared" ref="L19:M23" si="5">H19+J19</f>
        <v>-11681391</v>
      </c>
      <c r="M19" s="38">
        <f t="shared" si="5"/>
        <v>-27562027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-30848646</v>
      </c>
      <c r="E21" s="146">
        <v>-74567387</v>
      </c>
      <c r="F21" s="60">
        <f t="shared" si="6"/>
        <v>0</v>
      </c>
      <c r="G21" s="37">
        <f t="shared" si="6"/>
        <v>0</v>
      </c>
      <c r="H21" s="65">
        <f t="shared" si="4"/>
        <v>-30848646</v>
      </c>
      <c r="I21" s="66">
        <f t="shared" si="4"/>
        <v>-74567387</v>
      </c>
      <c r="J21" s="37"/>
      <c r="K21" s="38"/>
      <c r="L21" s="60">
        <f t="shared" si="5"/>
        <v>-30848646</v>
      </c>
      <c r="M21" s="38">
        <f t="shared" si="5"/>
        <v>-74567387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325104</v>
      </c>
      <c r="E23" s="146">
        <v>773031</v>
      </c>
      <c r="F23" s="60">
        <f t="shared" si="6"/>
        <v>0</v>
      </c>
      <c r="G23" s="37">
        <f t="shared" si="6"/>
        <v>0</v>
      </c>
      <c r="H23" s="65">
        <f t="shared" si="4"/>
        <v>325104</v>
      </c>
      <c r="I23" s="66">
        <f t="shared" si="4"/>
        <v>773031</v>
      </c>
      <c r="J23" s="37"/>
      <c r="K23" s="38"/>
      <c r="L23" s="60">
        <f t="shared" si="5"/>
        <v>325104</v>
      </c>
      <c r="M23" s="38">
        <f t="shared" si="5"/>
        <v>773031</v>
      </c>
    </row>
    <row r="24" spans="1:13" x14ac:dyDescent="0.25">
      <c r="A24" s="9"/>
      <c r="B24" s="7" t="s">
        <v>33</v>
      </c>
      <c r="C24" s="6"/>
      <c r="D24" s="166">
        <v>-42204933</v>
      </c>
      <c r="E24" s="166">
        <v>-101356383</v>
      </c>
      <c r="F24" s="61">
        <f t="shared" ref="F24:M24" si="7">SUM(F19:F23)</f>
        <v>0</v>
      </c>
      <c r="G24" s="39">
        <f t="shared" si="7"/>
        <v>0</v>
      </c>
      <c r="H24" s="61">
        <f>SUM(H19:H23)</f>
        <v>-42204933</v>
      </c>
      <c r="I24" s="39">
        <f>SUM(I19:I23)</f>
        <v>-101356383</v>
      </c>
      <c r="J24" s="133">
        <f t="shared" si="7"/>
        <v>0</v>
      </c>
      <c r="K24" s="39">
        <f t="shared" si="7"/>
        <v>0</v>
      </c>
      <c r="L24" s="61">
        <f t="shared" si="7"/>
        <v>-42204933</v>
      </c>
      <c r="M24" s="39">
        <f t="shared" si="7"/>
        <v>-101356383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12554</v>
      </c>
      <c r="E49" s="146">
        <v>29721.637375299964</v>
      </c>
      <c r="F49" s="60">
        <f>H49-D49</f>
        <v>0</v>
      </c>
      <c r="G49" s="37">
        <f>I49-E49</f>
        <v>0</v>
      </c>
      <c r="H49" s="65">
        <f>D49</f>
        <v>12554</v>
      </c>
      <c r="I49" s="66">
        <f>E49</f>
        <v>29721.637375299964</v>
      </c>
      <c r="J49" s="37"/>
      <c r="K49" s="38"/>
      <c r="L49" s="60">
        <f>H49+J49</f>
        <v>12554</v>
      </c>
      <c r="M49" s="38">
        <f>I49+K49</f>
        <v>29721.637375299964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-325104</v>
      </c>
      <c r="E51" s="146">
        <v>-773031</v>
      </c>
      <c r="F51" s="60">
        <f>H51-D51</f>
        <v>0</v>
      </c>
      <c r="G51" s="37">
        <f>I51-E51</f>
        <v>0</v>
      </c>
      <c r="H51" s="65">
        <f>D51</f>
        <v>-325104</v>
      </c>
      <c r="I51" s="66">
        <f>E51</f>
        <v>-773031</v>
      </c>
      <c r="J51" s="37"/>
      <c r="K51" s="38"/>
      <c r="L51" s="60">
        <f>H51+J51</f>
        <v>-325104</v>
      </c>
      <c r="M51" s="38">
        <f>I51+K51</f>
        <v>-773031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-71026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-71026</v>
      </c>
      <c r="J54" s="37"/>
      <c r="K54" s="38"/>
      <c r="L54" s="60">
        <f>H54+J54</f>
        <v>0</v>
      </c>
      <c r="M54" s="38">
        <f>I54+K54</f>
        <v>-71026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-71026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-71026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-71026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12261468.489899993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12261468.489899993</v>
      </c>
      <c r="J70" s="37"/>
      <c r="K70" s="38"/>
      <c r="L70" s="60">
        <f t="shared" si="20"/>
        <v>0</v>
      </c>
      <c r="M70" s="38">
        <f t="shared" si="20"/>
        <v>12261468.489899993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-14085870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-14085870</v>
      </c>
      <c r="J71" s="37"/>
      <c r="K71" s="38"/>
      <c r="L71" s="60">
        <f t="shared" si="20"/>
        <v>0</v>
      </c>
      <c r="M71" s="38">
        <f t="shared" si="20"/>
        <v>-14085870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-1824401.5101000071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-1824401.5101000071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-1824401.5101000071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670073.51010000007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670073.51010000007</v>
      </c>
      <c r="J74" s="37"/>
      <c r="K74" s="38"/>
      <c r="L74" s="60">
        <f t="shared" si="23"/>
        <v>0</v>
      </c>
      <c r="M74" s="38">
        <f t="shared" si="23"/>
        <v>670073.51010000007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12711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12711</v>
      </c>
      <c r="J81" s="37"/>
      <c r="K81" s="38"/>
      <c r="L81" s="60">
        <f t="shared" si="23"/>
        <v>0</v>
      </c>
      <c r="M81" s="38">
        <f t="shared" si="23"/>
        <v>12711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-442333.36262470006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-442333.36262470006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-442333.36262470006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H32" activePane="bottomRight" state="frozen"/>
      <selection activeCell="D10" sqref="D10"/>
      <selection pane="topRight" activeCell="D10" sqref="D10"/>
      <selection pane="bottomLeft" activeCell="D10" sqref="D10"/>
      <selection pane="bottomRight" activeCell="E41" sqref="E4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7">
        <v>196234304</v>
      </c>
      <c r="E11" s="217">
        <v>490071985.8439247</v>
      </c>
      <c r="F11" s="60">
        <f>H11-D11</f>
        <v>0</v>
      </c>
      <c r="G11" s="37">
        <f>I11-E11</f>
        <v>0</v>
      </c>
      <c r="H11" s="65">
        <f>D11</f>
        <v>196234304</v>
      </c>
      <c r="I11" s="66">
        <f>E11</f>
        <v>490071985.8439247</v>
      </c>
      <c r="J11" s="60"/>
      <c r="K11" s="38"/>
      <c r="L11" s="60">
        <f t="shared" ref="L11:M15" si="0">H11+J11</f>
        <v>196234304</v>
      </c>
      <c r="M11" s="38">
        <f t="shared" si="0"/>
        <v>490071985.8439247</v>
      </c>
    </row>
    <row r="12" spans="1:26" x14ac:dyDescent="0.25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7">
        <v>78004071</v>
      </c>
      <c r="E13" s="217">
        <v>201341832</v>
      </c>
      <c r="F13" s="60">
        <f t="shared" si="1"/>
        <v>0</v>
      </c>
      <c r="G13" s="37">
        <f t="shared" si="1"/>
        <v>0</v>
      </c>
      <c r="H13" s="65">
        <f t="shared" si="2"/>
        <v>78004071</v>
      </c>
      <c r="I13" s="66">
        <f t="shared" si="2"/>
        <v>201341832</v>
      </c>
      <c r="J13" s="60"/>
      <c r="K13" s="38"/>
      <c r="L13" s="60">
        <f t="shared" si="0"/>
        <v>78004071</v>
      </c>
      <c r="M13" s="38">
        <f t="shared" si="0"/>
        <v>201341832</v>
      </c>
    </row>
    <row r="14" spans="1:26" x14ac:dyDescent="0.25">
      <c r="A14" s="9">
        <v>4</v>
      </c>
      <c r="B14" s="7"/>
      <c r="C14" s="18" t="s">
        <v>28</v>
      </c>
      <c r="D14" s="217">
        <v>0</v>
      </c>
      <c r="E14" s="217">
        <v>-496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-496</v>
      </c>
      <c r="J14" s="60"/>
      <c r="K14" s="38"/>
      <c r="L14" s="60">
        <f t="shared" si="0"/>
        <v>0</v>
      </c>
      <c r="M14" s="38">
        <f t="shared" si="0"/>
        <v>-496</v>
      </c>
    </row>
    <row r="15" spans="1:26" x14ac:dyDescent="0.25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8">
        <v>274238375</v>
      </c>
      <c r="E16" s="218">
        <v>691413321.84392476</v>
      </c>
      <c r="F16" s="61">
        <f t="shared" ref="F16:M16" si="3">SUM(F11:F15)</f>
        <v>0</v>
      </c>
      <c r="G16" s="39">
        <f t="shared" si="3"/>
        <v>0</v>
      </c>
      <c r="H16" s="61">
        <f>SUM(H11:H15)</f>
        <v>274238375</v>
      </c>
      <c r="I16" s="39">
        <f>SUM(I11:I15)</f>
        <v>691413321.84392476</v>
      </c>
      <c r="J16" s="61">
        <f t="shared" si="3"/>
        <v>0</v>
      </c>
      <c r="K16" s="39">
        <f t="shared" si="3"/>
        <v>0</v>
      </c>
      <c r="L16" s="61">
        <f t="shared" si="3"/>
        <v>274238375</v>
      </c>
      <c r="M16" s="39">
        <f t="shared" si="3"/>
        <v>691413321.84392476</v>
      </c>
    </row>
    <row r="17" spans="1:13" x14ac:dyDescent="0.25">
      <c r="A17" s="9"/>
      <c r="B17" s="7"/>
      <c r="C17" s="6"/>
      <c r="D17" s="219"/>
      <c r="E17" s="219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9"/>
      <c r="E18" s="219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7">
        <v>-181648816</v>
      </c>
      <c r="E19" s="217">
        <v>-442342911</v>
      </c>
      <c r="F19" s="60">
        <f>H19-D19</f>
        <v>0</v>
      </c>
      <c r="G19" s="37">
        <f>I19-E19</f>
        <v>0</v>
      </c>
      <c r="H19" s="65">
        <f t="shared" si="4"/>
        <v>-181648816</v>
      </c>
      <c r="I19" s="66">
        <f t="shared" si="4"/>
        <v>-442342911</v>
      </c>
      <c r="J19" s="60"/>
      <c r="K19" s="38"/>
      <c r="L19" s="60">
        <f t="shared" ref="L19:M23" si="5">H19+J19</f>
        <v>-181648816</v>
      </c>
      <c r="M19" s="38">
        <f t="shared" si="5"/>
        <v>-442342911</v>
      </c>
    </row>
    <row r="20" spans="1:13" x14ac:dyDescent="0.25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7">
        <v>-82385658</v>
      </c>
      <c r="E21" s="217">
        <v>-214966656</v>
      </c>
      <c r="F21" s="60">
        <f t="shared" si="6"/>
        <v>0</v>
      </c>
      <c r="G21" s="37">
        <f t="shared" si="6"/>
        <v>0</v>
      </c>
      <c r="H21" s="65">
        <f t="shared" si="4"/>
        <v>-82385658</v>
      </c>
      <c r="I21" s="66">
        <f t="shared" si="4"/>
        <v>-214966656</v>
      </c>
      <c r="J21" s="60"/>
      <c r="K21" s="38"/>
      <c r="L21" s="60">
        <f t="shared" si="5"/>
        <v>-82385658</v>
      </c>
      <c r="M21" s="38">
        <f t="shared" si="5"/>
        <v>-214966656</v>
      </c>
    </row>
    <row r="22" spans="1:13" x14ac:dyDescent="0.25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7">
        <v>514927</v>
      </c>
      <c r="E23" s="217">
        <v>1274153</v>
      </c>
      <c r="F23" s="60">
        <f t="shared" si="6"/>
        <v>0</v>
      </c>
      <c r="G23" s="37">
        <f t="shared" si="6"/>
        <v>0</v>
      </c>
      <c r="H23" s="65">
        <f t="shared" si="4"/>
        <v>514927</v>
      </c>
      <c r="I23" s="66">
        <f t="shared" si="4"/>
        <v>1274153</v>
      </c>
      <c r="J23" s="60"/>
      <c r="K23" s="38"/>
      <c r="L23" s="60">
        <f t="shared" si="5"/>
        <v>514927</v>
      </c>
      <c r="M23" s="38">
        <f t="shared" si="5"/>
        <v>1274153</v>
      </c>
    </row>
    <row r="24" spans="1:13" x14ac:dyDescent="0.25">
      <c r="A24" s="9"/>
      <c r="B24" s="7" t="s">
        <v>33</v>
      </c>
      <c r="C24" s="6"/>
      <c r="D24" s="218">
        <v>-263519547</v>
      </c>
      <c r="E24" s="218">
        <v>-656035414</v>
      </c>
      <c r="F24" s="61">
        <f t="shared" ref="F24:M24" si="7">SUM(F19:F23)</f>
        <v>0</v>
      </c>
      <c r="G24" s="39">
        <f t="shared" si="7"/>
        <v>0</v>
      </c>
      <c r="H24" s="61">
        <f>SUM(H19:H23)</f>
        <v>-263519547</v>
      </c>
      <c r="I24" s="39">
        <f>SUM(I19:I23)</f>
        <v>-656035414</v>
      </c>
      <c r="J24" s="61">
        <f t="shared" si="7"/>
        <v>0</v>
      </c>
      <c r="K24" s="39">
        <f t="shared" si="7"/>
        <v>0</v>
      </c>
      <c r="L24" s="61">
        <f t="shared" si="7"/>
        <v>-263519547</v>
      </c>
      <c r="M24" s="39">
        <f t="shared" si="7"/>
        <v>-656035414</v>
      </c>
    </row>
    <row r="25" spans="1:13" x14ac:dyDescent="0.25">
      <c r="A25" s="9"/>
      <c r="B25" s="7"/>
      <c r="C25" s="6"/>
      <c r="D25" s="219"/>
      <c r="E25" s="219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9"/>
      <c r="E26" s="219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9"/>
      <c r="E30" s="219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9"/>
      <c r="E31" s="219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7">
        <v>-2118787</v>
      </c>
      <c r="E32" s="217">
        <v>-5274638</v>
      </c>
      <c r="F32" s="60">
        <f>H32-D32</f>
        <v>0</v>
      </c>
      <c r="G32" s="37">
        <f>I32-E32</f>
        <v>0</v>
      </c>
      <c r="H32" s="65">
        <f t="shared" ref="H32:I35" si="9">D32</f>
        <v>-2118787</v>
      </c>
      <c r="I32" s="66">
        <f t="shared" si="9"/>
        <v>-5274638</v>
      </c>
      <c r="J32" s="60"/>
      <c r="K32" s="38"/>
      <c r="L32" s="60">
        <f t="shared" ref="L32:M35" si="10">H32+J32</f>
        <v>-2118787</v>
      </c>
      <c r="M32" s="38">
        <f t="shared" si="10"/>
        <v>-5274638</v>
      </c>
    </row>
    <row r="33" spans="1:13" x14ac:dyDescent="0.25">
      <c r="A33" s="9">
        <v>14</v>
      </c>
      <c r="B33" s="7"/>
      <c r="C33" s="18" t="s">
        <v>40</v>
      </c>
      <c r="D33" s="217">
        <v>407133</v>
      </c>
      <c r="E33" s="217">
        <v>929952</v>
      </c>
      <c r="F33" s="60">
        <f t="shared" ref="F33:G35" si="11">H33-D33</f>
        <v>0</v>
      </c>
      <c r="G33" s="37">
        <f t="shared" si="11"/>
        <v>0</v>
      </c>
      <c r="H33" s="65">
        <f t="shared" si="9"/>
        <v>407133</v>
      </c>
      <c r="I33" s="66">
        <f t="shared" si="9"/>
        <v>929952</v>
      </c>
      <c r="J33" s="60"/>
      <c r="K33" s="38"/>
      <c r="L33" s="60">
        <f t="shared" si="10"/>
        <v>407133</v>
      </c>
      <c r="M33" s="38">
        <f t="shared" si="10"/>
        <v>929952</v>
      </c>
    </row>
    <row r="34" spans="1:13" x14ac:dyDescent="0.25">
      <c r="A34" s="9">
        <v>15</v>
      </c>
      <c r="B34" s="7"/>
      <c r="C34" s="18" t="s">
        <v>41</v>
      </c>
      <c r="D34" s="217">
        <v>-816595</v>
      </c>
      <c r="E34" s="217">
        <v>-1863552</v>
      </c>
      <c r="F34" s="60">
        <f t="shared" si="11"/>
        <v>0</v>
      </c>
      <c r="G34" s="37">
        <f t="shared" si="11"/>
        <v>0</v>
      </c>
      <c r="H34" s="65">
        <f t="shared" si="9"/>
        <v>-816595</v>
      </c>
      <c r="I34" s="66">
        <f t="shared" si="9"/>
        <v>-1863552</v>
      </c>
      <c r="J34" s="60"/>
      <c r="K34" s="38"/>
      <c r="L34" s="60">
        <f t="shared" si="10"/>
        <v>-816595</v>
      </c>
      <c r="M34" s="38">
        <f t="shared" si="10"/>
        <v>-1863552</v>
      </c>
    </row>
    <row r="35" spans="1:13" x14ac:dyDescent="0.25">
      <c r="A35" s="9">
        <v>16</v>
      </c>
      <c r="B35" s="7"/>
      <c r="C35" s="18" t="s">
        <v>42</v>
      </c>
      <c r="D35" s="217">
        <v>-939991</v>
      </c>
      <c r="E35" s="217">
        <v>-2167386</v>
      </c>
      <c r="F35" s="60">
        <f t="shared" si="11"/>
        <v>0</v>
      </c>
      <c r="G35" s="37">
        <f t="shared" si="11"/>
        <v>0</v>
      </c>
      <c r="H35" s="65">
        <f t="shared" si="9"/>
        <v>-939991</v>
      </c>
      <c r="I35" s="66">
        <f t="shared" si="9"/>
        <v>-2167386</v>
      </c>
      <c r="J35" s="60"/>
      <c r="K35" s="38"/>
      <c r="L35" s="60">
        <f t="shared" si="10"/>
        <v>-939991</v>
      </c>
      <c r="M35" s="38">
        <f t="shared" si="10"/>
        <v>-2167386</v>
      </c>
    </row>
    <row r="36" spans="1:13" x14ac:dyDescent="0.25">
      <c r="A36" s="9"/>
      <c r="B36" s="7" t="s">
        <v>43</v>
      </c>
      <c r="C36" s="6"/>
      <c r="D36" s="218">
        <v>-3468240</v>
      </c>
      <c r="E36" s="218">
        <v>-8375624</v>
      </c>
      <c r="F36" s="61">
        <f>SUM(F32:F35)</f>
        <v>0</v>
      </c>
      <c r="G36" s="39">
        <f>SUM(G32:G35)</f>
        <v>0</v>
      </c>
      <c r="H36" s="61">
        <f>SUM(H32:H35)</f>
        <v>-3468240</v>
      </c>
      <c r="I36" s="39">
        <f>SUM(I32:I35)</f>
        <v>-8375624</v>
      </c>
      <c r="J36" s="61">
        <f>SUM(J32:J34)</f>
        <v>0</v>
      </c>
      <c r="K36" s="39">
        <f>SUM(K32:K34)</f>
        <v>0</v>
      </c>
      <c r="L36" s="61">
        <f>SUM(L32:L35)</f>
        <v>-3468240</v>
      </c>
      <c r="M36" s="39">
        <f>SUM(M32:M35)</f>
        <v>-8375624</v>
      </c>
    </row>
    <row r="37" spans="1:13" x14ac:dyDescent="0.25">
      <c r="A37" s="9"/>
      <c r="B37" s="7"/>
      <c r="C37" s="6"/>
      <c r="D37" s="219"/>
      <c r="E37" s="219"/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9"/>
      <c r="E38" s="219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7">
        <v>925403</v>
      </c>
      <c r="E39" s="217">
        <v>2183950</v>
      </c>
      <c r="F39" s="60">
        <f t="shared" ref="F39:G41" si="13">H39-D39</f>
        <v>0</v>
      </c>
      <c r="G39" s="37">
        <f t="shared" si="13"/>
        <v>0</v>
      </c>
      <c r="H39" s="65">
        <f t="shared" si="12"/>
        <v>925403</v>
      </c>
      <c r="I39" s="66">
        <f t="shared" si="12"/>
        <v>2183950</v>
      </c>
      <c r="J39" s="60"/>
      <c r="K39" s="38"/>
      <c r="L39" s="60">
        <f t="shared" ref="L39:M41" si="14">H39+J39</f>
        <v>925403</v>
      </c>
      <c r="M39" s="38">
        <f t="shared" si="14"/>
        <v>2183950</v>
      </c>
    </row>
    <row r="40" spans="1:13" ht="22.5" customHeight="1" x14ac:dyDescent="0.25">
      <c r="A40" s="9">
        <v>18</v>
      </c>
      <c r="B40" s="7"/>
      <c r="C40" s="18" t="s">
        <v>46</v>
      </c>
      <c r="D40" s="217">
        <v>-5802948</v>
      </c>
      <c r="E40" s="217">
        <f>-14112628+883494</f>
        <v>-13229134</v>
      </c>
      <c r="F40" s="60">
        <f t="shared" si="13"/>
        <v>0</v>
      </c>
      <c r="G40" s="37">
        <f t="shared" si="13"/>
        <v>0</v>
      </c>
      <c r="H40" s="65">
        <f t="shared" si="12"/>
        <v>-5802948</v>
      </c>
      <c r="I40" s="66">
        <f t="shared" si="12"/>
        <v>-13229134</v>
      </c>
      <c r="J40" s="60"/>
      <c r="K40" s="38"/>
      <c r="L40" s="60">
        <f t="shared" si="14"/>
        <v>-5802948</v>
      </c>
      <c r="M40" s="38">
        <f t="shared" si="14"/>
        <v>-13229134</v>
      </c>
    </row>
    <row r="41" spans="1:13" x14ac:dyDescent="0.25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8">
        <v>-5802948</v>
      </c>
      <c r="E42" s="218">
        <v>-14112628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-5802948</v>
      </c>
      <c r="I42" s="39">
        <f>SUM(I40:I41)</f>
        <v>-13229134</v>
      </c>
      <c r="J42" s="61">
        <f t="shared" si="15"/>
        <v>0</v>
      </c>
      <c r="K42" s="39">
        <f t="shared" si="15"/>
        <v>0</v>
      </c>
      <c r="L42" s="61">
        <f t="shared" si="15"/>
        <v>-5802948</v>
      </c>
      <c r="M42" s="39">
        <f t="shared" si="15"/>
        <v>-13229134</v>
      </c>
    </row>
    <row r="43" spans="1:13" ht="21" customHeight="1" x14ac:dyDescent="0.25">
      <c r="A43" s="9"/>
      <c r="B43" s="7" t="s">
        <v>49</v>
      </c>
      <c r="C43" s="6"/>
      <c r="D43" s="218">
        <v>-4877545</v>
      </c>
      <c r="E43" s="218">
        <v>-11928678</v>
      </c>
      <c r="F43" s="61">
        <f t="shared" ref="F43:M43" si="16">F42+F39</f>
        <v>0</v>
      </c>
      <c r="G43" s="39">
        <f t="shared" si="16"/>
        <v>0</v>
      </c>
      <c r="H43" s="61">
        <f>H42+H39</f>
        <v>-4877545</v>
      </c>
      <c r="I43" s="39">
        <f>I42+I39</f>
        <v>-11045184</v>
      </c>
      <c r="J43" s="61">
        <f t="shared" si="16"/>
        <v>0</v>
      </c>
      <c r="K43" s="39">
        <f t="shared" si="16"/>
        <v>0</v>
      </c>
      <c r="L43" s="61">
        <f t="shared" si="16"/>
        <v>-4877545</v>
      </c>
      <c r="M43" s="39">
        <f t="shared" si="16"/>
        <v>-11045184</v>
      </c>
    </row>
    <row r="44" spans="1:13" x14ac:dyDescent="0.25">
      <c r="A44" s="9"/>
      <c r="B44" s="7"/>
      <c r="C44" s="6"/>
      <c r="D44" s="219"/>
      <c r="E44" s="219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7">
        <v>-2373043</v>
      </c>
      <c r="E49" s="217">
        <v>-5720449.3496866329</v>
      </c>
      <c r="F49" s="60">
        <f>H49-D49</f>
        <v>0</v>
      </c>
      <c r="G49" s="37">
        <f>I49-E49</f>
        <v>0</v>
      </c>
      <c r="H49" s="65">
        <f>D49</f>
        <v>-2373043</v>
      </c>
      <c r="I49" s="66">
        <f>E49</f>
        <v>-5720449.3496866329</v>
      </c>
      <c r="J49" s="60"/>
      <c r="K49" s="38"/>
      <c r="L49" s="60">
        <f>H49+J49</f>
        <v>-2373043</v>
      </c>
      <c r="M49" s="38">
        <f>I49+K49</f>
        <v>-5720449.3496866329</v>
      </c>
    </row>
    <row r="50" spans="1:15" x14ac:dyDescent="0.25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7">
        <v>-514927</v>
      </c>
      <c r="E51" s="217">
        <v>-1274153</v>
      </c>
      <c r="F51" s="60">
        <f>H51-D51</f>
        <v>0</v>
      </c>
      <c r="G51" s="37">
        <f>I51-E51</f>
        <v>0</v>
      </c>
      <c r="H51" s="65">
        <f>D51</f>
        <v>-514927</v>
      </c>
      <c r="I51" s="66">
        <f>E51</f>
        <v>-1274153</v>
      </c>
      <c r="J51" s="60"/>
      <c r="K51" s="38"/>
      <c r="L51" s="60">
        <f>H51+J51</f>
        <v>-514927</v>
      </c>
      <c r="M51" s="38">
        <f>I51+K51</f>
        <v>-1274153</v>
      </c>
    </row>
    <row r="52" spans="1:15" x14ac:dyDescent="0.25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7">
        <v>0</v>
      </c>
      <c r="E54" s="217">
        <v>-1569739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-1569739</v>
      </c>
      <c r="J54" s="60"/>
      <c r="K54" s="38"/>
      <c r="L54" s="60">
        <f>H54+J54</f>
        <v>0</v>
      </c>
      <c r="M54" s="38">
        <f>I54+K54</f>
        <v>-1569739</v>
      </c>
    </row>
    <row r="55" spans="1:15" x14ac:dyDescent="0.25">
      <c r="A55" s="9">
        <v>25</v>
      </c>
      <c r="B55" s="7"/>
      <c r="C55" s="18" t="s">
        <v>56</v>
      </c>
      <c r="D55" s="217">
        <v>0</v>
      </c>
      <c r="E55" s="217">
        <v>-1298289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-1298289</v>
      </c>
      <c r="J55" s="60"/>
      <c r="K55" s="38"/>
      <c r="L55" s="60">
        <f>H55+J55</f>
        <v>0</v>
      </c>
      <c r="M55" s="38">
        <f>I55+K55</f>
        <v>-1298289</v>
      </c>
    </row>
    <row r="56" spans="1:15" x14ac:dyDescent="0.25">
      <c r="A56" s="9"/>
      <c r="B56" s="7" t="s">
        <v>57</v>
      </c>
      <c r="C56" s="6"/>
      <c r="D56" s="218">
        <v>0</v>
      </c>
      <c r="E56" s="218">
        <v>-2868028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-2868028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-2868028</v>
      </c>
    </row>
    <row r="57" spans="1:15" x14ac:dyDescent="0.25">
      <c r="A57" s="9"/>
      <c r="B57" s="7"/>
      <c r="C57" s="6"/>
      <c r="D57" s="219"/>
      <c r="E57" s="219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9"/>
      <c r="E58" s="219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7">
        <v>0</v>
      </c>
      <c r="E60" s="217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5">
      <c r="A61" s="9"/>
      <c r="B61" s="62" t="s">
        <v>61</v>
      </c>
      <c r="C61" s="6"/>
      <c r="D61" s="218">
        <v>0</v>
      </c>
      <c r="E61" s="218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5">
      <c r="A62" s="9"/>
      <c r="B62" s="7"/>
      <c r="C62" s="6"/>
      <c r="D62" s="219"/>
      <c r="E62" s="219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9"/>
      <c r="E63" s="219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7">
        <v>0</v>
      </c>
      <c r="E64" s="217">
        <v>55220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55220</v>
      </c>
      <c r="J64" s="60"/>
      <c r="K64" s="38"/>
      <c r="L64" s="60">
        <f>H64+J64</f>
        <v>0</v>
      </c>
      <c r="M64" s="38">
        <f>I64+K64</f>
        <v>55220</v>
      </c>
    </row>
    <row r="65" spans="1:13" x14ac:dyDescent="0.25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8">
        <v>0</v>
      </c>
      <c r="E66" s="218">
        <v>55220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55220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55220</v>
      </c>
    </row>
    <row r="67" spans="1:13" x14ac:dyDescent="0.25">
      <c r="A67" s="9"/>
      <c r="B67" s="7"/>
      <c r="C67" s="6"/>
      <c r="D67" s="219"/>
      <c r="E67" s="219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9"/>
      <c r="E68" s="219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9"/>
      <c r="E69" s="219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7">
        <v>0</v>
      </c>
      <c r="E70" s="217">
        <v>13133657.730900001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13133657.730900001</v>
      </c>
      <c r="J70" s="60"/>
      <c r="K70" s="38"/>
      <c r="L70" s="60">
        <f>H70+J70</f>
        <v>0</v>
      </c>
      <c r="M70" s="38">
        <f>I70+K70</f>
        <v>13133657.730900001</v>
      </c>
    </row>
    <row r="71" spans="1:13" x14ac:dyDescent="0.25">
      <c r="A71" s="9">
        <v>31</v>
      </c>
      <c r="B71" s="3"/>
      <c r="C71" s="10" t="s">
        <v>68</v>
      </c>
      <c r="D71" s="217">
        <v>0</v>
      </c>
      <c r="E71" s="217">
        <v>-5194256.8949999996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-5194256.8949999996</v>
      </c>
      <c r="J71" s="60"/>
      <c r="K71" s="38"/>
      <c r="L71" s="60">
        <f>H71+J71</f>
        <v>0</v>
      </c>
      <c r="M71" s="38">
        <f>I71+K71</f>
        <v>-5194256.8949999996</v>
      </c>
    </row>
    <row r="72" spans="1:13" x14ac:dyDescent="0.25">
      <c r="A72" s="9"/>
      <c r="B72" s="3"/>
      <c r="C72" s="55" t="s">
        <v>69</v>
      </c>
      <c r="D72" s="218">
        <v>0</v>
      </c>
      <c r="E72" s="218">
        <v>7939400.8359000012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7939400.8359000012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7939400.8359000012</v>
      </c>
    </row>
    <row r="73" spans="1:13" x14ac:dyDescent="0.25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7">
        <v>0</v>
      </c>
      <c r="E74" s="217">
        <f>-6295590-883494</f>
        <v>-7179084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-7179084</v>
      </c>
      <c r="J74" s="60"/>
      <c r="K74" s="38"/>
      <c r="L74" s="60">
        <f t="shared" si="22"/>
        <v>0</v>
      </c>
      <c r="M74" s="38">
        <f t="shared" si="22"/>
        <v>-7179084</v>
      </c>
    </row>
    <row r="75" spans="1:13" x14ac:dyDescent="0.25">
      <c r="A75" s="9">
        <v>34</v>
      </c>
      <c r="B75" s="3"/>
      <c r="C75" s="10" t="s">
        <v>72</v>
      </c>
      <c r="D75" s="217">
        <v>0</v>
      </c>
      <c r="E75" s="217">
        <v>311193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311193</v>
      </c>
      <c r="J75" s="60"/>
      <c r="K75" s="38"/>
      <c r="L75" s="60">
        <f t="shared" si="22"/>
        <v>0</v>
      </c>
      <c r="M75" s="38">
        <f t="shared" si="22"/>
        <v>311193</v>
      </c>
    </row>
    <row r="76" spans="1:13" x14ac:dyDescent="0.25">
      <c r="A76" s="9">
        <v>35</v>
      </c>
      <c r="B76" s="3"/>
      <c r="C76" s="10" t="s">
        <v>73</v>
      </c>
      <c r="D76" s="217">
        <v>0</v>
      </c>
      <c r="E76" s="217">
        <v>-10461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-10461</v>
      </c>
      <c r="J76" s="60"/>
      <c r="K76" s="38"/>
      <c r="L76" s="60">
        <f t="shared" si="22"/>
        <v>0</v>
      </c>
      <c r="M76" s="38">
        <f t="shared" si="22"/>
        <v>-10461</v>
      </c>
    </row>
    <row r="77" spans="1:13" x14ac:dyDescent="0.25">
      <c r="A77" s="9">
        <v>36</v>
      </c>
      <c r="B77" s="3"/>
      <c r="C77" s="10" t="s">
        <v>74</v>
      </c>
      <c r="D77" s="217">
        <v>0</v>
      </c>
      <c r="E77" s="217">
        <v>-36809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-36809</v>
      </c>
      <c r="J77" s="60"/>
      <c r="K77" s="38"/>
      <c r="L77" s="60">
        <f t="shared" si="22"/>
        <v>0</v>
      </c>
      <c r="M77" s="38">
        <f t="shared" si="22"/>
        <v>-36809</v>
      </c>
    </row>
    <row r="78" spans="1:13" x14ac:dyDescent="0.25">
      <c r="A78" s="9">
        <v>37</v>
      </c>
      <c r="B78" s="3"/>
      <c r="C78" s="10" t="s">
        <v>75</v>
      </c>
      <c r="D78" s="217">
        <v>0</v>
      </c>
      <c r="E78" s="217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5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7">
        <v>0</v>
      </c>
      <c r="E80" s="217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217">
        <v>0</v>
      </c>
      <c r="E81" s="217">
        <v>412862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412862</v>
      </c>
      <c r="J81" s="60"/>
      <c r="K81" s="38"/>
      <c r="L81" s="60">
        <f t="shared" si="22"/>
        <v>0</v>
      </c>
      <c r="M81" s="38">
        <f t="shared" si="22"/>
        <v>412862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6645294.2751381285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7528788.2751381285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7528788.2751381285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164</v>
      </c>
      <c r="B85" s="3"/>
      <c r="K85" s="45"/>
    </row>
    <row r="86" spans="1:67" s="3" customFormat="1" x14ac:dyDescent="0.25">
      <c r="A86" s="144"/>
      <c r="C86" s="10" t="s">
        <v>166</v>
      </c>
      <c r="D86" s="148">
        <v>0</v>
      </c>
      <c r="E86" s="148">
        <v>477104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477104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477104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477104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477104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477104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6">
        <f>+D82+D89</f>
        <v>0</v>
      </c>
      <c r="E91" s="156">
        <f t="shared" ref="E91:M91" si="27">+E82+E89</f>
        <v>7122398.2751381285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8005892.2751381285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8005892.2751381285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28" activePane="bottomRight" state="frozen"/>
      <selection activeCell="D10" sqref="D10"/>
      <selection pane="topRight" activeCell="D10" sqref="D10"/>
      <selection pane="bottomLeft" activeCell="D10" sqref="D10"/>
      <selection pane="bottomRight" activeCell="E28" sqref="E2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16544177</v>
      </c>
      <c r="E11" s="65">
        <v>39980461.156075291</v>
      </c>
      <c r="F11" s="65">
        <f>H11-D11</f>
        <v>0</v>
      </c>
      <c r="G11" s="63">
        <f>I11-E11</f>
        <v>0</v>
      </c>
      <c r="H11" s="65">
        <f>D11</f>
        <v>16544177</v>
      </c>
      <c r="I11" s="66">
        <f>E11</f>
        <v>39980461.156075291</v>
      </c>
      <c r="J11" s="60"/>
      <c r="K11" s="38"/>
      <c r="L11" s="60">
        <f t="shared" ref="L11:M15" si="0">H11+J11</f>
        <v>16544177</v>
      </c>
      <c r="M11" s="38">
        <f t="shared" si="0"/>
        <v>39980461.156075291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16544177</v>
      </c>
      <c r="E16" s="39">
        <v>39980461.156075291</v>
      </c>
      <c r="F16" s="61">
        <f t="shared" ref="F16:M16" si="3">SUM(F11:F15)</f>
        <v>0</v>
      </c>
      <c r="G16" s="39">
        <f t="shared" si="3"/>
        <v>0</v>
      </c>
      <c r="H16" s="61">
        <f>SUM(H11:H15)</f>
        <v>16544177</v>
      </c>
      <c r="I16" s="39">
        <f>SUM(I11:I15)</f>
        <v>39980461.156075291</v>
      </c>
      <c r="J16" s="61">
        <f t="shared" si="3"/>
        <v>0</v>
      </c>
      <c r="K16" s="39">
        <f t="shared" si="3"/>
        <v>0</v>
      </c>
      <c r="L16" s="61">
        <f t="shared" si="3"/>
        <v>16544177</v>
      </c>
      <c r="M16" s="39">
        <f t="shared" si="3"/>
        <v>39980461.156075291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-16435098</v>
      </c>
      <c r="E19" s="65">
        <v>-39771828</v>
      </c>
      <c r="F19" s="65">
        <f>H19-D19</f>
        <v>0</v>
      </c>
      <c r="G19" s="63">
        <f>I19-E19</f>
        <v>0</v>
      </c>
      <c r="H19" s="65">
        <f t="shared" si="4"/>
        <v>-16435098</v>
      </c>
      <c r="I19" s="66">
        <f t="shared" si="4"/>
        <v>-39771828</v>
      </c>
      <c r="J19" s="60"/>
      <c r="K19" s="38"/>
      <c r="L19" s="60">
        <f t="shared" ref="L19:M23" si="5">H19+J19</f>
        <v>-16435098</v>
      </c>
      <c r="M19" s="38">
        <f t="shared" si="5"/>
        <v>-39771828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-16435098</v>
      </c>
      <c r="E24" s="39">
        <v>-39771828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-16435098</v>
      </c>
      <c r="I24" s="39">
        <f>SUM(I19:I23)</f>
        <v>-39771828</v>
      </c>
      <c r="J24" s="61">
        <f t="shared" si="7"/>
        <v>0</v>
      </c>
      <c r="K24" s="39">
        <f t="shared" si="7"/>
        <v>0</v>
      </c>
      <c r="L24" s="61">
        <f t="shared" si="7"/>
        <v>-16435098</v>
      </c>
      <c r="M24" s="39">
        <f t="shared" si="7"/>
        <v>-39771828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642669</v>
      </c>
      <c r="E39" s="65">
        <v>1516700</v>
      </c>
      <c r="F39" s="65">
        <f t="shared" ref="F39:G41" si="13">H39-D39</f>
        <v>0</v>
      </c>
      <c r="G39" s="63">
        <f t="shared" si="13"/>
        <v>0</v>
      </c>
      <c r="H39" s="65">
        <f t="shared" si="12"/>
        <v>642669</v>
      </c>
      <c r="I39" s="66">
        <f t="shared" si="12"/>
        <v>1516700</v>
      </c>
      <c r="J39" s="60"/>
      <c r="K39" s="38"/>
      <c r="L39" s="60">
        <f t="shared" ref="L39:M41" si="14">H39+J39</f>
        <v>642669</v>
      </c>
      <c r="M39" s="38">
        <f t="shared" si="14"/>
        <v>1516700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-3133651</v>
      </c>
      <c r="E40" s="65">
        <v>-7395416</v>
      </c>
      <c r="F40" s="65">
        <f t="shared" si="13"/>
        <v>0</v>
      </c>
      <c r="G40" s="63">
        <f t="shared" si="13"/>
        <v>0</v>
      </c>
      <c r="H40" s="65">
        <f t="shared" si="12"/>
        <v>-3133651</v>
      </c>
      <c r="I40" s="66">
        <f t="shared" si="12"/>
        <v>-7395416</v>
      </c>
      <c r="J40" s="60"/>
      <c r="K40" s="38"/>
      <c r="L40" s="60">
        <f t="shared" si="14"/>
        <v>-3133651</v>
      </c>
      <c r="M40" s="38">
        <f t="shared" si="14"/>
        <v>-7395416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-3133651</v>
      </c>
      <c r="E42" s="39">
        <v>-7395416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-3133651</v>
      </c>
      <c r="I42" s="39">
        <f>SUM(I40:I41)</f>
        <v>-7395416</v>
      </c>
      <c r="J42" s="61">
        <f t="shared" si="15"/>
        <v>0</v>
      </c>
      <c r="K42" s="39">
        <f t="shared" si="15"/>
        <v>0</v>
      </c>
      <c r="L42" s="61">
        <f t="shared" si="15"/>
        <v>-3133651</v>
      </c>
      <c r="M42" s="39">
        <f t="shared" si="15"/>
        <v>-7395416</v>
      </c>
    </row>
    <row r="43" spans="1:13" ht="21" customHeight="1" x14ac:dyDescent="0.25">
      <c r="A43" s="9"/>
      <c r="B43" s="7" t="s">
        <v>49</v>
      </c>
      <c r="C43" s="6"/>
      <c r="D43" s="61">
        <v>-2490982</v>
      </c>
      <c r="E43" s="39">
        <v>-5878716</v>
      </c>
      <c r="F43" s="61">
        <f t="shared" ref="F43:M43" si="16">F42+F39</f>
        <v>0</v>
      </c>
      <c r="G43" s="39">
        <f t="shared" si="16"/>
        <v>0</v>
      </c>
      <c r="H43" s="61">
        <f>H42+H39</f>
        <v>-2490982</v>
      </c>
      <c r="I43" s="39">
        <f>I42+I39</f>
        <v>-5878716</v>
      </c>
      <c r="J43" s="61">
        <f t="shared" si="16"/>
        <v>0</v>
      </c>
      <c r="K43" s="39">
        <f t="shared" si="16"/>
        <v>0</v>
      </c>
      <c r="L43" s="61">
        <f t="shared" si="16"/>
        <v>-2490982</v>
      </c>
      <c r="M43" s="39">
        <f t="shared" si="16"/>
        <v>-5878716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2381903</v>
      </c>
      <c r="E49" s="65">
        <v>5741243.7696866328</v>
      </c>
      <c r="F49" s="65">
        <f>H49-D49</f>
        <v>0</v>
      </c>
      <c r="G49" s="63">
        <f>I49-E49</f>
        <v>0</v>
      </c>
      <c r="H49" s="65">
        <f>D49</f>
        <v>2381903</v>
      </c>
      <c r="I49" s="66">
        <f>E49</f>
        <v>5741243.7696866328</v>
      </c>
      <c r="J49" s="60"/>
      <c r="K49" s="38"/>
      <c r="L49" s="60">
        <f>H49+J49</f>
        <v>2381903</v>
      </c>
      <c r="M49" s="38">
        <f>I49+K49</f>
        <v>5741243.7696866328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5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f>-3897000</f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-3743312.0742380759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-3743312.0742380759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-3743312.0742380759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2" activePane="bottomRight" state="frozen"/>
      <selection activeCell="D10" sqref="D10"/>
      <selection pane="topRight" activeCell="D10" sqref="D10"/>
      <selection pane="bottomLeft" activeCell="D10" sqref="D10"/>
      <selection pane="bottomRight" activeCell="D31" sqref="D3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212778481</v>
      </c>
      <c r="E11" s="66">
        <f>'EAST-EGM-FLSH'!E11+'EAST-LRC-FLSH'!E11</f>
        <v>530052447</v>
      </c>
      <c r="F11" s="37">
        <f>H11-D11</f>
        <v>0</v>
      </c>
      <c r="G11" s="37">
        <f>I11-E11</f>
        <v>0</v>
      </c>
      <c r="H11" s="60">
        <f>'EAST-EGM-FLSH'!H11+'EAST-LRC-FLSH'!H11</f>
        <v>212778481</v>
      </c>
      <c r="I11" s="38">
        <f>'EAST-EGM-FLSH'!I11+'EAST-LRC-FLSH'!I11</f>
        <v>530052447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212778481</v>
      </c>
      <c r="M11" s="38">
        <f t="shared" si="0"/>
        <v>530052447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78004071</v>
      </c>
      <c r="E13" s="66">
        <f>'EAST-EGM-FLSH'!E13+'EAST-LRC-FLSH'!E13</f>
        <v>201341832</v>
      </c>
      <c r="F13" s="60">
        <f t="shared" si="1"/>
        <v>0</v>
      </c>
      <c r="G13" s="37">
        <f t="shared" si="1"/>
        <v>0</v>
      </c>
      <c r="H13" s="60">
        <f>'EAST-EGM-FLSH'!H13+'EAST-LRC-FLSH'!H13</f>
        <v>78004071</v>
      </c>
      <c r="I13" s="38">
        <f>'EAST-EGM-FLSH'!I13+'EAST-LRC-FLSH'!I13</f>
        <v>201341832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78004071</v>
      </c>
      <c r="M13" s="38">
        <f t="shared" si="0"/>
        <v>201341832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-496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-496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-496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290782552</v>
      </c>
      <c r="E16" s="39">
        <f>SUM(E11:E15)</f>
        <v>731393783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290782552</v>
      </c>
      <c r="I16" s="39">
        <f t="shared" si="2"/>
        <v>731393783</v>
      </c>
      <c r="J16" s="61">
        <f t="shared" si="2"/>
        <v>0</v>
      </c>
      <c r="K16" s="39">
        <f t="shared" si="2"/>
        <v>0</v>
      </c>
      <c r="L16" s="61">
        <f t="shared" si="2"/>
        <v>290782552</v>
      </c>
      <c r="M16" s="39">
        <f t="shared" si="2"/>
        <v>731393783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-198083914</v>
      </c>
      <c r="E19" s="66">
        <f>'EAST-EGM-FLSH'!E19+'EAST-LRC-FLSH'!E19</f>
        <v>-482114739</v>
      </c>
      <c r="F19" s="60">
        <f>H19-D19</f>
        <v>0</v>
      </c>
      <c r="G19" s="37">
        <f>I19-E19</f>
        <v>0</v>
      </c>
      <c r="H19" s="60">
        <f>'EAST-EGM-FLSH'!H19+'EAST-LRC-FLSH'!H19</f>
        <v>-198083914</v>
      </c>
      <c r="I19" s="38">
        <f>'EAST-EGM-FLSH'!I19+'EAST-LRC-FLSH'!I19</f>
        <v>-482114739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-198083914</v>
      </c>
      <c r="M19" s="38">
        <f t="shared" si="3"/>
        <v>-482114739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-82385658</v>
      </c>
      <c r="E21" s="66">
        <f>'EAST-EGM-FLSH'!E21+'EAST-LRC-FLSH'!E21</f>
        <v>-214966656</v>
      </c>
      <c r="F21" s="60">
        <f t="shared" si="4"/>
        <v>0</v>
      </c>
      <c r="G21" s="37">
        <f t="shared" si="4"/>
        <v>0</v>
      </c>
      <c r="H21" s="60">
        <f>'EAST-EGM-FLSH'!H21+'EAST-LRC-FLSH'!H21</f>
        <v>-82385658</v>
      </c>
      <c r="I21" s="38">
        <f>'EAST-EGM-FLSH'!I21+'EAST-LRC-FLSH'!I21</f>
        <v>-214966656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-82385658</v>
      </c>
      <c r="M21" s="38">
        <f t="shared" si="3"/>
        <v>-214966656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514927</v>
      </c>
      <c r="E23" s="66">
        <f>'EAST-EGM-FLSH'!E23+'EAST-LRC-FLSH'!E23</f>
        <v>1274153</v>
      </c>
      <c r="F23" s="60">
        <f t="shared" si="4"/>
        <v>0</v>
      </c>
      <c r="G23" s="37">
        <f t="shared" si="4"/>
        <v>0</v>
      </c>
      <c r="H23" s="60">
        <f>'EAST-EGM-FLSH'!H23+'EAST-LRC-FLSH'!H23</f>
        <v>514927</v>
      </c>
      <c r="I23" s="38">
        <f>'EAST-EGM-FLSH'!I23+'EAST-LRC-FLSH'!I23</f>
        <v>1274153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514927</v>
      </c>
      <c r="M23" s="38">
        <f t="shared" si="3"/>
        <v>1274153</v>
      </c>
    </row>
    <row r="24" spans="1:13" x14ac:dyDescent="0.25">
      <c r="A24" s="9"/>
      <c r="B24" s="7" t="s">
        <v>33</v>
      </c>
      <c r="C24" s="6"/>
      <c r="D24" s="61">
        <f>SUM(D19:D23)</f>
        <v>-279954645</v>
      </c>
      <c r="E24" s="39">
        <f>SUM(E19:E23)</f>
        <v>-695807242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-279954645</v>
      </c>
      <c r="I24" s="39">
        <f t="shared" si="5"/>
        <v>-695807242</v>
      </c>
      <c r="J24" s="61">
        <f t="shared" si="5"/>
        <v>0</v>
      </c>
      <c r="K24" s="39">
        <f t="shared" si="5"/>
        <v>0</v>
      </c>
      <c r="L24" s="61">
        <f t="shared" si="5"/>
        <v>-279954645</v>
      </c>
      <c r="M24" s="39">
        <f t="shared" si="5"/>
        <v>-695807242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-2118787</v>
      </c>
      <c r="E32" s="66">
        <f>'EAST-EGM-FLSH'!E32+'EAST-LRC-FLSH'!E32</f>
        <v>-5274638</v>
      </c>
      <c r="F32" s="60">
        <f>H32-D32</f>
        <v>0</v>
      </c>
      <c r="G32" s="37">
        <f>I32-E32</f>
        <v>0</v>
      </c>
      <c r="H32" s="60">
        <f>'EAST-EGM-FLSH'!H32+'EAST-LRC-FLSH'!H32</f>
        <v>-2118787</v>
      </c>
      <c r="I32" s="38">
        <f>'EAST-EGM-FLSH'!I32+'EAST-LRC-FLSH'!I32</f>
        <v>-5274638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-2118787</v>
      </c>
      <c r="M32" s="38">
        <f t="shared" si="7"/>
        <v>-5274638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407133</v>
      </c>
      <c r="E33" s="66">
        <f>'EAST-EGM-FLSH'!E33+'EAST-LRC-FLSH'!E33</f>
        <v>929952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407133</v>
      </c>
      <c r="I33" s="38">
        <f>'EAST-EGM-FLSH'!I33+'EAST-LRC-FLSH'!I33</f>
        <v>929952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407133</v>
      </c>
      <c r="M33" s="38">
        <f t="shared" si="7"/>
        <v>929952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-816595</v>
      </c>
      <c r="E34" s="66">
        <f>'EAST-EGM-FLSH'!E34+'EAST-LRC-FLSH'!E34</f>
        <v>-1863552</v>
      </c>
      <c r="F34" s="60">
        <f t="shared" si="8"/>
        <v>0</v>
      </c>
      <c r="G34" s="37">
        <f t="shared" si="8"/>
        <v>0</v>
      </c>
      <c r="H34" s="60">
        <f>'EAST-EGM-FLSH'!H34+'EAST-LRC-FLSH'!H34</f>
        <v>-816595</v>
      </c>
      <c r="I34" s="38">
        <f>'EAST-EGM-FLSH'!I34+'EAST-LRC-FLSH'!I34</f>
        <v>-1863552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-816595</v>
      </c>
      <c r="M34" s="38">
        <f t="shared" si="7"/>
        <v>-1863552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-939991</v>
      </c>
      <c r="E35" s="66">
        <f>'EAST-EGM-FLSH'!E35+'EAST-LRC-FLSH'!E35</f>
        <v>-2167386</v>
      </c>
      <c r="F35" s="60">
        <f t="shared" si="8"/>
        <v>0</v>
      </c>
      <c r="G35" s="37">
        <f t="shared" si="8"/>
        <v>0</v>
      </c>
      <c r="H35" s="60">
        <f>'EAST-EGM-FLSH'!H35+'EAST-LRC-FLSH'!H35</f>
        <v>-939991</v>
      </c>
      <c r="I35" s="38">
        <f>'EAST-EGM-FLSH'!I35+'EAST-LRC-FLSH'!I35</f>
        <v>-2167386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-939991</v>
      </c>
      <c r="M35" s="38">
        <f t="shared" si="7"/>
        <v>-2167386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-3468240</v>
      </c>
      <c r="E36" s="39">
        <f t="shared" si="9"/>
        <v>-8375624</v>
      </c>
      <c r="F36" s="61">
        <f t="shared" si="9"/>
        <v>0</v>
      </c>
      <c r="G36" s="39">
        <f t="shared" si="9"/>
        <v>0</v>
      </c>
      <c r="H36" s="61">
        <f t="shared" si="9"/>
        <v>-3468240</v>
      </c>
      <c r="I36" s="39">
        <f t="shared" si="9"/>
        <v>-8375624</v>
      </c>
      <c r="J36" s="61">
        <f>SUM(J32:J34)</f>
        <v>0</v>
      </c>
      <c r="K36" s="39">
        <f>SUM(K32:K34)</f>
        <v>0</v>
      </c>
      <c r="L36" s="61">
        <f>SUM(L32:L35)</f>
        <v>-3468240</v>
      </c>
      <c r="M36" s="39">
        <f>SUM(M32:M35)</f>
        <v>-8375624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1568072</v>
      </c>
      <c r="E39" s="66">
        <f>'EAST-EGM-FLSH'!E39+'EAST-LRC-FLSH'!E39</f>
        <v>3700650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1568072</v>
      </c>
      <c r="I39" s="38">
        <f>'EAST-EGM-FLSH'!I39+'EAST-LRC-FLSH'!I39</f>
        <v>3700650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1568072</v>
      </c>
      <c r="M39" s="38">
        <f t="shared" si="11"/>
        <v>3700650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-8936599</v>
      </c>
      <c r="E40" s="66">
        <f>'EAST-EGM-FLSH'!E40+'EAST-LRC-FLSH'!E40</f>
        <v>-20624550</v>
      </c>
      <c r="F40" s="60">
        <f t="shared" si="10"/>
        <v>0</v>
      </c>
      <c r="G40" s="37">
        <f t="shared" si="10"/>
        <v>0</v>
      </c>
      <c r="H40" s="60">
        <f>'EAST-EGM-FLSH'!H40+'EAST-LRC-FLSH'!H40</f>
        <v>-8936599</v>
      </c>
      <c r="I40" s="38">
        <f>'EAST-EGM-FLSH'!I40+'EAST-LRC-FLSH'!I40</f>
        <v>-20624550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-8936599</v>
      </c>
      <c r="M40" s="38">
        <f t="shared" si="11"/>
        <v>-20624550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-8936599</v>
      </c>
      <c r="E42" s="39">
        <f>SUM(E40:E41)</f>
        <v>-20624550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-8936599</v>
      </c>
      <c r="I42" s="39">
        <f t="shared" si="12"/>
        <v>-20624550</v>
      </c>
      <c r="J42" s="61">
        <f t="shared" si="12"/>
        <v>0</v>
      </c>
      <c r="K42" s="39">
        <f t="shared" si="12"/>
        <v>0</v>
      </c>
      <c r="L42" s="61">
        <f t="shared" si="12"/>
        <v>-8936599</v>
      </c>
      <c r="M42" s="39">
        <f t="shared" si="12"/>
        <v>-20624550</v>
      </c>
    </row>
    <row r="43" spans="1:13" ht="21" customHeight="1" x14ac:dyDescent="0.25">
      <c r="A43" s="9"/>
      <c r="B43" s="7" t="s">
        <v>49</v>
      </c>
      <c r="C43" s="6"/>
      <c r="D43" s="61">
        <f>D42+D39</f>
        <v>-7368527</v>
      </c>
      <c r="E43" s="39">
        <f>E42+E39</f>
        <v>-16923900</v>
      </c>
      <c r="F43" s="61">
        <f t="shared" ref="F43:M43" si="13">F42+F39</f>
        <v>0</v>
      </c>
      <c r="G43" s="39">
        <f t="shared" si="13"/>
        <v>0</v>
      </c>
      <c r="H43" s="61">
        <f t="shared" si="13"/>
        <v>-7368527</v>
      </c>
      <c r="I43" s="39">
        <f t="shared" si="13"/>
        <v>-16923900</v>
      </c>
      <c r="J43" s="61">
        <f t="shared" si="13"/>
        <v>0</v>
      </c>
      <c r="K43" s="39">
        <f t="shared" si="13"/>
        <v>0</v>
      </c>
      <c r="L43" s="61">
        <f t="shared" si="13"/>
        <v>-7368527</v>
      </c>
      <c r="M43" s="39">
        <f t="shared" si="13"/>
        <v>-16923900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8860</v>
      </c>
      <c r="E49" s="66">
        <f>'EAST-EGM-FLSH'!E49+'EAST-LRC-FLSH'!E49</f>
        <v>20794.419999999925</v>
      </c>
      <c r="F49" s="60">
        <f>H49-D49</f>
        <v>0</v>
      </c>
      <c r="G49" s="37">
        <f>I49-E49</f>
        <v>0</v>
      </c>
      <c r="H49" s="60">
        <f>'EAST-EGM-FLSH'!H49+'EAST-LRC-FLSH'!H49</f>
        <v>8860</v>
      </c>
      <c r="I49" s="38">
        <f>'EAST-EGM-FLSH'!I49+'EAST-LRC-FLSH'!I49</f>
        <v>20794.419999999925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8860</v>
      </c>
      <c r="M49" s="38">
        <f>I49+K49</f>
        <v>20794.419999999925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-514927</v>
      </c>
      <c r="E51" s="66">
        <f>'EAST-EGM-FLSH'!E51+'EAST-LRC-FLSH'!E51</f>
        <v>-1274153</v>
      </c>
      <c r="F51" s="60">
        <f>H51-D51</f>
        <v>0</v>
      </c>
      <c r="G51" s="37">
        <f>I51-E51</f>
        <v>0</v>
      </c>
      <c r="H51" s="60">
        <f>'EAST-EGM-FLSH'!H51+'EAST-LRC-FLSH'!H51</f>
        <v>-514927</v>
      </c>
      <c r="I51" s="38">
        <f>'EAST-EGM-FLSH'!I51+'EAST-LRC-FLSH'!I51</f>
        <v>-1274153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-514927</v>
      </c>
      <c r="M51" s="38">
        <f>I51+K51</f>
        <v>-1274153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-1569739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-1569739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-1569739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-1298289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-1298289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-1298289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-2868028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-2868028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-2868028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55220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55220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55220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55220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55220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55220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13133657.730900001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13133657.730900001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13133657.730900001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-5194256.8949999996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-5194256.8949999996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-5194256.8949999996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7939400.8359000012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7939400.8359000012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7939400.8359000012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-7179084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-7179084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-7179084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311193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311193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311193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-10461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-10461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-10461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-3933809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-3933809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-3933809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412862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412862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412862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3785476.2009000015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3785476.2009000015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3785476.2009000015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2901982.2009000527</v>
      </c>
      <c r="M84" s="45"/>
    </row>
    <row r="85" spans="1:67" x14ac:dyDescent="0.25">
      <c r="A85" s="4" t="s">
        <v>164</v>
      </c>
      <c r="B85" s="3"/>
    </row>
    <row r="86" spans="1:67" s="3" customFormat="1" x14ac:dyDescent="0.25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477104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477104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477104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477104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477104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477104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4262580.2009000015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4262580.2009000015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4262580.2009000015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H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17467325</v>
      </c>
      <c r="E11" s="38">
        <v>41711686.160000004</v>
      </c>
      <c r="F11" s="65">
        <f>H11-D11</f>
        <v>0</v>
      </c>
      <c r="G11" s="63">
        <f>I11-E11</f>
        <v>0</v>
      </c>
      <c r="H11" s="65">
        <f>D11</f>
        <v>17467325</v>
      </c>
      <c r="I11" s="66">
        <f>E11</f>
        <v>41711686.160000004</v>
      </c>
      <c r="J11" s="60"/>
      <c r="K11" s="38"/>
      <c r="L11" s="60">
        <f t="shared" ref="L11:M15" si="0">H11+J11</f>
        <v>17467325</v>
      </c>
      <c r="M11" s="38">
        <f t="shared" si="0"/>
        <v>41711686.160000004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1475282</v>
      </c>
      <c r="E13" s="38">
        <v>3402546.59</v>
      </c>
      <c r="F13" s="65">
        <f t="shared" si="1"/>
        <v>0</v>
      </c>
      <c r="G13" s="63">
        <f t="shared" si="1"/>
        <v>0</v>
      </c>
      <c r="H13" s="65">
        <f t="shared" si="2"/>
        <v>1475282</v>
      </c>
      <c r="I13" s="66">
        <f t="shared" si="2"/>
        <v>3402546.59</v>
      </c>
      <c r="J13" s="60"/>
      <c r="K13" s="38"/>
      <c r="L13" s="60">
        <f t="shared" si="0"/>
        <v>1475282</v>
      </c>
      <c r="M13" s="38">
        <f t="shared" si="0"/>
        <v>3402546.59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v>18942607</v>
      </c>
      <c r="E16" s="39">
        <v>45234232.75</v>
      </c>
      <c r="F16" s="61">
        <f t="shared" ref="F16:M16" si="3">SUM(F11:F15)</f>
        <v>0</v>
      </c>
      <c r="G16" s="39">
        <f t="shared" si="3"/>
        <v>0</v>
      </c>
      <c r="H16" s="61">
        <f>SUM(H11:H15)</f>
        <v>18942607</v>
      </c>
      <c r="I16" s="39">
        <f>SUM(I11:I15)</f>
        <v>45234232.75</v>
      </c>
      <c r="J16" s="61">
        <f t="shared" si="3"/>
        <v>0</v>
      </c>
      <c r="K16" s="39">
        <f t="shared" si="3"/>
        <v>0</v>
      </c>
      <c r="L16" s="61">
        <f t="shared" si="3"/>
        <v>18942607</v>
      </c>
      <c r="M16" s="39">
        <f t="shared" si="3"/>
        <v>45234232.75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-4577602</v>
      </c>
      <c r="E19" s="38">
        <v>-10382268.059999995</v>
      </c>
      <c r="F19" s="65">
        <f>H19-D19</f>
        <v>0</v>
      </c>
      <c r="G19" s="63">
        <f>I19-E19</f>
        <v>0</v>
      </c>
      <c r="H19" s="65">
        <f t="shared" si="4"/>
        <v>-4577602</v>
      </c>
      <c r="I19" s="66">
        <f t="shared" si="4"/>
        <v>-10382268.059999995</v>
      </c>
      <c r="J19" s="60"/>
      <c r="K19" s="38"/>
      <c r="L19" s="60">
        <f t="shared" ref="L19:M23" si="5">H19+J19</f>
        <v>-4577602</v>
      </c>
      <c r="M19" s="38">
        <f t="shared" si="5"/>
        <v>-10382268.059999995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-139780</v>
      </c>
      <c r="E21" s="38">
        <v>-297683</v>
      </c>
      <c r="F21" s="65">
        <f t="shared" si="6"/>
        <v>0</v>
      </c>
      <c r="G21" s="63">
        <f t="shared" si="6"/>
        <v>0</v>
      </c>
      <c r="H21" s="65">
        <f t="shared" si="4"/>
        <v>-139780</v>
      </c>
      <c r="I21" s="66">
        <f t="shared" si="4"/>
        <v>-297683</v>
      </c>
      <c r="J21" s="60"/>
      <c r="K21" s="38"/>
      <c r="L21" s="60">
        <f t="shared" si="5"/>
        <v>-139780</v>
      </c>
      <c r="M21" s="38">
        <f t="shared" si="5"/>
        <v>-297683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14</v>
      </c>
      <c r="E23" s="38">
        <v>30.82</v>
      </c>
      <c r="F23" s="65">
        <f t="shared" si="6"/>
        <v>0</v>
      </c>
      <c r="G23" s="63">
        <f t="shared" si="6"/>
        <v>0</v>
      </c>
      <c r="H23" s="65">
        <f t="shared" si="4"/>
        <v>14</v>
      </c>
      <c r="I23" s="66">
        <f t="shared" si="4"/>
        <v>30.82</v>
      </c>
      <c r="J23" s="60"/>
      <c r="K23" s="38"/>
      <c r="L23" s="60">
        <f t="shared" si="5"/>
        <v>14</v>
      </c>
      <c r="M23" s="38">
        <f t="shared" si="5"/>
        <v>30.82</v>
      </c>
    </row>
    <row r="24" spans="1:13" x14ac:dyDescent="0.25">
      <c r="A24" s="9"/>
      <c r="B24" s="7" t="s">
        <v>33</v>
      </c>
      <c r="C24" s="6"/>
      <c r="D24" s="61">
        <v>-4717368</v>
      </c>
      <c r="E24" s="39">
        <v>-10679920.239999995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-4717368</v>
      </c>
      <c r="I24" s="39">
        <f>SUM(I19:I23)</f>
        <v>-10679920.239999995</v>
      </c>
      <c r="J24" s="61">
        <f t="shared" si="7"/>
        <v>0</v>
      </c>
      <c r="K24" s="39">
        <f t="shared" si="7"/>
        <v>0</v>
      </c>
      <c r="L24" s="61">
        <f t="shared" si="7"/>
        <v>-4717368</v>
      </c>
      <c r="M24" s="39">
        <f t="shared" si="7"/>
        <v>-10679920.239999995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16759808</v>
      </c>
      <c r="E27" s="38">
        <v>39436699.719999999</v>
      </c>
      <c r="F27" s="65">
        <f>H27-D27</f>
        <v>0</v>
      </c>
      <c r="G27" s="63">
        <f>I27-E27</f>
        <v>0</v>
      </c>
      <c r="H27" s="65">
        <f>D27</f>
        <v>16759808</v>
      </c>
      <c r="I27" s="66">
        <f>E27</f>
        <v>39436699.719999999</v>
      </c>
      <c r="J27" s="60"/>
      <c r="K27" s="38"/>
      <c r="L27" s="60">
        <f>H27+J27</f>
        <v>16759808</v>
      </c>
      <c r="M27" s="38">
        <f>I27+K27</f>
        <v>39436699.719999999</v>
      </c>
    </row>
    <row r="28" spans="1:13" x14ac:dyDescent="0.25">
      <c r="A28" s="9">
        <v>12</v>
      </c>
      <c r="B28" s="7"/>
      <c r="C28" s="18" t="s">
        <v>36</v>
      </c>
      <c r="D28" s="60">
        <v>-21047139</v>
      </c>
      <c r="E28" s="38">
        <v>-47754777.990000002</v>
      </c>
      <c r="F28" s="65">
        <f>H28-D28</f>
        <v>0</v>
      </c>
      <c r="G28" s="63">
        <f>I28-E28</f>
        <v>0</v>
      </c>
      <c r="H28" s="65">
        <f>D28</f>
        <v>-21047139</v>
      </c>
      <c r="I28" s="66">
        <f>E28</f>
        <v>-47754777.990000002</v>
      </c>
      <c r="J28" s="60"/>
      <c r="K28" s="38"/>
      <c r="L28" s="60">
        <f>H28+J28</f>
        <v>-21047139</v>
      </c>
      <c r="M28" s="38">
        <f>I28+K28</f>
        <v>-47754777.990000002</v>
      </c>
    </row>
    <row r="29" spans="1:13" x14ac:dyDescent="0.25">
      <c r="A29" s="9"/>
      <c r="B29" s="7" t="s">
        <v>37</v>
      </c>
      <c r="C29" s="6"/>
      <c r="D29" s="61">
        <v>-4287331</v>
      </c>
      <c r="E29" s="39">
        <v>-8318078.2700000033</v>
      </c>
      <c r="F29" s="61">
        <f t="shared" ref="F29:M29" si="8">SUM(F27:F28)</f>
        <v>0</v>
      </c>
      <c r="G29" s="39">
        <f t="shared" si="8"/>
        <v>0</v>
      </c>
      <c r="H29" s="61">
        <f>SUM(H27:H28)</f>
        <v>-4287331</v>
      </c>
      <c r="I29" s="39">
        <f>SUM(I27:I28)</f>
        <v>-8318078.2700000033</v>
      </c>
      <c r="J29" s="61">
        <f t="shared" si="8"/>
        <v>0</v>
      </c>
      <c r="K29" s="39">
        <f t="shared" si="8"/>
        <v>0</v>
      </c>
      <c r="L29" s="61">
        <f t="shared" si="8"/>
        <v>-4287331</v>
      </c>
      <c r="M29" s="39">
        <f t="shared" si="8"/>
        <v>-8318078.2700000033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-854082</v>
      </c>
      <c r="E40" s="38">
        <v>-1974467.45</v>
      </c>
      <c r="F40" s="65">
        <f t="shared" si="13"/>
        <v>0</v>
      </c>
      <c r="G40" s="63">
        <f t="shared" si="13"/>
        <v>0</v>
      </c>
      <c r="H40" s="65">
        <f t="shared" si="12"/>
        <v>-854082</v>
      </c>
      <c r="I40" s="66">
        <f t="shared" si="12"/>
        <v>-1974467.45</v>
      </c>
      <c r="J40" s="60"/>
      <c r="K40" s="38"/>
      <c r="L40" s="60">
        <f t="shared" si="14"/>
        <v>-854082</v>
      </c>
      <c r="M40" s="38">
        <f t="shared" si="14"/>
        <v>-1974467.45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-854082</v>
      </c>
      <c r="E42" s="39">
        <v>-1974467.45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-854082</v>
      </c>
      <c r="I42" s="39">
        <f>SUM(I40:I41)</f>
        <v>-1974467.45</v>
      </c>
      <c r="J42" s="61">
        <f t="shared" si="15"/>
        <v>0</v>
      </c>
      <c r="K42" s="39">
        <f t="shared" si="15"/>
        <v>0</v>
      </c>
      <c r="L42" s="69">
        <f t="shared" si="15"/>
        <v>-854082</v>
      </c>
      <c r="M42" s="70">
        <f t="shared" si="15"/>
        <v>-1974467.45</v>
      </c>
    </row>
    <row r="43" spans="1:13" ht="21" customHeight="1" x14ac:dyDescent="0.25">
      <c r="A43" s="9"/>
      <c r="B43" s="7" t="s">
        <v>49</v>
      </c>
      <c r="C43" s="6"/>
      <c r="D43" s="60">
        <v>-854082</v>
      </c>
      <c r="E43" s="38">
        <v>-1974467.45</v>
      </c>
      <c r="F43" s="61">
        <f t="shared" ref="F43:M43" si="16">F42+F39</f>
        <v>0</v>
      </c>
      <c r="G43" s="39">
        <f t="shared" si="16"/>
        <v>0</v>
      </c>
      <c r="H43" s="61">
        <f>H42+H39</f>
        <v>-854082</v>
      </c>
      <c r="I43" s="39">
        <f>I42+I39</f>
        <v>-1974467.45</v>
      </c>
      <c r="J43" s="61">
        <f t="shared" si="16"/>
        <v>0</v>
      </c>
      <c r="K43" s="39">
        <f t="shared" si="16"/>
        <v>0</v>
      </c>
      <c r="L43" s="61">
        <f t="shared" si="16"/>
        <v>-854082</v>
      </c>
      <c r="M43" s="39">
        <f t="shared" si="16"/>
        <v>-1974467.45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-9083826</v>
      </c>
      <c r="E49" s="38">
        <v>-20648848.037081048</v>
      </c>
      <c r="F49" s="65">
        <f>H49-D49</f>
        <v>0</v>
      </c>
      <c r="G49" s="63">
        <f>I49-E49</f>
        <v>0</v>
      </c>
      <c r="H49" s="65">
        <f>D49</f>
        <v>-9083826</v>
      </c>
      <c r="I49" s="66">
        <f>E49</f>
        <v>-20648848.037081048</v>
      </c>
      <c r="J49" s="60"/>
      <c r="K49" s="38"/>
      <c r="L49" s="60">
        <f>H49+J49</f>
        <v>-9083826</v>
      </c>
      <c r="M49" s="38">
        <f>I49+K49</f>
        <v>-20648848.037081048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-14</v>
      </c>
      <c r="E51" s="38">
        <v>0</v>
      </c>
      <c r="F51" s="65">
        <f>H51-D51</f>
        <v>0</v>
      </c>
      <c r="G51" s="63">
        <f>I51-E51</f>
        <v>0</v>
      </c>
      <c r="H51" s="65">
        <f>D51</f>
        <v>-14</v>
      </c>
      <c r="I51" s="66">
        <f>E51</f>
        <v>0</v>
      </c>
      <c r="J51" s="60"/>
      <c r="K51" s="38"/>
      <c r="L51" s="60">
        <f>H51+J51</f>
        <v>-14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-475000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-475000</v>
      </c>
      <c r="J54" s="60"/>
      <c r="K54" s="38"/>
      <c r="L54" s="60">
        <f>H54+J54</f>
        <v>0</v>
      </c>
      <c r="M54" s="38">
        <f>I54+K54</f>
        <v>-475000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-475000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-475000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-475000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-2639306.77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-2639306.77</v>
      </c>
      <c r="J70" s="60"/>
      <c r="K70" s="38"/>
      <c r="L70" s="60">
        <f t="shared" si="20"/>
        <v>0</v>
      </c>
      <c r="M70" s="38">
        <f t="shared" si="20"/>
        <v>-2639306.77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739519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739519</v>
      </c>
      <c r="J71" s="60"/>
      <c r="K71" s="38"/>
      <c r="L71" s="60">
        <f t="shared" si="20"/>
        <v>0</v>
      </c>
      <c r="M71" s="38">
        <f t="shared" si="20"/>
        <v>739519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-1899787.77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-1899787.77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-1899787.77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1778233.65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1778233.65</v>
      </c>
      <c r="J74" s="60"/>
      <c r="K74" s="38"/>
      <c r="L74" s="60">
        <f t="shared" si="23"/>
        <v>0</v>
      </c>
      <c r="M74" s="38">
        <f t="shared" si="23"/>
        <v>1778233.65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17704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17704</v>
      </c>
      <c r="J75" s="60"/>
      <c r="K75" s="38"/>
      <c r="L75" s="60">
        <f t="shared" si="23"/>
        <v>0</v>
      </c>
      <c r="M75" s="38">
        <f t="shared" si="23"/>
        <v>17704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-207047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-207047</v>
      </c>
      <c r="J81" s="60"/>
      <c r="K81" s="38"/>
      <c r="L81" s="60">
        <f t="shared" si="23"/>
        <v>0</v>
      </c>
      <c r="M81" s="38">
        <f t="shared" si="23"/>
        <v>-207047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2827021.6329189576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2827021.6329189576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2827021.6329189576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170</v>
      </c>
      <c r="B85" s="3"/>
      <c r="M85" s="45">
        <f>M82+'TX-HPLR-FLSH'!M82</f>
        <v>2822654.0700067473</v>
      </c>
    </row>
    <row r="86" spans="1:67" s="3" customFormat="1" x14ac:dyDescent="0.25">
      <c r="A86" s="144"/>
      <c r="C86" s="10" t="s">
        <v>166</v>
      </c>
      <c r="D86" s="148">
        <v>0</v>
      </c>
      <c r="E86" s="148">
        <v>9167000</v>
      </c>
      <c r="F86" s="148">
        <f t="shared" ref="F86:G88" si="25">H86-D86</f>
        <v>0</v>
      </c>
      <c r="G86" s="148">
        <f t="shared" si="25"/>
        <v>-6519936</v>
      </c>
      <c r="H86" s="148">
        <f t="shared" ref="H86:I88" si="26">D86</f>
        <v>0</v>
      </c>
      <c r="I86" s="148">
        <f>116936+2482136-9423+57415</f>
        <v>2647064</v>
      </c>
      <c r="J86" s="148"/>
      <c r="K86" s="148"/>
      <c r="L86" s="148">
        <f t="shared" ref="L86:M88" si="27">H86+J86</f>
        <v>0</v>
      </c>
      <c r="M86" s="148">
        <f t="shared" si="27"/>
        <v>2647064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-2114953</v>
      </c>
      <c r="H88" s="150">
        <f t="shared" si="26"/>
        <v>0</v>
      </c>
      <c r="I88" s="150">
        <f>-57416-2057537</f>
        <v>-2114953</v>
      </c>
      <c r="J88" s="150"/>
      <c r="K88" s="150"/>
      <c r="L88" s="150">
        <f t="shared" si="27"/>
        <v>0</v>
      </c>
      <c r="M88" s="150">
        <f t="shared" si="27"/>
        <v>-2114953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9167000</v>
      </c>
      <c r="F89" s="155">
        <f t="shared" si="28"/>
        <v>0</v>
      </c>
      <c r="G89" s="155">
        <f t="shared" si="28"/>
        <v>-8634889</v>
      </c>
      <c r="H89" s="155">
        <f t="shared" si="28"/>
        <v>0</v>
      </c>
      <c r="I89" s="155">
        <f t="shared" si="28"/>
        <v>532111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532111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11994021.632918958</v>
      </c>
      <c r="F91" s="155">
        <f t="shared" si="29"/>
        <v>0</v>
      </c>
      <c r="G91" s="155">
        <f t="shared" si="29"/>
        <v>-8634889</v>
      </c>
      <c r="H91" s="155">
        <f t="shared" si="29"/>
        <v>0</v>
      </c>
      <c r="I91" s="155">
        <f t="shared" si="29"/>
        <v>3359132.6329189576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3359132.6329189576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115828</v>
      </c>
      <c r="E11" s="60">
        <v>268689.84000000358</v>
      </c>
      <c r="F11" s="60">
        <f>H11-D11</f>
        <v>0</v>
      </c>
      <c r="G11" s="37">
        <f>I11-E11</f>
        <v>0</v>
      </c>
      <c r="H11" s="65">
        <f>D11</f>
        <v>115828</v>
      </c>
      <c r="I11" s="66">
        <f>E11</f>
        <v>268689.84000000358</v>
      </c>
      <c r="J11" s="60"/>
      <c r="K11" s="38"/>
      <c r="L11" s="60">
        <f t="shared" ref="L11:M15" si="0">H11+J11</f>
        <v>115828</v>
      </c>
      <c r="M11" s="38">
        <f t="shared" si="0"/>
        <v>268689.84000000358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0.41000000014901161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0.41000000014901161</v>
      </c>
      <c r="J13" s="60"/>
      <c r="K13" s="38"/>
      <c r="L13" s="60">
        <f t="shared" si="0"/>
        <v>0</v>
      </c>
      <c r="M13" s="38">
        <f t="shared" si="0"/>
        <v>0.41000000014901161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115828</v>
      </c>
      <c r="E16" s="39">
        <v>268690.25000000373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115828</v>
      </c>
      <c r="I16" s="39">
        <f>SUM(I11:I15)</f>
        <v>268690.25000000373</v>
      </c>
      <c r="J16" s="61">
        <f t="shared" si="3"/>
        <v>0</v>
      </c>
      <c r="K16" s="39">
        <f t="shared" si="3"/>
        <v>0</v>
      </c>
      <c r="L16" s="61">
        <f t="shared" si="3"/>
        <v>115828</v>
      </c>
      <c r="M16" s="39">
        <f t="shared" si="3"/>
        <v>268690.25000000373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-5.9399999976158142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-5.9399999976158142</v>
      </c>
      <c r="J19" s="60"/>
      <c r="K19" s="38"/>
      <c r="L19" s="60">
        <f t="shared" ref="L19:M23" si="5">H19+J19</f>
        <v>0</v>
      </c>
      <c r="M19" s="38">
        <f t="shared" si="5"/>
        <v>-5.9399999976158142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-1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-1</v>
      </c>
      <c r="J21" s="60"/>
      <c r="K21" s="38"/>
      <c r="L21" s="60">
        <f t="shared" si="5"/>
        <v>0</v>
      </c>
      <c r="M21" s="38">
        <f t="shared" si="5"/>
        <v>-1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-1.819999999999709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-1.819999999999709</v>
      </c>
      <c r="J23" s="60"/>
      <c r="K23" s="38"/>
      <c r="L23" s="60">
        <f t="shared" si="5"/>
        <v>0</v>
      </c>
      <c r="M23" s="38">
        <f t="shared" si="5"/>
        <v>-1.819999999999709</v>
      </c>
    </row>
    <row r="24" spans="1:13" x14ac:dyDescent="0.25">
      <c r="A24" s="9"/>
      <c r="B24" s="7" t="s">
        <v>33</v>
      </c>
      <c r="C24" s="6"/>
      <c r="D24" s="61">
        <v>0</v>
      </c>
      <c r="E24" s="39">
        <v>-8.7599999976155232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-8.7599999976155232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-8.7599999976155232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0.2800000011920929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0.2800000011920929</v>
      </c>
      <c r="J27" s="60"/>
      <c r="K27" s="38"/>
      <c r="L27" s="60">
        <f>H27+J27</f>
        <v>0</v>
      </c>
      <c r="M27" s="38">
        <f>I27+K27</f>
        <v>0.2800000011920929</v>
      </c>
    </row>
    <row r="28" spans="1:13" x14ac:dyDescent="0.25">
      <c r="A28" s="9">
        <v>12</v>
      </c>
      <c r="B28" s="7"/>
      <c r="C28" s="18" t="s">
        <v>36</v>
      </c>
      <c r="D28" s="60">
        <v>-232540</v>
      </c>
      <c r="E28" s="60">
        <v>-538353.00999999046</v>
      </c>
      <c r="F28" s="60">
        <f>H28-D28</f>
        <v>0</v>
      </c>
      <c r="G28" s="37">
        <f>I28-E28</f>
        <v>0</v>
      </c>
      <c r="H28" s="65">
        <f>D28</f>
        <v>-232540</v>
      </c>
      <c r="I28" s="66">
        <f>E28</f>
        <v>-538353.00999999046</v>
      </c>
      <c r="J28" s="60"/>
      <c r="K28" s="38"/>
      <c r="L28" s="60">
        <f>H28+J28</f>
        <v>-232540</v>
      </c>
      <c r="M28" s="38">
        <f>I28+K28</f>
        <v>-538353.00999999046</v>
      </c>
    </row>
    <row r="29" spans="1:13" x14ac:dyDescent="0.25">
      <c r="A29" s="9"/>
      <c r="B29" s="7" t="s">
        <v>37</v>
      </c>
      <c r="C29" s="6"/>
      <c r="D29" s="61">
        <v>-232540</v>
      </c>
      <c r="E29" s="39">
        <v>-538352.72999998927</v>
      </c>
      <c r="F29" s="61">
        <f t="shared" ref="F29:M29" si="8">SUM(F27:F28)</f>
        <v>0</v>
      </c>
      <c r="G29" s="39">
        <f t="shared" si="8"/>
        <v>0</v>
      </c>
      <c r="H29" s="61">
        <f>SUM(H27:H28)</f>
        <v>-232540</v>
      </c>
      <c r="I29" s="39">
        <f>SUM(I27:I28)</f>
        <v>-538352.72999998927</v>
      </c>
      <c r="J29" s="61">
        <f t="shared" si="8"/>
        <v>0</v>
      </c>
      <c r="K29" s="39">
        <f t="shared" si="8"/>
        <v>0</v>
      </c>
      <c r="L29" s="61">
        <f t="shared" si="8"/>
        <v>-232540</v>
      </c>
      <c r="M29" s="39">
        <f t="shared" si="8"/>
        <v>-538352.72999998927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0.44999999925494194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0.44999999925494194</v>
      </c>
      <c r="J40" s="60"/>
      <c r="K40" s="38"/>
      <c r="L40" s="60">
        <f t="shared" si="14"/>
        <v>0</v>
      </c>
      <c r="M40" s="38">
        <f t="shared" si="14"/>
        <v>0.44999999925494194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0.44999999925494194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0.44999999925494194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0.44999999925494194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0.44999999925494194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0.44999999925494194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0.44999999925494194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116712</v>
      </c>
      <c r="E49" s="60">
        <v>265303.22708777338</v>
      </c>
      <c r="F49" s="60">
        <f>H49-D49</f>
        <v>0</v>
      </c>
      <c r="G49" s="37">
        <f>I49-E49</f>
        <v>0</v>
      </c>
      <c r="H49" s="65">
        <f>D49</f>
        <v>116712</v>
      </c>
      <c r="I49" s="66">
        <f>E49</f>
        <v>265303.22708777338</v>
      </c>
      <c r="J49" s="60"/>
      <c r="K49" s="38"/>
      <c r="L49" s="60">
        <f>H49+J49</f>
        <v>116712</v>
      </c>
      <c r="M49" s="38">
        <f>I49+K49</f>
        <v>265303.22708777338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14</v>
      </c>
      <c r="E51" s="60">
        <v>0</v>
      </c>
      <c r="F51" s="60">
        <f>H51-D51</f>
        <v>0</v>
      </c>
      <c r="G51" s="37">
        <f>I51-E51</f>
        <v>0</v>
      </c>
      <c r="H51" s="65">
        <f>D51</f>
        <v>14</v>
      </c>
      <c r="I51" s="66">
        <f>E51</f>
        <v>0</v>
      </c>
      <c r="J51" s="60"/>
      <c r="K51" s="38"/>
      <c r="L51" s="60">
        <f>H51+J51</f>
        <v>14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-4367.5629122105311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-4367.5629122105311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-4367.5629122105311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38222321</v>
      </c>
      <c r="E11" s="60">
        <v>89664557</v>
      </c>
      <c r="F11" s="60">
        <f>H11-D11</f>
        <v>0</v>
      </c>
      <c r="G11" s="37">
        <f>I11-E11</f>
        <v>0</v>
      </c>
      <c r="H11" s="65">
        <f>D11</f>
        <v>38222321</v>
      </c>
      <c r="I11" s="66">
        <f>E11</f>
        <v>89664557</v>
      </c>
      <c r="J11" s="60"/>
      <c r="K11" s="38"/>
      <c r="L11" s="60">
        <f t="shared" ref="L11:M15" si="0">H11+J11</f>
        <v>38222321</v>
      </c>
      <c r="M11" s="38">
        <f t="shared" si="0"/>
        <v>89664557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1467486</v>
      </c>
      <c r="E13" s="60">
        <v>3771001</v>
      </c>
      <c r="F13" s="60">
        <f t="shared" si="1"/>
        <v>0</v>
      </c>
      <c r="G13" s="37">
        <f t="shared" si="1"/>
        <v>0</v>
      </c>
      <c r="H13" s="65">
        <f t="shared" si="2"/>
        <v>1467486</v>
      </c>
      <c r="I13" s="66">
        <f t="shared" si="2"/>
        <v>3771001</v>
      </c>
      <c r="J13" s="60"/>
      <c r="K13" s="38"/>
      <c r="L13" s="60">
        <f t="shared" si="0"/>
        <v>1467486</v>
      </c>
      <c r="M13" s="38">
        <f t="shared" si="0"/>
        <v>3771001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39689807</v>
      </c>
      <c r="E16" s="39">
        <v>93435558</v>
      </c>
      <c r="F16" s="61">
        <f t="shared" ref="F16:M16" si="3">SUM(F11:F15)</f>
        <v>0</v>
      </c>
      <c r="G16" s="39">
        <f t="shared" si="3"/>
        <v>0</v>
      </c>
      <c r="H16" s="61">
        <f>SUM(H11:H15)</f>
        <v>39689807</v>
      </c>
      <c r="I16" s="39">
        <f>SUM(I11:I15)</f>
        <v>93435558</v>
      </c>
      <c r="J16" s="61">
        <f t="shared" si="3"/>
        <v>0</v>
      </c>
      <c r="K16" s="39">
        <f t="shared" si="3"/>
        <v>0</v>
      </c>
      <c r="L16" s="61">
        <f t="shared" si="3"/>
        <v>39689807</v>
      </c>
      <c r="M16" s="39">
        <f t="shared" si="3"/>
        <v>93435558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-50284590</v>
      </c>
      <c r="E19" s="60">
        <v>-114328218</v>
      </c>
      <c r="F19" s="60">
        <f>H19-D19</f>
        <v>0</v>
      </c>
      <c r="G19" s="37">
        <f>I19-E19</f>
        <v>0</v>
      </c>
      <c r="H19" s="65">
        <f t="shared" si="4"/>
        <v>-50284590</v>
      </c>
      <c r="I19" s="66">
        <f t="shared" si="4"/>
        <v>-114328218</v>
      </c>
      <c r="J19" s="60"/>
      <c r="K19" s="38"/>
      <c r="L19" s="60">
        <f t="shared" ref="L19:M23" si="5">H19+J19</f>
        <v>-50284590</v>
      </c>
      <c r="M19" s="38">
        <f t="shared" si="5"/>
        <v>-114328218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-990233</v>
      </c>
      <c r="E21" s="60">
        <v>-2355679</v>
      </c>
      <c r="F21" s="60">
        <f t="shared" si="6"/>
        <v>0</v>
      </c>
      <c r="G21" s="37">
        <f t="shared" si="6"/>
        <v>0</v>
      </c>
      <c r="H21" s="65">
        <f t="shared" si="4"/>
        <v>-990233</v>
      </c>
      <c r="I21" s="66">
        <f t="shared" si="4"/>
        <v>-2355679</v>
      </c>
      <c r="J21" s="60"/>
      <c r="K21" s="38"/>
      <c r="L21" s="60">
        <f t="shared" si="5"/>
        <v>-990233</v>
      </c>
      <c r="M21" s="38">
        <f t="shared" si="5"/>
        <v>-2355679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13349</v>
      </c>
      <c r="E23" s="60">
        <v>31419</v>
      </c>
      <c r="F23" s="60">
        <f t="shared" si="6"/>
        <v>0</v>
      </c>
      <c r="G23" s="37">
        <f t="shared" si="6"/>
        <v>0</v>
      </c>
      <c r="H23" s="65">
        <f t="shared" si="4"/>
        <v>13349</v>
      </c>
      <c r="I23" s="66">
        <f t="shared" si="4"/>
        <v>31419</v>
      </c>
      <c r="J23" s="60"/>
      <c r="K23" s="38"/>
      <c r="L23" s="60">
        <f t="shared" si="5"/>
        <v>13349</v>
      </c>
      <c r="M23" s="38">
        <f t="shared" si="5"/>
        <v>31419</v>
      </c>
    </row>
    <row r="24" spans="1:13" x14ac:dyDescent="0.25">
      <c r="A24" s="9"/>
      <c r="B24" s="7" t="s">
        <v>33</v>
      </c>
      <c r="C24" s="6"/>
      <c r="D24" s="61">
        <v>-51261474</v>
      </c>
      <c r="E24" s="39">
        <v>-116652478</v>
      </c>
      <c r="F24" s="61">
        <f t="shared" ref="F24:M24" si="7">SUM(F19:F23)</f>
        <v>0</v>
      </c>
      <c r="G24" s="39">
        <f t="shared" si="7"/>
        <v>0</v>
      </c>
      <c r="H24" s="61">
        <f>SUM(H19:H23)</f>
        <v>-51261474</v>
      </c>
      <c r="I24" s="39">
        <f>SUM(I19:I23)</f>
        <v>-116652478</v>
      </c>
      <c r="J24" s="61">
        <f t="shared" si="7"/>
        <v>0</v>
      </c>
      <c r="K24" s="39">
        <f t="shared" si="7"/>
        <v>0</v>
      </c>
      <c r="L24" s="61">
        <f t="shared" si="7"/>
        <v>-51261474</v>
      </c>
      <c r="M24" s="39">
        <f t="shared" si="7"/>
        <v>-116652478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75102214</v>
      </c>
      <c r="E27" s="60">
        <v>176559658</v>
      </c>
      <c r="F27" s="60">
        <f>H27-D27</f>
        <v>0</v>
      </c>
      <c r="G27" s="37">
        <f>I27-E27</f>
        <v>0</v>
      </c>
      <c r="H27" s="65">
        <f>D27</f>
        <v>75102214</v>
      </c>
      <c r="I27" s="66">
        <f>E27</f>
        <v>176559658</v>
      </c>
      <c r="J27" s="60"/>
      <c r="K27" s="38"/>
      <c r="L27" s="60">
        <f>H27+J27</f>
        <v>75102214</v>
      </c>
      <c r="M27" s="38">
        <f>I27+K27</f>
        <v>176559658</v>
      </c>
    </row>
    <row r="28" spans="1:13" x14ac:dyDescent="0.25">
      <c r="A28" s="9">
        <v>12</v>
      </c>
      <c r="B28" s="7"/>
      <c r="C28" s="18" t="s">
        <v>36</v>
      </c>
      <c r="D28" s="60">
        <v>-69806478</v>
      </c>
      <c r="E28" s="60">
        <v>-165888207</v>
      </c>
      <c r="F28" s="60">
        <f>H28-D28</f>
        <v>0</v>
      </c>
      <c r="G28" s="37">
        <f>I28-E28</f>
        <v>0</v>
      </c>
      <c r="H28" s="65">
        <f>D28</f>
        <v>-69806478</v>
      </c>
      <c r="I28" s="66">
        <f>E28</f>
        <v>-165888207</v>
      </c>
      <c r="J28" s="60"/>
      <c r="K28" s="38"/>
      <c r="L28" s="60">
        <f>H28+J28</f>
        <v>-69806478</v>
      </c>
      <c r="M28" s="38">
        <f>I28+K28</f>
        <v>-165888207</v>
      </c>
    </row>
    <row r="29" spans="1:13" x14ac:dyDescent="0.25">
      <c r="A29" s="9"/>
      <c r="B29" s="7" t="s">
        <v>37</v>
      </c>
      <c r="C29" s="6"/>
      <c r="D29" s="61">
        <v>5295736</v>
      </c>
      <c r="E29" s="39">
        <v>10671451</v>
      </c>
      <c r="F29" s="61">
        <f t="shared" ref="F29:M29" si="8">SUM(F27:F28)</f>
        <v>0</v>
      </c>
      <c r="G29" s="39">
        <f t="shared" si="8"/>
        <v>0</v>
      </c>
      <c r="H29" s="61">
        <f>SUM(H27:H28)</f>
        <v>5295736</v>
      </c>
      <c r="I29" s="39">
        <f>SUM(I27:I28)</f>
        <v>10671451</v>
      </c>
      <c r="J29" s="61">
        <f t="shared" si="8"/>
        <v>0</v>
      </c>
      <c r="K29" s="39">
        <f t="shared" si="8"/>
        <v>0</v>
      </c>
      <c r="L29" s="61">
        <f t="shared" si="8"/>
        <v>5295736</v>
      </c>
      <c r="M29" s="39">
        <f t="shared" si="8"/>
        <v>10671451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10544159</v>
      </c>
      <c r="E39" s="60">
        <v>25341242</v>
      </c>
      <c r="F39" s="60">
        <f t="shared" ref="F39:G41" si="13">H39-D39</f>
        <v>0</v>
      </c>
      <c r="G39" s="37">
        <f t="shared" si="13"/>
        <v>0</v>
      </c>
      <c r="H39" s="65">
        <f t="shared" si="12"/>
        <v>10544159</v>
      </c>
      <c r="I39" s="66">
        <f t="shared" si="12"/>
        <v>25341242</v>
      </c>
      <c r="J39" s="60"/>
      <c r="K39" s="38"/>
      <c r="L39" s="60">
        <f t="shared" ref="L39:M41" si="14">H39+J39</f>
        <v>10544159</v>
      </c>
      <c r="M39" s="38">
        <f t="shared" si="14"/>
        <v>25341242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-12580174</v>
      </c>
      <c r="E40" s="60">
        <v>-30100306</v>
      </c>
      <c r="F40" s="60">
        <f t="shared" si="13"/>
        <v>0</v>
      </c>
      <c r="G40" s="37">
        <f t="shared" si="13"/>
        <v>0</v>
      </c>
      <c r="H40" s="65">
        <f t="shared" si="12"/>
        <v>-12580174</v>
      </c>
      <c r="I40" s="66">
        <f t="shared" si="12"/>
        <v>-30100306</v>
      </c>
      <c r="J40" s="60"/>
      <c r="K40" s="38"/>
      <c r="L40" s="60">
        <f t="shared" si="14"/>
        <v>-12580174</v>
      </c>
      <c r="M40" s="38">
        <f t="shared" si="14"/>
        <v>-30100306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-12580174</v>
      </c>
      <c r="E42" s="39">
        <v>-30100306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-12580174</v>
      </c>
      <c r="I42" s="39">
        <f>SUM(I40:I41)</f>
        <v>-30100306</v>
      </c>
      <c r="J42" s="61">
        <f t="shared" si="15"/>
        <v>0</v>
      </c>
      <c r="K42" s="39">
        <f t="shared" si="15"/>
        <v>0</v>
      </c>
      <c r="L42" s="61">
        <f t="shared" si="15"/>
        <v>-12580174</v>
      </c>
      <c r="M42" s="39">
        <f t="shared" si="15"/>
        <v>-30100306</v>
      </c>
    </row>
    <row r="43" spans="1:13" ht="21" customHeight="1" x14ac:dyDescent="0.25">
      <c r="A43" s="9"/>
      <c r="B43" s="7" t="s">
        <v>49</v>
      </c>
      <c r="C43" s="6"/>
      <c r="D43" s="61">
        <v>-2036015</v>
      </c>
      <c r="E43" s="39">
        <v>-4759064</v>
      </c>
      <c r="F43" s="61">
        <f t="shared" ref="F43:M43" si="16">F42+F39</f>
        <v>0</v>
      </c>
      <c r="G43" s="39">
        <f t="shared" si="16"/>
        <v>0</v>
      </c>
      <c r="H43" s="61">
        <f>H42+H39</f>
        <v>-2036015</v>
      </c>
      <c r="I43" s="39">
        <f>I42+I39</f>
        <v>-4759064</v>
      </c>
      <c r="J43" s="61">
        <f t="shared" si="16"/>
        <v>0</v>
      </c>
      <c r="K43" s="39">
        <f t="shared" si="16"/>
        <v>0</v>
      </c>
      <c r="L43" s="61">
        <f t="shared" si="16"/>
        <v>-2036015</v>
      </c>
      <c r="M43" s="39">
        <f t="shared" si="16"/>
        <v>-4759064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8311946</v>
      </c>
      <c r="E49" s="60">
        <v>18894253.351663016</v>
      </c>
      <c r="F49" s="60">
        <f>H49-D49</f>
        <v>0</v>
      </c>
      <c r="G49" s="37">
        <f>I49-E49</f>
        <v>0</v>
      </c>
      <c r="H49" s="65">
        <f>D49</f>
        <v>8311946</v>
      </c>
      <c r="I49" s="66">
        <f>E49</f>
        <v>18894253.351663016</v>
      </c>
      <c r="J49" s="60"/>
      <c r="K49" s="38"/>
      <c r="L49" s="60">
        <f>H49+J49</f>
        <v>8311946</v>
      </c>
      <c r="M49" s="38">
        <f>I49+K49</f>
        <v>18894253.351663016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-1544388.7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-1544388.7</v>
      </c>
      <c r="J54" s="60"/>
      <c r="K54" s="38"/>
      <c r="L54" s="60">
        <f>H54+J54</f>
        <v>0</v>
      </c>
      <c r="M54" s="38">
        <f>I54+K54</f>
        <v>-1544388.7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-1544388.7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-1544388.7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-1544388.7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-2541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-2541</v>
      </c>
      <c r="J76" s="60"/>
      <c r="K76" s="38"/>
      <c r="L76" s="60">
        <f t="shared" si="22"/>
        <v>0</v>
      </c>
      <c r="M76" s="38">
        <f t="shared" si="22"/>
        <v>-2541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-55509.348336984171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-55509.348336984171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-55509.348336984171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55805474</v>
      </c>
      <c r="E11" s="38">
        <f>'TX-EGM-FLSH'!E11+'TX-HPLR-FLSH'!E11+'TX-HPLC-FLSH'!E11</f>
        <v>131644933</v>
      </c>
      <c r="F11" s="60">
        <f>H11-D11</f>
        <v>0</v>
      </c>
      <c r="G11" s="37">
        <f>I11-E11</f>
        <v>0</v>
      </c>
      <c r="H11" s="60">
        <f>'TX-EGM-FLSH'!H11+'TX-HPLR-FLSH'!H11+'TX-HPLC-FLSH'!H11</f>
        <v>55805474</v>
      </c>
      <c r="I11" s="38">
        <f>'TX-EGM-FLSH'!I11+'TX-HPLR-FLSH'!I11+'TX-HPLC-FLSH'!I11</f>
        <v>131644933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55805474</v>
      </c>
      <c r="M11" s="38">
        <f t="shared" si="0"/>
        <v>131644933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2942768</v>
      </c>
      <c r="E13" s="38">
        <f>'TX-EGM-FLSH'!E13+'TX-HPLR-FLSH'!E13+'TX-HPLC-FLSH'!E13</f>
        <v>7173548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2942768</v>
      </c>
      <c r="I13" s="38">
        <f>'TX-EGM-FLSH'!I13+'TX-HPLR-FLSH'!I13+'TX-HPLC-FLSH'!I13</f>
        <v>7173548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2942768</v>
      </c>
      <c r="M13" s="38">
        <f t="shared" si="0"/>
        <v>7173548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f>SUM(D11:D15)</f>
        <v>58748242</v>
      </c>
      <c r="E16" s="39">
        <f>SUM(E11:E15)</f>
        <v>138938481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58748242</v>
      </c>
      <c r="I16" s="39">
        <f t="shared" si="2"/>
        <v>138938481</v>
      </c>
      <c r="J16" s="61">
        <f t="shared" si="2"/>
        <v>0</v>
      </c>
      <c r="K16" s="39">
        <f t="shared" si="2"/>
        <v>0</v>
      </c>
      <c r="L16" s="61">
        <f t="shared" si="2"/>
        <v>58748242</v>
      </c>
      <c r="M16" s="39">
        <f t="shared" si="2"/>
        <v>138938481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-54862192</v>
      </c>
      <c r="E19" s="38">
        <f>'TX-EGM-FLSH'!E19+'TX-HPLR-FLSH'!E19+'TX-HPLC-FLSH'!E19</f>
        <v>-124710492</v>
      </c>
      <c r="F19" s="60">
        <f>H19-D19</f>
        <v>0</v>
      </c>
      <c r="G19" s="37">
        <f>I19-E19</f>
        <v>0</v>
      </c>
      <c r="H19" s="60">
        <f>'TX-EGM-FLSH'!H19+'TX-HPLR-FLSH'!H19+'TX-HPLC-FLSH'!H19</f>
        <v>-54862192</v>
      </c>
      <c r="I19" s="38">
        <f>'TX-EGM-FLSH'!I19+'TX-HPLR-FLSH'!I19+'TX-HPLC-FLSH'!I19</f>
        <v>-124710492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-54862192</v>
      </c>
      <c r="M19" s="38">
        <f t="shared" si="3"/>
        <v>-124710492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-1130013</v>
      </c>
      <c r="E21" s="38">
        <f>'TX-EGM-FLSH'!E21+'TX-HPLR-FLSH'!E21+'TX-HPLC-FLSH'!E21</f>
        <v>-2653363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-1130013</v>
      </c>
      <c r="I21" s="38">
        <f>'TX-EGM-FLSH'!I21+'TX-HPLR-FLSH'!I21+'TX-HPLC-FLSH'!I21</f>
        <v>-2653363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-1130013</v>
      </c>
      <c r="M21" s="38">
        <f t="shared" si="3"/>
        <v>-2653363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13363</v>
      </c>
      <c r="E23" s="38">
        <f>'TX-EGM-FLSH'!E23+'TX-HPLR-FLSH'!E23+'TX-HPLC-FLSH'!E23</f>
        <v>31448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13363</v>
      </c>
      <c r="I23" s="38">
        <f>'TX-EGM-FLSH'!I23+'TX-HPLR-FLSH'!I23+'TX-HPLC-FLSH'!I23</f>
        <v>31448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13363</v>
      </c>
      <c r="M23" s="38">
        <f t="shared" si="3"/>
        <v>31448</v>
      </c>
    </row>
    <row r="24" spans="1:13" x14ac:dyDescent="0.25">
      <c r="A24" s="9"/>
      <c r="B24" s="7" t="s">
        <v>33</v>
      </c>
      <c r="C24" s="6"/>
      <c r="D24" s="61">
        <f>SUM(D19:D23)</f>
        <v>-55978842</v>
      </c>
      <c r="E24" s="39">
        <f>SUM(E19:E23)</f>
        <v>-127332407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-55978842</v>
      </c>
      <c r="I24" s="39">
        <f t="shared" si="5"/>
        <v>-127332407</v>
      </c>
      <c r="J24" s="61">
        <f t="shared" si="5"/>
        <v>0</v>
      </c>
      <c r="K24" s="39">
        <f t="shared" si="5"/>
        <v>0</v>
      </c>
      <c r="L24" s="61">
        <f t="shared" si="5"/>
        <v>-55978842</v>
      </c>
      <c r="M24" s="39">
        <f t="shared" si="5"/>
        <v>-127332407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91862022</v>
      </c>
      <c r="E27" s="38">
        <f>'TX-EGM-FLSH'!E27+'TX-HPLR-FLSH'!E27+'TX-HPLC-FLSH'!E27</f>
        <v>215996358</v>
      </c>
      <c r="F27" s="60">
        <f>H27-D27</f>
        <v>0</v>
      </c>
      <c r="G27" s="37">
        <f>I27-E27</f>
        <v>0</v>
      </c>
      <c r="H27" s="60">
        <f>'TX-EGM-FLSH'!H27+'TX-HPLR-FLSH'!H27+'TX-HPLC-FLSH'!H27</f>
        <v>91862022</v>
      </c>
      <c r="I27" s="38">
        <f>'TX-EGM-FLSH'!I27+'TX-HPLR-FLSH'!I27+'TX-HPLC-FLSH'!I27</f>
        <v>215996358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91862022</v>
      </c>
      <c r="M27" s="38">
        <f>I27+K27</f>
        <v>215996358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-91086157</v>
      </c>
      <c r="E28" s="38">
        <f>'TX-EGM-FLSH'!E28+'TX-HPLR-FLSH'!E28+'TX-HPLC-FLSH'!E28</f>
        <v>-214181338</v>
      </c>
      <c r="F28" s="60">
        <f>H28-D28</f>
        <v>0</v>
      </c>
      <c r="G28" s="37">
        <f>I28-E28</f>
        <v>0</v>
      </c>
      <c r="H28" s="60">
        <f>'TX-EGM-FLSH'!H28+'TX-HPLR-FLSH'!H28+'TX-HPLC-FLSH'!H28</f>
        <v>-91086157</v>
      </c>
      <c r="I28" s="38">
        <f>'TX-EGM-FLSH'!I28+'TX-HPLR-FLSH'!I28+'TX-HPLC-FLSH'!I28</f>
        <v>-214181338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-91086157</v>
      </c>
      <c r="M28" s="38">
        <f>I28+K28</f>
        <v>-214181338</v>
      </c>
    </row>
    <row r="29" spans="1:13" x14ac:dyDescent="0.25">
      <c r="A29" s="9"/>
      <c r="B29" s="7" t="s">
        <v>37</v>
      </c>
      <c r="C29" s="6"/>
      <c r="D29" s="61">
        <f>SUM(D27:D28)</f>
        <v>775865</v>
      </c>
      <c r="E29" s="39">
        <f>SUM(E27:E28)</f>
        <v>1815020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775865</v>
      </c>
      <c r="I29" s="39">
        <f t="shared" si="6"/>
        <v>1815020</v>
      </c>
      <c r="J29" s="61">
        <f t="shared" si="6"/>
        <v>0</v>
      </c>
      <c r="K29" s="39">
        <f t="shared" si="6"/>
        <v>0</v>
      </c>
      <c r="L29" s="61">
        <f t="shared" si="6"/>
        <v>775865</v>
      </c>
      <c r="M29" s="39">
        <f t="shared" si="6"/>
        <v>1815020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10544159</v>
      </c>
      <c r="E39" s="38">
        <f>'TX-EGM-FLSH'!E39+'TX-HPLR-FLSH'!E39+'TX-HPLC-FLSH'!E39</f>
        <v>25341242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10544159</v>
      </c>
      <c r="I39" s="38">
        <f>'TX-EGM-FLSH'!I39+'TX-HPLR-FLSH'!I39+'TX-HPLC-FLSH'!I39</f>
        <v>25341242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10544159</v>
      </c>
      <c r="M39" s="38">
        <f t="shared" si="11"/>
        <v>25341242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-13434256</v>
      </c>
      <c r="E40" s="38">
        <f>'TX-EGM-FLSH'!E40+'TX-HPLR-FLSH'!E40+'TX-HPLC-FLSH'!E40</f>
        <v>-32074773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-13434256</v>
      </c>
      <c r="I40" s="38">
        <f>'TX-EGM-FLSH'!I40+'TX-HPLR-FLSH'!I40+'TX-HPLC-FLSH'!I40</f>
        <v>-32074773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-13434256</v>
      </c>
      <c r="M40" s="38">
        <f t="shared" si="11"/>
        <v>-32074773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-13434256</v>
      </c>
      <c r="E42" s="39">
        <f>SUM(E40:E41)</f>
        <v>-32074773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-13434256</v>
      </c>
      <c r="I42" s="39">
        <f t="shared" si="12"/>
        <v>-32074773</v>
      </c>
      <c r="J42" s="61">
        <f t="shared" si="12"/>
        <v>0</v>
      </c>
      <c r="K42" s="39">
        <f t="shared" si="12"/>
        <v>0</v>
      </c>
      <c r="L42" s="61">
        <f t="shared" si="12"/>
        <v>-13434256</v>
      </c>
      <c r="M42" s="39">
        <f t="shared" si="12"/>
        <v>-32074773</v>
      </c>
    </row>
    <row r="43" spans="1:13" ht="21" customHeight="1" x14ac:dyDescent="0.25">
      <c r="A43" s="9"/>
      <c r="B43" s="7" t="s">
        <v>49</v>
      </c>
      <c r="C43" s="6"/>
      <c r="D43" s="61">
        <f>D42+D39</f>
        <v>-2890097</v>
      </c>
      <c r="E43" s="39">
        <f>E42+E39</f>
        <v>-6733531</v>
      </c>
      <c r="F43" s="61">
        <f t="shared" ref="F43:M43" si="13">F42+F39</f>
        <v>0</v>
      </c>
      <c r="G43" s="39">
        <f t="shared" si="13"/>
        <v>0</v>
      </c>
      <c r="H43" s="61">
        <f t="shared" si="13"/>
        <v>-2890097</v>
      </c>
      <c r="I43" s="39">
        <f t="shared" si="13"/>
        <v>-6733531</v>
      </c>
      <c r="J43" s="61">
        <f t="shared" si="13"/>
        <v>0</v>
      </c>
      <c r="K43" s="39">
        <f t="shared" si="13"/>
        <v>0</v>
      </c>
      <c r="L43" s="61">
        <f t="shared" si="13"/>
        <v>-2890097</v>
      </c>
      <c r="M43" s="39">
        <f t="shared" si="13"/>
        <v>-6733531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-655168</v>
      </c>
      <c r="E49" s="38">
        <f>'TX-EGM-FLSH'!E49+'TX-HPLR-FLSH'!E49+'TX-HPLC-FLSH'!E49</f>
        <v>-1489291.4583302587</v>
      </c>
      <c r="F49" s="60">
        <f>H49-D49</f>
        <v>0</v>
      </c>
      <c r="G49" s="37">
        <f>I49-E49</f>
        <v>0</v>
      </c>
      <c r="H49" s="60">
        <f>'TX-EGM-FLSH'!H49+'TX-HPLR-FLSH'!H49+'TX-HPLC-FLSH'!H49</f>
        <v>-655168</v>
      </c>
      <c r="I49" s="38">
        <f>'TX-EGM-FLSH'!I49+'TX-HPLR-FLSH'!I49+'TX-HPLC-FLSH'!I49</f>
        <v>-1489291.4583302587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-655168</v>
      </c>
      <c r="M49" s="38">
        <f>I49+K49</f>
        <v>-1489291.4583302587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-2019388.7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-2019388.7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-2019388.7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-2019388.7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-2019388.7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-2019388.7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-2639306.77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-2639306.77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-2639306.77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739519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739519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739519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-1899787.77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-1899787.77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-1899787.77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1778233.65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1778233.65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1778233.65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17704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17704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17704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-2541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-2541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-2541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-207047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-207047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-207047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2767144.7216697363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2767144.7216697363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2767144.7216697363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165</v>
      </c>
      <c r="B85" s="3"/>
      <c r="E85" s="31">
        <f>+'TX-HPLR-FLSH'!E82+'TX-EGM-FLSH'!E82</f>
        <v>2822654.0700067473</v>
      </c>
    </row>
    <row r="86" spans="1:67" s="3" customFormat="1" x14ac:dyDescent="0.25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9167000</v>
      </c>
      <c r="F86" s="148">
        <f>'TX-EGM-FLSH'!F86+'TX-HPLR-FLSH'!F86</f>
        <v>0</v>
      </c>
      <c r="G86" s="148">
        <f>'TX-EGM-FLSH'!G86+'TX-HPLR-FLSH'!G86</f>
        <v>-6519936</v>
      </c>
      <c r="H86" s="148">
        <f>'TX-EGM-FLSH'!H86+'TX-HPLR-FLSH'!H86+'TX-HPLC-FLSH'!H86</f>
        <v>0</v>
      </c>
      <c r="I86" s="148">
        <f>'TX-EGM-FLSH'!I86+'TX-HPLR-FLSH'!I86+'TX-HPLC-FLSH'!I86</f>
        <v>2647064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2647064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-2114953</v>
      </c>
      <c r="H88" s="150">
        <f>'TX-EGM-FLSH'!H88+'TX-HPLR-FLSH'!H88+'TX-HPLC-FLSH'!H88</f>
        <v>0</v>
      </c>
      <c r="I88" s="150">
        <f>'TX-EGM-FLSH'!I88+'TX-HPLR-FLSH'!I88+'TX-HPLC-FLSH'!I88</f>
        <v>-2114953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-2114953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9167000</v>
      </c>
      <c r="F89" s="155">
        <f t="shared" si="20"/>
        <v>0</v>
      </c>
      <c r="G89" s="155">
        <f t="shared" si="20"/>
        <v>-8634889</v>
      </c>
      <c r="H89" s="155">
        <f t="shared" si="20"/>
        <v>0</v>
      </c>
      <c r="I89" s="155">
        <f t="shared" si="20"/>
        <v>532111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532111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11934144.721669737</v>
      </c>
      <c r="F91" s="155">
        <f t="shared" si="21"/>
        <v>0</v>
      </c>
      <c r="G91" s="155">
        <f t="shared" si="21"/>
        <v>-8634889</v>
      </c>
      <c r="H91" s="155">
        <f t="shared" si="21"/>
        <v>0</v>
      </c>
      <c r="I91" s="155">
        <f t="shared" si="21"/>
        <v>3299255.7216697363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3299255.7216697363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41773752</v>
      </c>
      <c r="E11" s="65">
        <v>96029433</v>
      </c>
      <c r="F11" s="60">
        <f>H11-D11</f>
        <v>0</v>
      </c>
      <c r="G11" s="37">
        <f>I11-E11</f>
        <v>0</v>
      </c>
      <c r="H11" s="65">
        <f>D11</f>
        <v>41773752</v>
      </c>
      <c r="I11" s="66">
        <f>E11</f>
        <v>96029433</v>
      </c>
      <c r="J11" s="60"/>
      <c r="K11" s="38"/>
      <c r="L11" s="60">
        <f t="shared" ref="L11:M15" si="0">H11+J11</f>
        <v>41773752</v>
      </c>
      <c r="M11" s="38">
        <f t="shared" si="0"/>
        <v>96029433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19330835</v>
      </c>
      <c r="E13" s="65">
        <v>45588342</v>
      </c>
      <c r="F13" s="60">
        <f t="shared" si="1"/>
        <v>0</v>
      </c>
      <c r="G13" s="37">
        <f t="shared" si="1"/>
        <v>0</v>
      </c>
      <c r="H13" s="65">
        <f t="shared" si="2"/>
        <v>19330835</v>
      </c>
      <c r="I13" s="66">
        <f t="shared" si="2"/>
        <v>45588342</v>
      </c>
      <c r="J13" s="60"/>
      <c r="K13" s="38"/>
      <c r="L13" s="60">
        <f t="shared" si="0"/>
        <v>19330835</v>
      </c>
      <c r="M13" s="38">
        <f t="shared" si="0"/>
        <v>45588342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61104587</v>
      </c>
      <c r="E16" s="39">
        <v>141617775</v>
      </c>
      <c r="F16" s="61">
        <f t="shared" ref="F16:M16" si="3">SUM(F11:F15)</f>
        <v>0</v>
      </c>
      <c r="G16" s="39">
        <f t="shared" si="3"/>
        <v>0</v>
      </c>
      <c r="H16" s="61">
        <f>SUM(H11:H15)</f>
        <v>61104587</v>
      </c>
      <c r="I16" s="39">
        <f>SUM(I11:I15)</f>
        <v>141617775</v>
      </c>
      <c r="J16" s="61">
        <f t="shared" si="3"/>
        <v>0</v>
      </c>
      <c r="K16" s="39">
        <f t="shared" si="3"/>
        <v>0</v>
      </c>
      <c r="L16" s="61">
        <f t="shared" si="3"/>
        <v>61104587</v>
      </c>
      <c r="M16" s="39">
        <f t="shared" si="3"/>
        <v>141617775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-42677322</v>
      </c>
      <c r="E19" s="65">
        <v>-95682634</v>
      </c>
      <c r="F19" s="60">
        <f>H19-D19</f>
        <v>0</v>
      </c>
      <c r="G19" s="37">
        <f>I19-E19</f>
        <v>0</v>
      </c>
      <c r="H19" s="65">
        <f t="shared" si="4"/>
        <v>-42677322</v>
      </c>
      <c r="I19" s="66">
        <f t="shared" si="4"/>
        <v>-95682634</v>
      </c>
      <c r="J19" s="60"/>
      <c r="K19" s="38"/>
      <c r="L19" s="60">
        <f t="shared" ref="L19:M23" si="5">H19+J19</f>
        <v>-42677322</v>
      </c>
      <c r="M19" s="38">
        <f t="shared" si="5"/>
        <v>-95682634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-19275990</v>
      </c>
      <c r="E21" s="65">
        <v>-45452981</v>
      </c>
      <c r="F21" s="60">
        <f t="shared" si="6"/>
        <v>0</v>
      </c>
      <c r="G21" s="37">
        <f t="shared" si="6"/>
        <v>0</v>
      </c>
      <c r="H21" s="65">
        <f t="shared" si="4"/>
        <v>-19275990</v>
      </c>
      <c r="I21" s="66">
        <f t="shared" si="4"/>
        <v>-45452981</v>
      </c>
      <c r="J21" s="60"/>
      <c r="K21" s="38"/>
      <c r="L21" s="60">
        <f t="shared" si="5"/>
        <v>-19275990</v>
      </c>
      <c r="M21" s="38">
        <f t="shared" si="5"/>
        <v>-45452981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637065</v>
      </c>
      <c r="E23" s="65">
        <v>1420180</v>
      </c>
      <c r="F23" s="60">
        <f t="shared" si="6"/>
        <v>0</v>
      </c>
      <c r="G23" s="37">
        <f t="shared" si="6"/>
        <v>0</v>
      </c>
      <c r="H23" s="65">
        <f t="shared" si="4"/>
        <v>637065</v>
      </c>
      <c r="I23" s="66">
        <f t="shared" si="4"/>
        <v>1420180</v>
      </c>
      <c r="J23" s="60"/>
      <c r="K23" s="38"/>
      <c r="L23" s="60">
        <f t="shared" si="5"/>
        <v>637065</v>
      </c>
      <c r="M23" s="38">
        <f t="shared" si="5"/>
        <v>1420180</v>
      </c>
    </row>
    <row r="24" spans="1:13" x14ac:dyDescent="0.25">
      <c r="A24" s="9"/>
      <c r="B24" s="7" t="s">
        <v>33</v>
      </c>
      <c r="C24" s="6"/>
      <c r="D24" s="61">
        <v>-61316247</v>
      </c>
      <c r="E24" s="39">
        <v>-139715435</v>
      </c>
      <c r="F24" s="61">
        <f t="shared" ref="F24:M24" si="7">SUM(F19:F23)</f>
        <v>0</v>
      </c>
      <c r="G24" s="39">
        <f t="shared" si="7"/>
        <v>0</v>
      </c>
      <c r="H24" s="61">
        <f>SUM(H19:H23)</f>
        <v>-61316247</v>
      </c>
      <c r="I24" s="39">
        <f>SUM(I19:I23)</f>
        <v>-139715435</v>
      </c>
      <c r="J24" s="61">
        <f t="shared" si="7"/>
        <v>0</v>
      </c>
      <c r="K24" s="39">
        <f t="shared" si="7"/>
        <v>0</v>
      </c>
      <c r="L24" s="61">
        <f t="shared" si="7"/>
        <v>-61316247</v>
      </c>
      <c r="M24" s="39">
        <f t="shared" si="7"/>
        <v>-139715435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7309</v>
      </c>
      <c r="E32" s="65">
        <v>18379</v>
      </c>
      <c r="F32" s="60">
        <f>H32-D32</f>
        <v>0</v>
      </c>
      <c r="G32" s="37">
        <f>I32-E32</f>
        <v>0</v>
      </c>
      <c r="H32" s="65">
        <f t="shared" ref="H32:I35" si="9">D32</f>
        <v>7309</v>
      </c>
      <c r="I32" s="66">
        <f t="shared" si="9"/>
        <v>18379</v>
      </c>
      <c r="J32" s="60"/>
      <c r="K32" s="38"/>
      <c r="L32" s="60">
        <f t="shared" ref="L32:M35" si="10">H32+J32</f>
        <v>7309</v>
      </c>
      <c r="M32" s="38">
        <f t="shared" si="10"/>
        <v>18379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219316</v>
      </c>
      <c r="E35" s="65">
        <v>531059</v>
      </c>
      <c r="F35" s="60">
        <f t="shared" si="11"/>
        <v>0</v>
      </c>
      <c r="G35" s="37">
        <f t="shared" si="11"/>
        <v>0</v>
      </c>
      <c r="H35" s="65">
        <f t="shared" si="9"/>
        <v>219316</v>
      </c>
      <c r="I35" s="66">
        <f t="shared" si="9"/>
        <v>531059</v>
      </c>
      <c r="J35" s="60"/>
      <c r="K35" s="38"/>
      <c r="L35" s="60">
        <f t="shared" si="10"/>
        <v>219316</v>
      </c>
      <c r="M35" s="38">
        <f t="shared" si="10"/>
        <v>531059</v>
      </c>
    </row>
    <row r="36" spans="1:13" x14ac:dyDescent="0.25">
      <c r="A36" s="9"/>
      <c r="B36" s="7" t="s">
        <v>43</v>
      </c>
      <c r="C36" s="6"/>
      <c r="D36" s="61">
        <v>226625</v>
      </c>
      <c r="E36" s="39">
        <v>549438</v>
      </c>
      <c r="F36" s="61">
        <f>SUM(F32:F35)</f>
        <v>0</v>
      </c>
      <c r="G36" s="39">
        <f>SUM(G32:G35)</f>
        <v>0</v>
      </c>
      <c r="H36" s="61">
        <f>SUM(H32:H35)</f>
        <v>226625</v>
      </c>
      <c r="I36" s="39">
        <f>SUM(I32:I35)</f>
        <v>549438</v>
      </c>
      <c r="J36" s="61">
        <f>SUM(J32:J34)</f>
        <v>0</v>
      </c>
      <c r="K36" s="39">
        <f>SUM(K32:K34)</f>
        <v>0</v>
      </c>
      <c r="L36" s="61">
        <f>SUM(L32:L35)</f>
        <v>226625</v>
      </c>
      <c r="M36" s="39">
        <f>SUM(M32:M35)</f>
        <v>549438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9907</v>
      </c>
      <c r="E39" s="65">
        <v>20458</v>
      </c>
      <c r="F39" s="60">
        <f t="shared" ref="F39:G41" si="13">H39-D39</f>
        <v>0</v>
      </c>
      <c r="G39" s="37">
        <f t="shared" si="13"/>
        <v>0</v>
      </c>
      <c r="H39" s="65">
        <f t="shared" si="12"/>
        <v>9907</v>
      </c>
      <c r="I39" s="66">
        <f t="shared" si="12"/>
        <v>20458</v>
      </c>
      <c r="J39" s="60"/>
      <c r="K39" s="38"/>
      <c r="L39" s="60">
        <f t="shared" ref="L39:M41" si="14">H39+J39</f>
        <v>9907</v>
      </c>
      <c r="M39" s="38">
        <f t="shared" si="14"/>
        <v>20458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-7621</v>
      </c>
      <c r="E40" s="65">
        <v>-17126</v>
      </c>
      <c r="F40" s="60">
        <f t="shared" si="13"/>
        <v>0</v>
      </c>
      <c r="G40" s="37">
        <f t="shared" si="13"/>
        <v>0</v>
      </c>
      <c r="H40" s="65">
        <f t="shared" si="12"/>
        <v>-7621</v>
      </c>
      <c r="I40" s="66">
        <f t="shared" si="12"/>
        <v>-17126</v>
      </c>
      <c r="J40" s="60"/>
      <c r="K40" s="38"/>
      <c r="L40" s="60">
        <f t="shared" si="14"/>
        <v>-7621</v>
      </c>
      <c r="M40" s="38">
        <f t="shared" si="14"/>
        <v>-17126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-7621</v>
      </c>
      <c r="E42" s="39">
        <v>-17126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-7621</v>
      </c>
      <c r="I42" s="39">
        <f>SUM(I40:I41)</f>
        <v>-17126</v>
      </c>
      <c r="J42" s="61">
        <f t="shared" si="15"/>
        <v>0</v>
      </c>
      <c r="K42" s="39">
        <f t="shared" si="15"/>
        <v>0</v>
      </c>
      <c r="L42" s="61">
        <f t="shared" si="15"/>
        <v>-7621</v>
      </c>
      <c r="M42" s="39">
        <f t="shared" si="15"/>
        <v>-17126</v>
      </c>
    </row>
    <row r="43" spans="1:13" ht="21" customHeight="1" x14ac:dyDescent="0.25">
      <c r="A43" s="9"/>
      <c r="B43" s="7" t="s">
        <v>49</v>
      </c>
      <c r="C43" s="6"/>
      <c r="D43" s="61">
        <v>2286</v>
      </c>
      <c r="E43" s="39">
        <v>3332</v>
      </c>
      <c r="F43" s="61">
        <f t="shared" ref="F43:M43" si="16">F42+F39</f>
        <v>0</v>
      </c>
      <c r="G43" s="39">
        <f t="shared" si="16"/>
        <v>0</v>
      </c>
      <c r="H43" s="61">
        <f>H42+H39</f>
        <v>2286</v>
      </c>
      <c r="I43" s="39">
        <f>I42+I39</f>
        <v>3332</v>
      </c>
      <c r="J43" s="61">
        <f t="shared" si="16"/>
        <v>0</v>
      </c>
      <c r="K43" s="39">
        <f t="shared" si="16"/>
        <v>0</v>
      </c>
      <c r="L43" s="61">
        <f t="shared" si="16"/>
        <v>2286</v>
      </c>
      <c r="M43" s="39">
        <f t="shared" si="16"/>
        <v>3332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-17251</v>
      </c>
      <c r="E49" s="65">
        <v>-38071.940757729382</v>
      </c>
      <c r="F49" s="60">
        <f>H49-D49</f>
        <v>0</v>
      </c>
      <c r="G49" s="37">
        <f>I49-E49</f>
        <v>0</v>
      </c>
      <c r="H49" s="65">
        <f>D49</f>
        <v>-17251</v>
      </c>
      <c r="I49" s="66">
        <f>E49</f>
        <v>-38071.940757729382</v>
      </c>
      <c r="J49" s="60"/>
      <c r="K49" s="38"/>
      <c r="L49" s="60">
        <f>H49+J49</f>
        <v>-17251</v>
      </c>
      <c r="M49" s="38">
        <f>I49+K49</f>
        <v>-38071.940757729382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-637065</v>
      </c>
      <c r="E51" s="65">
        <v>-1420180</v>
      </c>
      <c r="F51" s="60">
        <f>H51-D51</f>
        <v>0</v>
      </c>
      <c r="G51" s="37">
        <f>I51-E51</f>
        <v>0</v>
      </c>
      <c r="H51" s="65">
        <f>D51</f>
        <v>-637065</v>
      </c>
      <c r="I51" s="66">
        <f>E51</f>
        <v>-1420180</v>
      </c>
      <c r="J51" s="60"/>
      <c r="K51" s="38"/>
      <c r="L51" s="60">
        <f>H51+J51</f>
        <v>-637065</v>
      </c>
      <c r="M51" s="38">
        <f>I51+K51</f>
        <v>-1420180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-114015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-114015</v>
      </c>
      <c r="J54" s="60"/>
      <c r="K54" s="38"/>
      <c r="L54" s="60">
        <f>H54+J54</f>
        <v>0</v>
      </c>
      <c r="M54" s="38">
        <f>I54+K54</f>
        <v>-114015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-1113165.8400000001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-1113165.8400000001</v>
      </c>
      <c r="J55" s="60"/>
      <c r="K55" s="38"/>
      <c r="L55" s="60">
        <f>H55+J55</f>
        <v>0</v>
      </c>
      <c r="M55" s="38">
        <f>I55+K55</f>
        <v>-1113165.8400000001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-1227180.8400000001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-1227180.8400000001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-1227180.8400000001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6953222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6953222</v>
      </c>
      <c r="J70" s="60"/>
      <c r="K70" s="38"/>
      <c r="L70" s="60">
        <f>H70+J70</f>
        <v>0</v>
      </c>
      <c r="M70" s="38">
        <f>I70+K70</f>
        <v>6953222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-2053660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-2053660</v>
      </c>
      <c r="J71" s="60"/>
      <c r="K71" s="38"/>
      <c r="L71" s="60">
        <f>H71+J71</f>
        <v>0</v>
      </c>
      <c r="M71" s="38">
        <f>I71+K71</f>
        <v>-2053660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4899562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4899562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4899562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1250153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1250153</v>
      </c>
      <c r="J74" s="60"/>
      <c r="K74" s="38"/>
      <c r="L74" s="60">
        <f t="shared" si="22"/>
        <v>0</v>
      </c>
      <c r="M74" s="38">
        <f t="shared" si="22"/>
        <v>1250153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354788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354788</v>
      </c>
      <c r="J75" s="60"/>
      <c r="K75" s="38"/>
      <c r="L75" s="60">
        <f t="shared" si="22"/>
        <v>0</v>
      </c>
      <c r="M75" s="38">
        <f t="shared" si="22"/>
        <v>354788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-8676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-8676</v>
      </c>
      <c r="J76" s="60"/>
      <c r="K76" s="38"/>
      <c r="L76" s="60">
        <f t="shared" si="22"/>
        <v>0</v>
      </c>
      <c r="M76" s="38">
        <f t="shared" si="22"/>
        <v>-8676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-223008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-223008</v>
      </c>
      <c r="J81" s="60"/>
      <c r="K81" s="38"/>
      <c r="L81" s="60">
        <f t="shared" si="22"/>
        <v>0</v>
      </c>
      <c r="M81" s="38">
        <f t="shared" si="22"/>
        <v>-223008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6042496.219242271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6042496.219242271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6042496.219242271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171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6042496.219242271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6042496.219242271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6042496.219242271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I74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4265744</v>
      </c>
      <c r="E11" s="65">
        <v>9263351</v>
      </c>
      <c r="F11" s="60">
        <f>H11-D11</f>
        <v>0</v>
      </c>
      <c r="G11" s="37">
        <f>I11-E11</f>
        <v>0</v>
      </c>
      <c r="H11" s="65">
        <f>D11</f>
        <v>4265744</v>
      </c>
      <c r="I11" s="66">
        <f>E11</f>
        <v>9263351</v>
      </c>
      <c r="J11" s="60"/>
      <c r="K11" s="38"/>
      <c r="L11" s="60">
        <f t="shared" ref="L11:M15" si="0">H11+J11</f>
        <v>4265744</v>
      </c>
      <c r="M11" s="38">
        <f t="shared" si="0"/>
        <v>9263351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4105116</v>
      </c>
      <c r="E13" s="65">
        <v>9214231</v>
      </c>
      <c r="F13" s="60">
        <f t="shared" si="1"/>
        <v>0</v>
      </c>
      <c r="G13" s="37">
        <f t="shared" si="1"/>
        <v>0</v>
      </c>
      <c r="H13" s="65">
        <f t="shared" si="2"/>
        <v>4105116</v>
      </c>
      <c r="I13" s="66">
        <f t="shared" si="2"/>
        <v>9214231</v>
      </c>
      <c r="J13" s="60"/>
      <c r="K13" s="38"/>
      <c r="L13" s="60">
        <f t="shared" si="0"/>
        <v>4105116</v>
      </c>
      <c r="M13" s="38">
        <f t="shared" si="0"/>
        <v>9214231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8370860</v>
      </c>
      <c r="E16" s="39">
        <v>18477582</v>
      </c>
      <c r="F16" s="61">
        <f t="shared" ref="F16:M16" si="3">SUM(F11:F15)</f>
        <v>0</v>
      </c>
      <c r="G16" s="39">
        <f t="shared" si="3"/>
        <v>0</v>
      </c>
      <c r="H16" s="61">
        <f>SUM(H11:H15)</f>
        <v>8370860</v>
      </c>
      <c r="I16" s="39">
        <f>SUM(I11:I15)</f>
        <v>18477582</v>
      </c>
      <c r="J16" s="61">
        <f t="shared" si="3"/>
        <v>0</v>
      </c>
      <c r="K16" s="39">
        <f t="shared" si="3"/>
        <v>0</v>
      </c>
      <c r="L16" s="61">
        <f t="shared" si="3"/>
        <v>8370860</v>
      </c>
      <c r="M16" s="39">
        <f t="shared" si="3"/>
        <v>18477582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-5207531</v>
      </c>
      <c r="E19" s="65">
        <v>-11111817</v>
      </c>
      <c r="F19" s="60">
        <f>H19-D19</f>
        <v>0</v>
      </c>
      <c r="G19" s="37">
        <f>I19-E19</f>
        <v>0</v>
      </c>
      <c r="H19" s="65">
        <f t="shared" si="4"/>
        <v>-5207531</v>
      </c>
      <c r="I19" s="66">
        <f t="shared" si="4"/>
        <v>-11111817</v>
      </c>
      <c r="J19" s="60"/>
      <c r="K19" s="38"/>
      <c r="L19" s="60">
        <f t="shared" ref="L19:M23" si="5">H19+J19</f>
        <v>-5207531</v>
      </c>
      <c r="M19" s="38">
        <f t="shared" si="5"/>
        <v>-11111817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-3142564</v>
      </c>
      <c r="E21" s="65">
        <v>-7046526</v>
      </c>
      <c r="F21" s="60">
        <f t="shared" si="6"/>
        <v>0</v>
      </c>
      <c r="G21" s="37">
        <f t="shared" si="6"/>
        <v>0</v>
      </c>
      <c r="H21" s="65">
        <f t="shared" si="4"/>
        <v>-3142564</v>
      </c>
      <c r="I21" s="66">
        <f t="shared" si="4"/>
        <v>-7046526</v>
      </c>
      <c r="J21" s="60"/>
      <c r="K21" s="38"/>
      <c r="L21" s="60">
        <f t="shared" si="5"/>
        <v>-3142564</v>
      </c>
      <c r="M21" s="38">
        <f t="shared" si="5"/>
        <v>-7046526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13590</v>
      </c>
      <c r="E23" s="65">
        <v>28931</v>
      </c>
      <c r="F23" s="60">
        <f t="shared" si="6"/>
        <v>0</v>
      </c>
      <c r="G23" s="37">
        <f t="shared" si="6"/>
        <v>0</v>
      </c>
      <c r="H23" s="65">
        <f t="shared" si="4"/>
        <v>13590</v>
      </c>
      <c r="I23" s="66">
        <f t="shared" si="4"/>
        <v>28931</v>
      </c>
      <c r="J23" s="60"/>
      <c r="K23" s="38"/>
      <c r="L23" s="60">
        <f t="shared" si="5"/>
        <v>13590</v>
      </c>
      <c r="M23" s="38">
        <f t="shared" si="5"/>
        <v>28931</v>
      </c>
    </row>
    <row r="24" spans="1:13" x14ac:dyDescent="0.25">
      <c r="A24" s="9"/>
      <c r="B24" s="7" t="s">
        <v>33</v>
      </c>
      <c r="C24" s="6"/>
      <c r="D24" s="61">
        <v>-8336505</v>
      </c>
      <c r="E24" s="39">
        <v>-18129412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-8336505</v>
      </c>
      <c r="I24" s="39">
        <f>SUM(I19:I23)</f>
        <v>-18129412</v>
      </c>
      <c r="J24" s="61">
        <f t="shared" si="7"/>
        <v>0</v>
      </c>
      <c r="K24" s="39">
        <f t="shared" si="7"/>
        <v>0</v>
      </c>
      <c r="L24" s="61">
        <f t="shared" si="7"/>
        <v>-8336505</v>
      </c>
      <c r="M24" s="39">
        <f t="shared" si="7"/>
        <v>-18129412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14069</v>
      </c>
      <c r="E32" s="65">
        <v>31773</v>
      </c>
      <c r="F32" s="60">
        <f>H32-D32</f>
        <v>0</v>
      </c>
      <c r="G32" s="37">
        <f>I32-E32</f>
        <v>0</v>
      </c>
      <c r="H32" s="65">
        <f t="shared" ref="H32:I35" si="9">D32</f>
        <v>14069</v>
      </c>
      <c r="I32" s="66">
        <f t="shared" si="9"/>
        <v>31773</v>
      </c>
      <c r="J32" s="60"/>
      <c r="K32" s="38"/>
      <c r="L32" s="60">
        <f t="shared" ref="L32:M35" si="10">H32+J32</f>
        <v>14069</v>
      </c>
      <c r="M32" s="38">
        <f t="shared" si="10"/>
        <v>31773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14069</v>
      </c>
      <c r="E36" s="39">
        <v>31773</v>
      </c>
      <c r="F36" s="61">
        <f>SUM(F32:F35)</f>
        <v>0</v>
      </c>
      <c r="G36" s="39">
        <f>SUM(G32:G35)</f>
        <v>0</v>
      </c>
      <c r="H36" s="61">
        <f>SUM(H32:H35)</f>
        <v>14069</v>
      </c>
      <c r="I36" s="39">
        <f>SUM(I32:I35)</f>
        <v>31773</v>
      </c>
      <c r="J36" s="61">
        <f>SUM(J32:J34)</f>
        <v>0</v>
      </c>
      <c r="K36" s="39">
        <f>SUM(K32:K34)</f>
        <v>0</v>
      </c>
      <c r="L36" s="61">
        <f>SUM(L32:L35)</f>
        <v>14069</v>
      </c>
      <c r="M36" s="39">
        <f>SUM(M32:M35)</f>
        <v>31773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891</v>
      </c>
      <c r="E39" s="65">
        <v>2074</v>
      </c>
      <c r="F39" s="60">
        <f t="shared" ref="F39:G41" si="13">H39-D39</f>
        <v>0</v>
      </c>
      <c r="G39" s="37">
        <f t="shared" si="13"/>
        <v>0</v>
      </c>
      <c r="H39" s="65">
        <f t="shared" si="12"/>
        <v>891</v>
      </c>
      <c r="I39" s="66">
        <f t="shared" si="12"/>
        <v>2074</v>
      </c>
      <c r="J39" s="60"/>
      <c r="K39" s="38"/>
      <c r="L39" s="60">
        <f t="shared" ref="L39:M41" si="14">H39+J39</f>
        <v>891</v>
      </c>
      <c r="M39" s="38">
        <f t="shared" si="14"/>
        <v>2074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891</v>
      </c>
      <c r="E43" s="39">
        <v>2074</v>
      </c>
      <c r="F43" s="61">
        <f t="shared" ref="F43:M43" si="16">F42+F39</f>
        <v>0</v>
      </c>
      <c r="G43" s="39">
        <f t="shared" si="16"/>
        <v>0</v>
      </c>
      <c r="H43" s="61">
        <f>H42+H39</f>
        <v>891</v>
      </c>
      <c r="I43" s="39">
        <f>I42+I39</f>
        <v>2074</v>
      </c>
      <c r="J43" s="61">
        <f t="shared" si="16"/>
        <v>0</v>
      </c>
      <c r="K43" s="39">
        <f t="shared" si="16"/>
        <v>0</v>
      </c>
      <c r="L43" s="61">
        <f t="shared" si="16"/>
        <v>891</v>
      </c>
      <c r="M43" s="39">
        <f t="shared" si="16"/>
        <v>2074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-49315</v>
      </c>
      <c r="E49" s="65">
        <v>-106404.98028757867</v>
      </c>
      <c r="F49" s="60">
        <f>H49-D49</f>
        <v>0</v>
      </c>
      <c r="G49" s="37">
        <f>I49-E49</f>
        <v>0</v>
      </c>
      <c r="H49" s="65">
        <f>D49</f>
        <v>-49315</v>
      </c>
      <c r="I49" s="66">
        <f>E49</f>
        <v>-106404.98028757867</v>
      </c>
      <c r="J49" s="60"/>
      <c r="K49" s="38"/>
      <c r="L49" s="60">
        <f>H49+J49</f>
        <v>-49315</v>
      </c>
      <c r="M49" s="38">
        <f>I49+K49</f>
        <v>-106404.98028757867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-13590</v>
      </c>
      <c r="E51" s="65">
        <v>-28931</v>
      </c>
      <c r="F51" s="60">
        <f>H51-D51</f>
        <v>0</v>
      </c>
      <c r="G51" s="37">
        <f>I51-E51</f>
        <v>0</v>
      </c>
      <c r="H51" s="65">
        <f>D51</f>
        <v>-13590</v>
      </c>
      <c r="I51" s="66">
        <f>E51</f>
        <v>-28931</v>
      </c>
      <c r="J51" s="60"/>
      <c r="K51" s="38"/>
      <c r="L51" s="60">
        <f>H51+J51</f>
        <v>-13590</v>
      </c>
      <c r="M51" s="38">
        <f>I51+K51</f>
        <v>-28931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-114253.35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-114253.35</v>
      </c>
      <c r="J54" s="60"/>
      <c r="K54" s="38"/>
      <c r="L54" s="60">
        <f>H54+J54</f>
        <v>0</v>
      </c>
      <c r="M54" s="38">
        <f>I54+K54</f>
        <v>-114253.35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-355437.7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-355437.7</v>
      </c>
      <c r="J55" s="60"/>
      <c r="K55" s="38"/>
      <c r="L55" s="60">
        <f>H55+J55</f>
        <v>0</v>
      </c>
      <c r="M55" s="38">
        <f>I55+K55</f>
        <v>-355437.7</v>
      </c>
    </row>
    <row r="56" spans="1:15" x14ac:dyDescent="0.25">
      <c r="A56" s="9"/>
      <c r="B56" s="7" t="s">
        <v>57</v>
      </c>
      <c r="C56" s="6"/>
      <c r="D56" s="61">
        <v>0</v>
      </c>
      <c r="E56" s="39">
        <v>-469691.05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-469691.05000000005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-469691.05000000005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3.9999999804422259E-2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3.9999999804422259E-2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3.9999999804422259E-2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-223009.99028757954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-223009.9902875796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-223009.9902875796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215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67">
        <v>-63196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-63196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-63196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-63196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-63196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-63196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-286205.99028757954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-286205.9902875796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-286205.9902875796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4964602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4964602</v>
      </c>
      <c r="J12" s="60"/>
      <c r="K12" s="38"/>
      <c r="L12" s="60">
        <f t="shared" si="0"/>
        <v>0</v>
      </c>
      <c r="M12" s="38">
        <f t="shared" si="0"/>
        <v>4964602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4964602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4964602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4964602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50000</v>
      </c>
      <c r="J60" s="65"/>
      <c r="K60" s="38"/>
      <c r="L60" s="60">
        <f>H60+J60</f>
        <v>0</v>
      </c>
      <c r="M60" s="38">
        <f>I60+K60</f>
        <v>50000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50000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-4096579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-4096579</v>
      </c>
      <c r="J70" s="65"/>
      <c r="K70" s="38"/>
      <c r="L70" s="60">
        <f t="shared" si="20"/>
        <v>0</v>
      </c>
      <c r="M70" s="38">
        <f t="shared" si="20"/>
        <v>-4096579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-4096579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-4096579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-4096579</v>
      </c>
    </row>
    <row r="73" spans="1:13" x14ac:dyDescent="0.25">
      <c r="A73" s="9">
        <v>32</v>
      </c>
      <c r="B73" s="3"/>
      <c r="C73" s="10" t="s">
        <v>70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2331926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2331926</v>
      </c>
      <c r="J74" s="60"/>
      <c r="K74" s="38"/>
      <c r="L74" s="60">
        <f t="shared" si="23"/>
        <v>0</v>
      </c>
      <c r="M74" s="38">
        <f t="shared" si="23"/>
        <v>2331926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-9480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-9480</v>
      </c>
      <c r="J76" s="60"/>
      <c r="K76" s="38"/>
      <c r="L76" s="60">
        <f t="shared" si="23"/>
        <v>0</v>
      </c>
      <c r="M76" s="38">
        <f t="shared" si="23"/>
        <v>-9480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5">
      <c r="A78" s="9">
        <v>37</v>
      </c>
      <c r="B78" s="3"/>
      <c r="C78" s="10" t="s">
        <v>75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5">
      <c r="A79" s="9">
        <v>38</v>
      </c>
      <c r="B79" s="3"/>
      <c r="C79" s="10" t="s">
        <v>76</v>
      </c>
      <c r="D79" s="60"/>
      <c r="E79" s="38">
        <v>-503709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-503709</v>
      </c>
      <c r="J79" s="60"/>
      <c r="K79" s="38"/>
      <c r="L79" s="60">
        <f t="shared" si="23"/>
        <v>0</v>
      </c>
      <c r="M79" s="38">
        <f t="shared" si="23"/>
        <v>-503709</v>
      </c>
    </row>
    <row r="80" spans="1:13" x14ac:dyDescent="0.25">
      <c r="A80" s="9">
        <v>39</v>
      </c>
      <c r="B80" s="3"/>
      <c r="C80" s="10" t="s">
        <v>77</v>
      </c>
      <c r="D80" s="60"/>
      <c r="E80" s="38">
        <v>-455702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-455702</v>
      </c>
      <c r="J80" s="60"/>
      <c r="K80" s="38"/>
      <c r="L80" s="60">
        <f t="shared" si="23"/>
        <v>0</v>
      </c>
      <c r="M80" s="38">
        <f t="shared" si="23"/>
        <v>-455702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2718631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2718631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2718631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37751228</v>
      </c>
      <c r="E11" s="146">
        <v>91989334</v>
      </c>
      <c r="F11" s="60">
        <f>H11-D11</f>
        <v>0</v>
      </c>
      <c r="G11" s="37">
        <f>I11-E11</f>
        <v>0</v>
      </c>
      <c r="H11" s="65">
        <f>D11</f>
        <v>37751228</v>
      </c>
      <c r="I11" s="66">
        <f>E11</f>
        <v>91989334</v>
      </c>
      <c r="J11" s="60"/>
      <c r="K11" s="38"/>
      <c r="L11" s="60">
        <f t="shared" ref="L11:M15" si="0">H11+J11</f>
        <v>37751228</v>
      </c>
      <c r="M11" s="38">
        <f t="shared" si="0"/>
        <v>91989334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3709833</v>
      </c>
      <c r="E13" s="146">
        <v>9157794</v>
      </c>
      <c r="F13" s="60">
        <f t="shared" si="1"/>
        <v>0</v>
      </c>
      <c r="G13" s="37">
        <f t="shared" si="1"/>
        <v>0</v>
      </c>
      <c r="H13" s="65">
        <f t="shared" si="2"/>
        <v>3709833</v>
      </c>
      <c r="I13" s="66">
        <f t="shared" si="2"/>
        <v>9157794</v>
      </c>
      <c r="J13" s="60"/>
      <c r="K13" s="38"/>
      <c r="L13" s="60">
        <f t="shared" si="0"/>
        <v>3709833</v>
      </c>
      <c r="M13" s="38">
        <f t="shared" si="0"/>
        <v>9157794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41461061</v>
      </c>
      <c r="E16" s="166">
        <v>101147128</v>
      </c>
      <c r="F16" s="61">
        <f t="shared" ref="F16:M16" si="3">SUM(F11:F15)</f>
        <v>0</v>
      </c>
      <c r="G16" s="39">
        <f t="shared" si="3"/>
        <v>0</v>
      </c>
      <c r="H16" s="61">
        <f>SUM(H11:H15)</f>
        <v>41461061</v>
      </c>
      <c r="I16" s="39">
        <f>SUM(I11:I15)</f>
        <v>101147128</v>
      </c>
      <c r="J16" s="61">
        <f t="shared" si="3"/>
        <v>0</v>
      </c>
      <c r="K16" s="39">
        <f t="shared" si="3"/>
        <v>0</v>
      </c>
      <c r="L16" s="61">
        <f t="shared" si="3"/>
        <v>41461061</v>
      </c>
      <c r="M16" s="39">
        <f t="shared" si="3"/>
        <v>101147128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-41087127</v>
      </c>
      <c r="E19" s="146">
        <v>-100082949</v>
      </c>
      <c r="F19" s="60">
        <f>H19-D19</f>
        <v>0</v>
      </c>
      <c r="G19" s="37">
        <f>I19-E19</f>
        <v>0</v>
      </c>
      <c r="H19" s="65">
        <f t="shared" si="4"/>
        <v>-41087127</v>
      </c>
      <c r="I19" s="66">
        <f t="shared" si="4"/>
        <v>-100082949</v>
      </c>
      <c r="J19" s="60"/>
      <c r="K19" s="38"/>
      <c r="L19" s="60">
        <f t="shared" ref="L19:M23" si="5">H19+J19</f>
        <v>-41087127</v>
      </c>
      <c r="M19" s="38">
        <f t="shared" si="5"/>
        <v>-100082949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-414182</v>
      </c>
      <c r="E21" s="146">
        <v>-997711</v>
      </c>
      <c r="F21" s="60">
        <f t="shared" si="6"/>
        <v>0</v>
      </c>
      <c r="G21" s="37">
        <f t="shared" si="6"/>
        <v>0</v>
      </c>
      <c r="H21" s="65">
        <f t="shared" si="4"/>
        <v>-414182</v>
      </c>
      <c r="I21" s="66">
        <f t="shared" si="4"/>
        <v>-997711</v>
      </c>
      <c r="J21" s="60"/>
      <c r="K21" s="38"/>
      <c r="L21" s="60">
        <f t="shared" si="5"/>
        <v>-414182</v>
      </c>
      <c r="M21" s="38">
        <f t="shared" si="5"/>
        <v>-997711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-41501309</v>
      </c>
      <c r="E24" s="166">
        <v>-101080660</v>
      </c>
      <c r="F24" s="61">
        <f t="shared" ref="F24:M24" si="7">SUM(F19:F23)</f>
        <v>0</v>
      </c>
      <c r="G24" s="39">
        <f t="shared" si="7"/>
        <v>0</v>
      </c>
      <c r="H24" s="61">
        <f>SUM(H19:H23)</f>
        <v>-41501309</v>
      </c>
      <c r="I24" s="39">
        <f>SUM(I19:I23)</f>
        <v>-101080660</v>
      </c>
      <c r="J24" s="61">
        <f t="shared" si="7"/>
        <v>0</v>
      </c>
      <c r="K24" s="39">
        <f t="shared" si="7"/>
        <v>0</v>
      </c>
      <c r="L24" s="61">
        <f t="shared" si="7"/>
        <v>-41501309</v>
      </c>
      <c r="M24" s="39">
        <f t="shared" si="7"/>
        <v>-101080660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40248</v>
      </c>
      <c r="E49" s="146">
        <v>108669.6</v>
      </c>
      <c r="F49" s="60">
        <f>H49-D49</f>
        <v>0</v>
      </c>
      <c r="G49" s="37">
        <f>I49-E49</f>
        <v>0</v>
      </c>
      <c r="H49" s="65">
        <f>D49</f>
        <v>40248</v>
      </c>
      <c r="I49" s="66">
        <f>E49</f>
        <v>108669.6</v>
      </c>
      <c r="J49" s="60"/>
      <c r="K49" s="38"/>
      <c r="L49" s="60">
        <f>H49+J49</f>
        <v>40248</v>
      </c>
      <c r="M49" s="38">
        <f>I49+K49</f>
        <v>108669.6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-50000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-50000</v>
      </c>
      <c r="J54" s="60"/>
      <c r="K54" s="38"/>
      <c r="L54" s="60">
        <f>H54+J54</f>
        <v>0</v>
      </c>
      <c r="M54" s="38">
        <f>I54+K54</f>
        <v>-50000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-50000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-50000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1508208.5228982903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1508208.5228982903</v>
      </c>
      <c r="J70" s="65"/>
      <c r="K70" s="38"/>
      <c r="L70" s="60">
        <f t="shared" si="20"/>
        <v>0</v>
      </c>
      <c r="M70" s="38">
        <f t="shared" si="20"/>
        <v>1508208.5228982903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-708912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-708912</v>
      </c>
      <c r="J71" s="65"/>
      <c r="K71" s="38"/>
      <c r="L71" s="60">
        <f t="shared" si="20"/>
        <v>0</v>
      </c>
      <c r="M71" s="38">
        <f t="shared" si="20"/>
        <v>-708912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799296.52289829031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799296.52289829031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799296.52289829031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-324192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-324192</v>
      </c>
      <c r="J74" s="60"/>
      <c r="K74" s="38"/>
      <c r="L74" s="60">
        <f t="shared" si="23"/>
        <v>0</v>
      </c>
      <c r="M74" s="38">
        <f t="shared" si="23"/>
        <v>-324192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-343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-343</v>
      </c>
      <c r="J76" s="60"/>
      <c r="K76" s="38"/>
      <c r="L76" s="60">
        <f t="shared" si="23"/>
        <v>0</v>
      </c>
      <c r="M76" s="38">
        <f t="shared" si="23"/>
        <v>-343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66067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66067</v>
      </c>
      <c r="J81" s="60"/>
      <c r="K81" s="38"/>
      <c r="L81" s="60">
        <f t="shared" si="23"/>
        <v>0</v>
      </c>
      <c r="M81" s="38">
        <f t="shared" si="23"/>
        <v>66067</v>
      </c>
    </row>
    <row r="82" spans="1:13" s="2" customFormat="1" ht="20.25" customHeight="1" thickBot="1" x14ac:dyDescent="0.3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665966.12289828656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665966.12289828656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665966.12289828656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163</v>
      </c>
      <c r="B85" s="3"/>
      <c r="L85" s="45"/>
    </row>
    <row r="86" spans="1:13" s="3" customFormat="1" x14ac:dyDescent="0.25">
      <c r="A86" s="144"/>
      <c r="C86" s="10" t="s">
        <v>166</v>
      </c>
      <c r="D86" s="148">
        <v>0</v>
      </c>
      <c r="E86" s="148">
        <v>-244880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-244880</v>
      </c>
      <c r="J86" s="148"/>
      <c r="K86" s="148"/>
      <c r="L86" s="148">
        <f t="shared" ref="L86:M88" si="27">H86+J86</f>
        <v>0</v>
      </c>
      <c r="M86" s="148">
        <f t="shared" si="27"/>
        <v>-244880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-244880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-244880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-244880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421086.12289828656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421086.12289828656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421086.12289828656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23281203</v>
      </c>
      <c r="E11" s="65">
        <v>40096055</v>
      </c>
      <c r="F11" s="60">
        <f>H11-D11</f>
        <v>0</v>
      </c>
      <c r="G11" s="37">
        <f>I11-E11</f>
        <v>0</v>
      </c>
      <c r="H11" s="65">
        <f>D11</f>
        <v>23281203</v>
      </c>
      <c r="I11" s="66">
        <f>E11</f>
        <v>40096055</v>
      </c>
      <c r="J11" s="60"/>
      <c r="K11" s="38"/>
      <c r="L11" s="60">
        <f t="shared" ref="L11:M15" si="0">H11+J11</f>
        <v>23281203</v>
      </c>
      <c r="M11" s="38">
        <f t="shared" si="0"/>
        <v>40096055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53673045</v>
      </c>
      <c r="E13" s="65">
        <v>204754459</v>
      </c>
      <c r="F13" s="60">
        <f t="shared" si="1"/>
        <v>0</v>
      </c>
      <c r="G13" s="37">
        <f t="shared" si="1"/>
        <v>0</v>
      </c>
      <c r="H13" s="65">
        <f t="shared" si="2"/>
        <v>53673045</v>
      </c>
      <c r="I13" s="66">
        <f t="shared" si="2"/>
        <v>204754459</v>
      </c>
      <c r="J13" s="60"/>
      <c r="K13" s="38"/>
      <c r="L13" s="60">
        <f t="shared" si="0"/>
        <v>53673045</v>
      </c>
      <c r="M13" s="38">
        <f t="shared" si="0"/>
        <v>204754459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10490859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10490859</v>
      </c>
      <c r="J15" s="60"/>
      <c r="K15" s="38"/>
      <c r="L15" s="60">
        <f t="shared" si="0"/>
        <v>0</v>
      </c>
      <c r="M15" s="38">
        <f t="shared" si="0"/>
        <v>10490859</v>
      </c>
    </row>
    <row r="16" spans="1:26" x14ac:dyDescent="0.25">
      <c r="A16" s="9"/>
      <c r="B16" s="7" t="s">
        <v>30</v>
      </c>
      <c r="C16" s="6"/>
      <c r="D16" s="61">
        <v>76954248</v>
      </c>
      <c r="E16" s="39">
        <v>255341373</v>
      </c>
      <c r="F16" s="61">
        <f t="shared" ref="F16:M16" si="3">SUM(F11:F15)</f>
        <v>0</v>
      </c>
      <c r="G16" s="39">
        <f t="shared" si="3"/>
        <v>0</v>
      </c>
      <c r="H16" s="61">
        <f>SUM(H11:H15)</f>
        <v>76954248</v>
      </c>
      <c r="I16" s="39">
        <f>SUM(I11:I15)</f>
        <v>255341373</v>
      </c>
      <c r="J16" s="61">
        <f t="shared" si="3"/>
        <v>0</v>
      </c>
      <c r="K16" s="39">
        <f t="shared" si="3"/>
        <v>0</v>
      </c>
      <c r="L16" s="61">
        <f t="shared" si="3"/>
        <v>76954248</v>
      </c>
      <c r="M16" s="39">
        <f t="shared" si="3"/>
        <v>255341373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-7057755</v>
      </c>
      <c r="E19" s="65">
        <v>-15351473</v>
      </c>
      <c r="F19" s="60">
        <f>H19-D19</f>
        <v>0</v>
      </c>
      <c r="G19" s="37">
        <f>I19-E19</f>
        <v>0</v>
      </c>
      <c r="H19" s="65">
        <f t="shared" si="4"/>
        <v>-7057755</v>
      </c>
      <c r="I19" s="66">
        <f t="shared" si="4"/>
        <v>-15351473</v>
      </c>
      <c r="J19" s="60"/>
      <c r="K19" s="38"/>
      <c r="L19" s="60">
        <f t="shared" ref="L19:M23" si="5">H19+J19</f>
        <v>-7057755</v>
      </c>
      <c r="M19" s="38">
        <f t="shared" si="5"/>
        <v>-15351473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-56862831</v>
      </c>
      <c r="E21" s="65">
        <v>-209309089</v>
      </c>
      <c r="F21" s="60">
        <f t="shared" si="6"/>
        <v>0</v>
      </c>
      <c r="G21" s="37">
        <f t="shared" si="6"/>
        <v>0</v>
      </c>
      <c r="H21" s="65">
        <f t="shared" si="4"/>
        <v>-56862831</v>
      </c>
      <c r="I21" s="66">
        <f t="shared" si="4"/>
        <v>-209309089</v>
      </c>
      <c r="J21" s="60"/>
      <c r="K21" s="38"/>
      <c r="L21" s="60">
        <f t="shared" si="5"/>
        <v>-56862831</v>
      </c>
      <c r="M21" s="38">
        <f t="shared" si="5"/>
        <v>-209309089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841381</v>
      </c>
      <c r="E23" s="65">
        <v>2424814</v>
      </c>
      <c r="F23" s="60">
        <f t="shared" si="6"/>
        <v>0</v>
      </c>
      <c r="G23" s="37">
        <f t="shared" si="6"/>
        <v>0</v>
      </c>
      <c r="H23" s="65">
        <f t="shared" si="4"/>
        <v>841381</v>
      </c>
      <c r="I23" s="66">
        <f t="shared" si="4"/>
        <v>2424814</v>
      </c>
      <c r="J23" s="60"/>
      <c r="K23" s="38"/>
      <c r="L23" s="60">
        <f t="shared" si="5"/>
        <v>841381</v>
      </c>
      <c r="M23" s="38">
        <f t="shared" si="5"/>
        <v>2424814</v>
      </c>
    </row>
    <row r="24" spans="1:13" x14ac:dyDescent="0.25">
      <c r="A24" s="9"/>
      <c r="B24" s="7" t="s">
        <v>33</v>
      </c>
      <c r="C24" s="6"/>
      <c r="D24" s="61">
        <v>-63079205</v>
      </c>
      <c r="E24" s="39">
        <v>-222235748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-63079205</v>
      </c>
      <c r="I24" s="39">
        <f>SUM(I19:I23)</f>
        <v>-222235748</v>
      </c>
      <c r="J24" s="61">
        <f t="shared" si="7"/>
        <v>0</v>
      </c>
      <c r="K24" s="39">
        <f t="shared" si="7"/>
        <v>0</v>
      </c>
      <c r="L24" s="61">
        <f t="shared" si="7"/>
        <v>-63079205</v>
      </c>
      <c r="M24" s="39">
        <f t="shared" si="7"/>
        <v>-222235748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-4</v>
      </c>
      <c r="E32" s="65">
        <v>-10</v>
      </c>
      <c r="F32" s="60">
        <f>H32-D32</f>
        <v>0</v>
      </c>
      <c r="G32" s="37">
        <f>I32-E32</f>
        <v>0</v>
      </c>
      <c r="H32" s="65">
        <f t="shared" ref="H32:I35" si="9">D32</f>
        <v>-4</v>
      </c>
      <c r="I32" s="66">
        <f t="shared" si="9"/>
        <v>-10</v>
      </c>
      <c r="J32" s="60"/>
      <c r="K32" s="38"/>
      <c r="L32" s="60">
        <f t="shared" ref="L32:M35" si="10">H32+J32</f>
        <v>-4</v>
      </c>
      <c r="M32" s="38">
        <f t="shared" si="10"/>
        <v>-10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-55131</v>
      </c>
      <c r="E35" s="65">
        <v>-236790</v>
      </c>
      <c r="F35" s="60">
        <f t="shared" si="11"/>
        <v>0</v>
      </c>
      <c r="G35" s="37">
        <f t="shared" si="11"/>
        <v>0</v>
      </c>
      <c r="H35" s="65">
        <f t="shared" si="9"/>
        <v>-55131</v>
      </c>
      <c r="I35" s="66">
        <f t="shared" si="9"/>
        <v>-236790</v>
      </c>
      <c r="J35" s="60"/>
      <c r="K35" s="38"/>
      <c r="L35" s="60">
        <f t="shared" si="10"/>
        <v>-55131</v>
      </c>
      <c r="M35" s="38">
        <f t="shared" si="10"/>
        <v>-236790</v>
      </c>
    </row>
    <row r="36" spans="1:13" x14ac:dyDescent="0.25">
      <c r="A36" s="9"/>
      <c r="B36" s="7" t="s">
        <v>43</v>
      </c>
      <c r="C36" s="6"/>
      <c r="D36" s="61">
        <v>-55135</v>
      </c>
      <c r="E36" s="39">
        <v>-236800</v>
      </c>
      <c r="F36" s="61">
        <f>SUM(F32:F35)</f>
        <v>0</v>
      </c>
      <c r="G36" s="39">
        <f>SUM(G32:G35)</f>
        <v>0</v>
      </c>
      <c r="H36" s="61">
        <f>SUM(H32:H35)</f>
        <v>-55135</v>
      </c>
      <c r="I36" s="39">
        <f>SUM(I32:I35)</f>
        <v>-236800</v>
      </c>
      <c r="J36" s="61">
        <f>SUM(J32:J34)</f>
        <v>0</v>
      </c>
      <c r="K36" s="39">
        <f>SUM(K32:K34)</f>
        <v>0</v>
      </c>
      <c r="L36" s="61">
        <f>SUM(L32:L35)</f>
        <v>-55135</v>
      </c>
      <c r="M36" s="39">
        <f>SUM(M32:M35)</f>
        <v>-236800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310315</v>
      </c>
      <c r="E39" s="65">
        <v>1222163</v>
      </c>
      <c r="F39" s="60">
        <f t="shared" ref="F39:G41" si="13">H39-D39</f>
        <v>0</v>
      </c>
      <c r="G39" s="37">
        <f t="shared" si="13"/>
        <v>0</v>
      </c>
      <c r="H39" s="65">
        <f t="shared" si="12"/>
        <v>310315</v>
      </c>
      <c r="I39" s="66">
        <f t="shared" si="12"/>
        <v>1222163</v>
      </c>
      <c r="J39" s="60"/>
      <c r="K39" s="38"/>
      <c r="L39" s="60">
        <f t="shared" ref="L39:M41" si="14">H39+J39</f>
        <v>310315</v>
      </c>
      <c r="M39" s="38">
        <f t="shared" si="14"/>
        <v>1222163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-15906963</v>
      </c>
      <c r="E40" s="65">
        <v>-18576342</v>
      </c>
      <c r="F40" s="60">
        <f t="shared" si="13"/>
        <v>0</v>
      </c>
      <c r="G40" s="37">
        <f t="shared" si="13"/>
        <v>0</v>
      </c>
      <c r="H40" s="65">
        <f t="shared" si="12"/>
        <v>-15906963</v>
      </c>
      <c r="I40" s="66">
        <f t="shared" si="12"/>
        <v>-18576342</v>
      </c>
      <c r="J40" s="65"/>
      <c r="K40" s="38"/>
      <c r="L40" s="60">
        <f t="shared" si="14"/>
        <v>-15906963</v>
      </c>
      <c r="M40" s="38">
        <f t="shared" si="14"/>
        <v>-18576342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-15906963</v>
      </c>
      <c r="E42" s="39">
        <v>-18576342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-15906963</v>
      </c>
      <c r="I42" s="39">
        <f>SUM(I40:I41)</f>
        <v>-18576342</v>
      </c>
      <c r="J42" s="69">
        <f t="shared" si="15"/>
        <v>0</v>
      </c>
      <c r="K42" s="39">
        <f t="shared" si="15"/>
        <v>0</v>
      </c>
      <c r="L42" s="69">
        <f t="shared" si="15"/>
        <v>-15906963</v>
      </c>
      <c r="M42" s="39">
        <f t="shared" si="15"/>
        <v>-18576342</v>
      </c>
    </row>
    <row r="43" spans="1:13" ht="21" customHeight="1" x14ac:dyDescent="0.25">
      <c r="A43" s="9"/>
      <c r="B43" s="7" t="s">
        <v>49</v>
      </c>
      <c r="C43" s="6"/>
      <c r="D43" s="61">
        <v>-15596648</v>
      </c>
      <c r="E43" s="39">
        <v>-17354179</v>
      </c>
      <c r="F43" s="61">
        <f t="shared" ref="F43:M43" si="16">F42+F39</f>
        <v>0</v>
      </c>
      <c r="G43" s="39">
        <f t="shared" si="16"/>
        <v>0</v>
      </c>
      <c r="H43" s="61">
        <f>H42+H39</f>
        <v>-15596648</v>
      </c>
      <c r="I43" s="39">
        <f>I42+I39</f>
        <v>-17354179</v>
      </c>
      <c r="J43" s="61">
        <f t="shared" si="16"/>
        <v>0</v>
      </c>
      <c r="K43" s="39">
        <f t="shared" si="16"/>
        <v>0</v>
      </c>
      <c r="L43" s="61">
        <f t="shared" si="16"/>
        <v>-15596648</v>
      </c>
      <c r="M43" s="39">
        <f t="shared" si="16"/>
        <v>-17354179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1776740</v>
      </c>
      <c r="E49" s="65">
        <v>4392101.28</v>
      </c>
      <c r="F49" s="60">
        <f>H49-D49</f>
        <v>0</v>
      </c>
      <c r="G49" s="37">
        <f>I49-E49</f>
        <v>0</v>
      </c>
      <c r="H49" s="65">
        <f>D49</f>
        <v>1776740</v>
      </c>
      <c r="I49" s="66">
        <f>E49</f>
        <v>4392101.28</v>
      </c>
      <c r="J49" s="60"/>
      <c r="K49" s="38"/>
      <c r="L49" s="60">
        <f>H49+J49</f>
        <v>1776740</v>
      </c>
      <c r="M49" s="38">
        <f>I49+K49</f>
        <v>4392101.28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-841381</v>
      </c>
      <c r="E51" s="65">
        <v>-2424814</v>
      </c>
      <c r="F51" s="60">
        <f>H51-D51</f>
        <v>0</v>
      </c>
      <c r="G51" s="37">
        <f>I51-E51</f>
        <v>0</v>
      </c>
      <c r="H51" s="65">
        <f>D51</f>
        <v>-841381</v>
      </c>
      <c r="I51" s="66">
        <f>E51</f>
        <v>-2424814</v>
      </c>
      <c r="J51" s="60"/>
      <c r="K51" s="38"/>
      <c r="L51" s="60">
        <f>H51+J51</f>
        <v>-841381</v>
      </c>
      <c r="M51" s="38">
        <f>I51+K51</f>
        <v>-2424814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-772877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-772877</v>
      </c>
      <c r="J54" s="60"/>
      <c r="K54" s="38"/>
      <c r="L54" s="60">
        <f>H54+J54</f>
        <v>0</v>
      </c>
      <c r="M54" s="38">
        <f>I54+K54</f>
        <v>-772877</v>
      </c>
    </row>
    <row r="55" spans="1:15" x14ac:dyDescent="0.25">
      <c r="A55" s="9">
        <v>25</v>
      </c>
      <c r="B55" s="7"/>
      <c r="C55" s="18" t="s">
        <v>56</v>
      </c>
      <c r="D55" s="65">
        <v>16</v>
      </c>
      <c r="E55" s="65">
        <v>-10490859</v>
      </c>
      <c r="F55" s="60">
        <f>H55-D55</f>
        <v>0</v>
      </c>
      <c r="G55" s="37">
        <f>I55-E55</f>
        <v>0</v>
      </c>
      <c r="H55" s="65">
        <f>D55</f>
        <v>16</v>
      </c>
      <c r="I55" s="66">
        <f>E55</f>
        <v>-10490859</v>
      </c>
      <c r="J55" s="60"/>
      <c r="K55" s="38"/>
      <c r="L55" s="60">
        <f>H55+J55</f>
        <v>16</v>
      </c>
      <c r="M55" s="38">
        <f>I55+K55</f>
        <v>-10490859</v>
      </c>
    </row>
    <row r="56" spans="1:15" x14ac:dyDescent="0.25">
      <c r="A56" s="9"/>
      <c r="B56" s="7" t="s">
        <v>57</v>
      </c>
      <c r="C56" s="6"/>
      <c r="D56" s="61">
        <v>16</v>
      </c>
      <c r="E56" s="39">
        <v>-11263736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16</v>
      </c>
      <c r="I56" s="39">
        <f>SUM(I54:I55)</f>
        <v>-11263736</v>
      </c>
      <c r="J56" s="61">
        <f t="shared" si="17"/>
        <v>0</v>
      </c>
      <c r="K56" s="39">
        <f t="shared" si="17"/>
        <v>0</v>
      </c>
      <c r="L56" s="61">
        <f t="shared" si="17"/>
        <v>16</v>
      </c>
      <c r="M56" s="39">
        <f t="shared" si="17"/>
        <v>-11263736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5937115.1586007997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5937115.1586007997</v>
      </c>
      <c r="J70" s="65"/>
      <c r="K70" s="38"/>
      <c r="L70" s="60">
        <f t="shared" si="20"/>
        <v>0</v>
      </c>
      <c r="M70" s="38">
        <f t="shared" si="20"/>
        <v>5937115.1586007997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-6350125.9190000035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-6350125.9190000035</v>
      </c>
      <c r="J71" s="65"/>
      <c r="K71" s="38"/>
      <c r="L71" s="60">
        <f t="shared" si="20"/>
        <v>0</v>
      </c>
      <c r="M71" s="38">
        <f t="shared" si="20"/>
        <v>-6350125.9190000035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-413010.76039920375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-413010.76039920375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-413010.76039920375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-2403584.4093999993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-2403584.4093999993</v>
      </c>
      <c r="J74" s="60"/>
      <c r="K74" s="38"/>
      <c r="L74" s="60">
        <f t="shared" si="23"/>
        <v>0</v>
      </c>
      <c r="M74" s="38">
        <f t="shared" si="23"/>
        <v>-2403584.4093999993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72668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72668</v>
      </c>
      <c r="J81" s="60"/>
      <c r="K81" s="38"/>
      <c r="L81" s="60">
        <f t="shared" si="23"/>
        <v>0</v>
      </c>
      <c r="M81" s="38">
        <f t="shared" si="23"/>
        <v>72668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3474270.1102007926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3474270.1102007926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3474270.1102007926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E58" activePane="bottomRight" state="frozen"/>
      <selection activeCell="V65" sqref="V65"/>
      <selection pane="topRight" activeCell="V65" sqref="V65"/>
      <selection pane="bottomLeft" activeCell="V65" sqref="V65"/>
      <selection pane="bottomRight" activeCell="AU68" sqref="AU6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86355045</v>
      </c>
      <c r="E11" s="38">
        <f>SUM(G11,I11,K11,M11,O11,Q11,S11,U11,W11,Y11,AA11,AC11,AE11)</f>
        <v>200107698.73000002</v>
      </c>
      <c r="F11" s="60">
        <f>'TIE-OUT'!F11+RECLASS!F11</f>
        <v>0</v>
      </c>
      <c r="G11" s="38">
        <f>'TIE-OUT'!G11+RECLASS!G11</f>
        <v>0</v>
      </c>
      <c r="H11" s="118">
        <f>+Actuals!E164</f>
        <v>86078748</v>
      </c>
      <c r="I11" s="119">
        <f>+Actuals!F164</f>
        <v>202360835.04000002</v>
      </c>
      <c r="J11" s="118">
        <f>+Actuals!G164</f>
        <v>673291</v>
      </c>
      <c r="K11" s="119">
        <f>+Actuals!H164</f>
        <v>-233132.46</v>
      </c>
      <c r="L11" s="118">
        <f>+Actuals!I164</f>
        <v>-472241</v>
      </c>
      <c r="M11" s="119">
        <f>+Actuals!J164</f>
        <v>-1045546.73</v>
      </c>
      <c r="N11" s="118">
        <f>+Actuals!K164</f>
        <v>0</v>
      </c>
      <c r="O11" s="119">
        <f>+Actuals!L164</f>
        <v>-15522.9</v>
      </c>
      <c r="P11" s="118">
        <f>+Actuals!M164</f>
        <v>5195</v>
      </c>
      <c r="Q11" s="215">
        <f>+Actuals!N164-261245</f>
        <v>-248921.65</v>
      </c>
      <c r="R11" s="118">
        <f>+Actuals!O164</f>
        <v>70052</v>
      </c>
      <c r="S11" s="119">
        <f>+Actuals!P164</f>
        <v>-710012.57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3873644.2399999998</v>
      </c>
      <c r="F12" s="60">
        <f>'TIE-OUT'!F12+RECLASS!F12</f>
        <v>0</v>
      </c>
      <c r="G12" s="38">
        <f>'TIE-OUT'!G12+RECLASS!G12</f>
        <v>2550820.88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f>+Actuals!H165+33089</f>
        <v>33089</v>
      </c>
      <c r="L12" s="118">
        <f>+Actuals!I165</f>
        <v>0</v>
      </c>
      <c r="M12" s="215">
        <f>+Actuals!J165+41014.36</f>
        <v>41014.36</v>
      </c>
      <c r="N12" s="118">
        <f>+Actuals!K165</f>
        <v>0</v>
      </c>
      <c r="O12" s="215">
        <v>1400000</v>
      </c>
      <c r="P12" s="118">
        <f>+Actuals!M165</f>
        <v>0</v>
      </c>
      <c r="Q12" s="215"/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v>-151280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41011971</v>
      </c>
      <c r="E13" s="38">
        <f t="shared" si="0"/>
        <v>97311530</v>
      </c>
      <c r="F13" s="60">
        <f>'TIE-OUT'!F13+RECLASS!F13</f>
        <v>0</v>
      </c>
      <c r="G13" s="38">
        <f>'TIE-OUT'!G13+RECLASS!G13</f>
        <v>0</v>
      </c>
      <c r="H13" s="118">
        <f>+Actuals!E166</f>
        <v>41011971</v>
      </c>
      <c r="I13" s="119">
        <f>+Actuals!F166</f>
        <v>97311530</v>
      </c>
      <c r="J13" s="118">
        <f>+Actuals!G166</f>
        <v>-21241576</v>
      </c>
      <c r="K13" s="119">
        <f>+Actuals!H166</f>
        <v>-50373718</v>
      </c>
      <c r="L13" s="118">
        <f>+Actuals!I166</f>
        <v>-39502</v>
      </c>
      <c r="M13" s="119">
        <f>+Actuals!J166</f>
        <v>-86115</v>
      </c>
      <c r="N13" s="118">
        <f>+Actuals!K166</f>
        <v>-3018</v>
      </c>
      <c r="O13" s="119">
        <f>+Actuals!L166</f>
        <v>-6797</v>
      </c>
      <c r="P13" s="118">
        <f>+Actuals!M166</f>
        <v>0</v>
      </c>
      <c r="Q13" s="119">
        <f>+Actuals!N166</f>
        <v>0</v>
      </c>
      <c r="R13" s="118">
        <f>+Actuals!O166</f>
        <v>21284096</v>
      </c>
      <c r="S13" s="119">
        <f>+Actuals!P166</f>
        <v>50466630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2985504.18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3301469.18</v>
      </c>
      <c r="J15" s="118">
        <f>+Actuals!G168</f>
        <v>0</v>
      </c>
      <c r="K15" s="119">
        <f>+Actuals!H168</f>
        <v>-351055</v>
      </c>
      <c r="L15" s="118">
        <f>+Actuals!I168</f>
        <v>0</v>
      </c>
      <c r="M15" s="119">
        <f>+Actuals!J168</f>
        <v>1711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46227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v>-12848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127367016</v>
      </c>
      <c r="E16" s="39">
        <f t="shared" si="1"/>
        <v>304278377.15000004</v>
      </c>
      <c r="F16" s="61">
        <f t="shared" si="1"/>
        <v>0</v>
      </c>
      <c r="G16" s="39">
        <f t="shared" si="1"/>
        <v>2550820.88</v>
      </c>
      <c r="H16" s="61">
        <f t="shared" si="1"/>
        <v>127090719</v>
      </c>
      <c r="I16" s="39">
        <f t="shared" si="1"/>
        <v>302973834.22000003</v>
      </c>
      <c r="J16" s="61">
        <f t="shared" ref="J16:AO16" si="2">SUM(J11:J15)</f>
        <v>-20568285</v>
      </c>
      <c r="K16" s="39">
        <f t="shared" si="2"/>
        <v>-50924816.460000001</v>
      </c>
      <c r="L16" s="61">
        <f t="shared" si="2"/>
        <v>-511743</v>
      </c>
      <c r="M16" s="39">
        <f t="shared" si="2"/>
        <v>-1088936.3700000001</v>
      </c>
      <c r="N16" s="61">
        <f>SUM(N11:N15)</f>
        <v>-3018</v>
      </c>
      <c r="O16" s="39">
        <f>SUM(O11:O15)</f>
        <v>1377680.1</v>
      </c>
      <c r="P16" s="61">
        <f>SUM(P11:P15)</f>
        <v>5195</v>
      </c>
      <c r="Q16" s="39">
        <f>SUM(Q11:Q15)</f>
        <v>-202694.65</v>
      </c>
      <c r="R16" s="61">
        <f t="shared" si="2"/>
        <v>21354148</v>
      </c>
      <c r="S16" s="39">
        <f t="shared" si="2"/>
        <v>49756617.43</v>
      </c>
      <c r="T16" s="61">
        <f t="shared" si="2"/>
        <v>0</v>
      </c>
      <c r="U16" s="39">
        <f t="shared" si="2"/>
        <v>-151280</v>
      </c>
      <c r="V16" s="61">
        <f t="shared" si="2"/>
        <v>0</v>
      </c>
      <c r="W16" s="39">
        <f t="shared" si="2"/>
        <v>-12848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-95156027</v>
      </c>
      <c r="E19" s="38">
        <f t="shared" si="3"/>
        <v>-225950372.00999999</v>
      </c>
      <c r="F19" s="64">
        <f>'TIE-OUT'!F19+RECLASS!F19</f>
        <v>0</v>
      </c>
      <c r="G19" s="68">
        <f>'TIE-OUT'!G19+RECLASS!G19</f>
        <v>-528798</v>
      </c>
      <c r="H19" s="118">
        <f>+Actuals!E169</f>
        <v>-95111952</v>
      </c>
      <c r="I19" s="119">
        <f>+Actuals!F169</f>
        <v>-225959083.73999998</v>
      </c>
      <c r="J19" s="118">
        <f>+Actuals!G169</f>
        <v>-7081861</v>
      </c>
      <c r="K19" s="119">
        <f>+Actuals!H169</f>
        <v>-15854578.98</v>
      </c>
      <c r="L19" s="118">
        <f>+Actuals!I169</f>
        <v>7139069</v>
      </c>
      <c r="M19" s="119">
        <f>+Actuals!J169</f>
        <v>16453478.619999999</v>
      </c>
      <c r="N19" s="118">
        <f>+Actuals!K169</f>
        <v>-1177405</v>
      </c>
      <c r="O19" s="119">
        <f>+Actuals!L169</f>
        <v>-2634301.37</v>
      </c>
      <c r="P19" s="118">
        <f>+Actuals!M169</f>
        <v>1113508</v>
      </c>
      <c r="Q19" s="119">
        <f>+Actuals!N169</f>
        <v>2652220.92</v>
      </c>
      <c r="R19" s="118">
        <f>+Actuals!O169</f>
        <v>0</v>
      </c>
      <c r="S19" s="119">
        <f>+Actuals!P169</f>
        <v>0</v>
      </c>
      <c r="T19" s="118">
        <f>-182835+178449</f>
        <v>-4386</v>
      </c>
      <c r="U19" s="119">
        <f>-424189.18+414358.58</f>
        <v>-9830.5999999999767</v>
      </c>
      <c r="V19" s="118">
        <v>-30000</v>
      </c>
      <c r="W19" s="119">
        <v>-62400</v>
      </c>
      <c r="X19" s="118">
        <v>-3000</v>
      </c>
      <c r="Y19" s="119">
        <v>-7078.86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1363114.0099999998</v>
      </c>
      <c r="F20" s="60">
        <f>'TIE-OUT'!F20+RECLASS!F20</f>
        <v>0</v>
      </c>
      <c r="G20" s="38">
        <f>'TIE-OUT'!G20+RECLASS!G20</f>
        <v>2385339.0499999998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v>0</v>
      </c>
      <c r="L20" s="118">
        <f>+Actuals!I170</f>
        <v>0</v>
      </c>
      <c r="M20" s="215">
        <f>+Actuals!J170-1069500+64015-16740.04</f>
        <v>-1022225.04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-31749356</v>
      </c>
      <c r="E21" s="38">
        <f t="shared" si="3"/>
        <v>-75743214</v>
      </c>
      <c r="F21" s="60">
        <f>'TIE-OUT'!F21+RECLASS!F21</f>
        <v>0</v>
      </c>
      <c r="G21" s="38">
        <f>'TIE-OUT'!G21+RECLASS!G21</f>
        <v>0</v>
      </c>
      <c r="H21" s="118">
        <f>+Actuals!E171</f>
        <v>-32019356</v>
      </c>
      <c r="I21" s="119">
        <f>+Actuals!F171</f>
        <v>-76398505</v>
      </c>
      <c r="J21" s="118">
        <f>+Actuals!G171</f>
        <v>20524645</v>
      </c>
      <c r="K21" s="119">
        <f>+Actuals!H171</f>
        <v>49151111</v>
      </c>
      <c r="L21" s="118">
        <f>+Actuals!I171</f>
        <v>20324</v>
      </c>
      <c r="M21" s="119">
        <f>+Actuals!J171</f>
        <v>49834</v>
      </c>
      <c r="N21" s="118">
        <f>+Actuals!K171</f>
        <v>3997</v>
      </c>
      <c r="O21" s="119">
        <f>+Actuals!L171</f>
        <v>8698</v>
      </c>
      <c r="P21" s="118">
        <f>+Actuals!M171</f>
        <v>0</v>
      </c>
      <c r="Q21" s="119">
        <f>+Actuals!N171</f>
        <v>0</v>
      </c>
      <c r="R21" s="118">
        <f>+Actuals!O171</f>
        <v>-20278966</v>
      </c>
      <c r="S21" s="119">
        <f>+Actuals!P171</f>
        <v>-48554352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324376</v>
      </c>
      <c r="E23" s="38">
        <f t="shared" si="3"/>
        <v>753201.07400000002</v>
      </c>
      <c r="F23" s="81">
        <f>'TIE-OUT'!F23+RECLASS!F23</f>
        <v>0</v>
      </c>
      <c r="G23" s="82">
        <f>'TIE-OUT'!G23+RECLASS!G23</f>
        <v>0</v>
      </c>
      <c r="H23" s="118">
        <f>+Actuals!E173</f>
        <v>808041</v>
      </c>
      <c r="I23" s="119">
        <f>+Actuals!F173</f>
        <v>1876271.202</v>
      </c>
      <c r="J23" s="118">
        <f>+Actuals!G173</f>
        <v>3138</v>
      </c>
      <c r="K23" s="119">
        <f>+Actuals!H173</f>
        <v>7286.4359999999997</v>
      </c>
      <c r="L23" s="118">
        <f>+Actuals!I173</f>
        <v>361</v>
      </c>
      <c r="M23" s="119">
        <f>+Actuals!J173</f>
        <v>838.24199999999996</v>
      </c>
      <c r="N23" s="118">
        <f>+Actuals!K173</f>
        <v>0</v>
      </c>
      <c r="O23" s="119">
        <f>+Actuals!L173</f>
        <v>0</v>
      </c>
      <c r="P23" s="118">
        <f>+Actuals!M173</f>
        <v>-308718</v>
      </c>
      <c r="Q23" s="119">
        <f>+Actuals!N173</f>
        <v>-716843.196</v>
      </c>
      <c r="R23" s="118">
        <f>+Actuals!O173</f>
        <v>0</v>
      </c>
      <c r="S23" s="119">
        <f>+Actuals!P173</f>
        <v>0</v>
      </c>
      <c r="T23" s="118">
        <v>-178449</v>
      </c>
      <c r="U23" s="119">
        <v>-414358.58</v>
      </c>
      <c r="V23" s="118">
        <f>+Actuals!S173</f>
        <v>0</v>
      </c>
      <c r="W23" s="119">
        <f>+Actuals!T173</f>
        <v>0</v>
      </c>
      <c r="X23" s="118">
        <v>3</v>
      </c>
      <c r="Y23" s="119">
        <v>6.97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-126581007</v>
      </c>
      <c r="E24" s="39">
        <f t="shared" si="4"/>
        <v>-299577270.926</v>
      </c>
      <c r="F24" s="61">
        <f t="shared" si="4"/>
        <v>0</v>
      </c>
      <c r="G24" s="39">
        <f t="shared" si="4"/>
        <v>1856541.0499999998</v>
      </c>
      <c r="H24" s="61">
        <f t="shared" si="4"/>
        <v>-126323267</v>
      </c>
      <c r="I24" s="39">
        <f t="shared" si="4"/>
        <v>-300481317.53799999</v>
      </c>
      <c r="J24" s="61">
        <f t="shared" ref="J24:AO24" si="5">SUM(J19:J23)</f>
        <v>13445922</v>
      </c>
      <c r="K24" s="39">
        <f t="shared" si="5"/>
        <v>33303818.456</v>
      </c>
      <c r="L24" s="61">
        <f t="shared" si="5"/>
        <v>7159754</v>
      </c>
      <c r="M24" s="39">
        <f t="shared" si="5"/>
        <v>15481925.821999999</v>
      </c>
      <c r="N24" s="61">
        <f>SUM(N19:N23)</f>
        <v>-1173408</v>
      </c>
      <c r="O24" s="39">
        <f>SUM(O19:O23)</f>
        <v>-2625603.37</v>
      </c>
      <c r="P24" s="61">
        <f>SUM(P19:P23)</f>
        <v>804790</v>
      </c>
      <c r="Q24" s="39">
        <f>SUM(Q19:Q23)</f>
        <v>1935377.7239999999</v>
      </c>
      <c r="R24" s="61">
        <f t="shared" si="5"/>
        <v>-20278966</v>
      </c>
      <c r="S24" s="39">
        <f t="shared" si="5"/>
        <v>-48554352</v>
      </c>
      <c r="T24" s="61">
        <f t="shared" si="5"/>
        <v>-182835</v>
      </c>
      <c r="U24" s="39">
        <f t="shared" si="5"/>
        <v>-424189.18</v>
      </c>
      <c r="V24" s="61">
        <f t="shared" si="5"/>
        <v>-30000</v>
      </c>
      <c r="W24" s="39">
        <f t="shared" si="5"/>
        <v>-62400</v>
      </c>
      <c r="X24" s="61">
        <f t="shared" si="5"/>
        <v>-2997</v>
      </c>
      <c r="Y24" s="39">
        <f t="shared" si="5"/>
        <v>-7071.8899999999994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156898</v>
      </c>
      <c r="E27" s="38">
        <f>SUM(G27,I27,K27,M27,O27,Q27,S27,U27,W27,Y27,AA27,AC27,AE27)</f>
        <v>360096.24</v>
      </c>
      <c r="F27" s="64">
        <f>'TIE-OUT'!F27+RECLASS!F27</f>
        <v>0</v>
      </c>
      <c r="G27" s="68">
        <f>'TIE-OUT'!G27+RECLASS!G27</f>
        <v>0</v>
      </c>
      <c r="H27" s="118">
        <f>+Actuals!E174</f>
        <v>156898</v>
      </c>
      <c r="I27" s="119">
        <f>+Actuals!F174</f>
        <v>360096.24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-108664</v>
      </c>
      <c r="E28" s="38">
        <f>SUM(G28,I28,K28,M28,O28,Q28,S28,U28,W28,Y28,AA28,AC28,AE28)</f>
        <v>-275999.67</v>
      </c>
      <c r="F28" s="81">
        <f>'TIE-OUT'!F28+RECLASS!F28</f>
        <v>0</v>
      </c>
      <c r="G28" s="82">
        <f>'TIE-OUT'!G28+RECLASS!G28</f>
        <v>0</v>
      </c>
      <c r="H28" s="118">
        <f>+Actuals!E175</f>
        <v>-108664</v>
      </c>
      <c r="I28" s="119">
        <f>+Actuals!F175</f>
        <v>-275999.67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48234</v>
      </c>
      <c r="E29" s="39">
        <f t="shared" si="6"/>
        <v>84096.57</v>
      </c>
      <c r="F29" s="61">
        <f t="shared" si="6"/>
        <v>0</v>
      </c>
      <c r="G29" s="39">
        <f t="shared" si="6"/>
        <v>0</v>
      </c>
      <c r="H29" s="61">
        <f t="shared" si="6"/>
        <v>48234</v>
      </c>
      <c r="I29" s="39">
        <f t="shared" si="6"/>
        <v>84096.57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-87895</v>
      </c>
      <c r="E32" s="38">
        <f t="shared" si="8"/>
        <v>-204092.19399999964</v>
      </c>
      <c r="F32" s="64">
        <f>'TIE-OUT'!F32+RECLASS!F32</f>
        <v>0</v>
      </c>
      <c r="G32" s="68">
        <f>'TIE-OUT'!G32+RECLASS!G32</f>
        <v>0</v>
      </c>
      <c r="H32" s="118">
        <f>+Actuals!E176</f>
        <v>2513996</v>
      </c>
      <c r="I32" s="119">
        <f>+Actuals!F176</f>
        <v>5837498.7120000003</v>
      </c>
      <c r="J32" s="118">
        <f>+Actuals!G176</f>
        <v>-2793778</v>
      </c>
      <c r="K32" s="119">
        <f>+Actuals!H176</f>
        <v>-6487152.5159999998</v>
      </c>
      <c r="L32" s="118">
        <f>+Actuals!I176</f>
        <v>-19251</v>
      </c>
      <c r="M32" s="119">
        <f>+Actuals!J176</f>
        <v>-44700.822</v>
      </c>
      <c r="N32" s="118">
        <f>+Actuals!K176</f>
        <v>55135</v>
      </c>
      <c r="O32" s="119">
        <f>+Actuals!L176</f>
        <v>128023.47</v>
      </c>
      <c r="P32" s="118">
        <f>+Actuals!M176</f>
        <v>-55394</v>
      </c>
      <c r="Q32" s="119">
        <f>+Actuals!N176</f>
        <v>-128624.868</v>
      </c>
      <c r="R32" s="118">
        <f>+Actuals!O176</f>
        <v>0</v>
      </c>
      <c r="S32" s="119">
        <f>+Actuals!P176</f>
        <v>0</v>
      </c>
      <c r="T32" s="118">
        <v>211960</v>
      </c>
      <c r="U32" s="119">
        <v>492171.12</v>
      </c>
      <c r="V32" s="118">
        <v>875</v>
      </c>
      <c r="W32" s="119">
        <v>2031.75</v>
      </c>
      <c r="X32" s="118">
        <v>-1438</v>
      </c>
      <c r="Y32" s="119">
        <v>-3339.04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-101843</v>
      </c>
      <c r="E33" s="38">
        <f t="shared" si="8"/>
        <v>-236313.86000000002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-69488</v>
      </c>
      <c r="K33" s="119">
        <f>+Actuals!H177</f>
        <v>-167230.47</v>
      </c>
      <c r="L33" s="118">
        <f>+Actuals!I177</f>
        <v>-13756</v>
      </c>
      <c r="M33" s="119">
        <f>+Actuals!J177</f>
        <v>-34162.620000000003</v>
      </c>
      <c r="N33" s="118">
        <f>+Actuals!K177</f>
        <v>-300</v>
      </c>
      <c r="O33" s="119">
        <f>+Actuals!L177</f>
        <v>-692.73</v>
      </c>
      <c r="P33" s="118">
        <f>+Actuals!M177</f>
        <v>-18299</v>
      </c>
      <c r="Q33" s="119">
        <f>+Actuals!N177</f>
        <v>-34228.04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60535</v>
      </c>
      <c r="E34" s="38">
        <f t="shared" si="8"/>
        <v>135006.99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29637</v>
      </c>
      <c r="K34" s="119">
        <f>+Actuals!H178</f>
        <v>73280.08</v>
      </c>
      <c r="L34" s="118">
        <f>+Actuals!I178</f>
        <v>30898</v>
      </c>
      <c r="M34" s="119">
        <f>+Actuals!J178</f>
        <v>61726.91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-224279.99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-224280</v>
      </c>
      <c r="T35" s="118">
        <f>+Actuals!Q179</f>
        <v>0</v>
      </c>
      <c r="U35" s="119">
        <f>+Actuals!R179</f>
        <v>0</v>
      </c>
      <c r="V35" s="118">
        <v>3873</v>
      </c>
      <c r="W35" s="119">
        <v>0.01</v>
      </c>
      <c r="X35" s="118">
        <v>-3873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-129203</v>
      </c>
      <c r="E36" s="39">
        <f t="shared" si="9"/>
        <v>-529679.05399999965</v>
      </c>
      <c r="F36" s="61">
        <f t="shared" si="9"/>
        <v>0</v>
      </c>
      <c r="G36" s="39">
        <f t="shared" si="9"/>
        <v>0</v>
      </c>
      <c r="H36" s="61">
        <f t="shared" si="9"/>
        <v>2513996</v>
      </c>
      <c r="I36" s="39">
        <f t="shared" si="9"/>
        <v>5837498.7120000003</v>
      </c>
      <c r="J36" s="61">
        <f t="shared" ref="J36:AO36" si="10">SUM(J32:J35)</f>
        <v>-2833629</v>
      </c>
      <c r="K36" s="39">
        <f t="shared" si="10"/>
        <v>-6581102.9059999995</v>
      </c>
      <c r="L36" s="61">
        <f t="shared" si="10"/>
        <v>-2109</v>
      </c>
      <c r="M36" s="39">
        <f t="shared" si="10"/>
        <v>-17136.532000000007</v>
      </c>
      <c r="N36" s="61">
        <f>SUM(N32:N35)</f>
        <v>54835</v>
      </c>
      <c r="O36" s="39">
        <f>SUM(O32:O35)</f>
        <v>127330.74</v>
      </c>
      <c r="P36" s="61">
        <f>SUM(P32:P35)</f>
        <v>-73693</v>
      </c>
      <c r="Q36" s="39">
        <f>SUM(Q32:Q35)</f>
        <v>-162852.908</v>
      </c>
      <c r="R36" s="61">
        <f t="shared" si="10"/>
        <v>0</v>
      </c>
      <c r="S36" s="39">
        <f t="shared" si="10"/>
        <v>-224280</v>
      </c>
      <c r="T36" s="61">
        <f t="shared" si="10"/>
        <v>211960</v>
      </c>
      <c r="U36" s="39">
        <f t="shared" si="10"/>
        <v>492171.12</v>
      </c>
      <c r="V36" s="61">
        <f t="shared" si="10"/>
        <v>4748</v>
      </c>
      <c r="W36" s="39">
        <f t="shared" si="10"/>
        <v>2031.76</v>
      </c>
      <c r="X36" s="61">
        <f t="shared" si="10"/>
        <v>-5311</v>
      </c>
      <c r="Y36" s="39">
        <f t="shared" si="10"/>
        <v>-3339.04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521888</v>
      </c>
      <c r="E39" s="38">
        <f t="shared" si="11"/>
        <v>1211823.93</v>
      </c>
      <c r="F39" s="64">
        <f>'TIE-OUT'!F39+RECLASS!F39</f>
        <v>0</v>
      </c>
      <c r="G39" s="68">
        <f>'TIE-OUT'!G39+RECLASS!G39</f>
        <v>0</v>
      </c>
      <c r="H39" s="118">
        <f>+Actuals!E180</f>
        <v>4906</v>
      </c>
      <c r="I39" s="119">
        <f>+Actuals!F180</f>
        <v>11391.73</v>
      </c>
      <c r="J39" s="118">
        <f>+Actuals!G180</f>
        <v>516982</v>
      </c>
      <c r="K39" s="119">
        <f>+Actuals!H180</f>
        <v>1200432.2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-616001</v>
      </c>
      <c r="E40" s="38">
        <f t="shared" si="11"/>
        <v>-1328561.3799999999</v>
      </c>
      <c r="F40" s="60">
        <f>'TIE-OUT'!F40+RECLASS!F40</f>
        <v>0</v>
      </c>
      <c r="G40" s="38">
        <f>'TIE-OUT'!G40+RECLASS!G40</f>
        <v>0</v>
      </c>
      <c r="H40" s="118">
        <f>+Actuals!E181</f>
        <v>-461755</v>
      </c>
      <c r="I40" s="119">
        <f>+Actuals!F181</f>
        <v>-942186.99</v>
      </c>
      <c r="J40" s="118">
        <f>+Actuals!G181</f>
        <v>-181659</v>
      </c>
      <c r="K40" s="119">
        <f>+Actuals!H181</f>
        <v>-455933.31</v>
      </c>
      <c r="L40" s="118">
        <f>+Actuals!I181</f>
        <v>-1712</v>
      </c>
      <c r="M40" s="119">
        <f>+Actuals!J181</f>
        <v>-3601.92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v>29125</v>
      </c>
      <c r="W40" s="119">
        <v>73160.84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-616001</v>
      </c>
      <c r="E42" s="39">
        <f t="shared" si="12"/>
        <v>-1328561.3799999999</v>
      </c>
      <c r="F42" s="61">
        <f t="shared" si="12"/>
        <v>0</v>
      </c>
      <c r="G42" s="39">
        <f t="shared" si="12"/>
        <v>0</v>
      </c>
      <c r="H42" s="61">
        <f t="shared" si="12"/>
        <v>-461755</v>
      </c>
      <c r="I42" s="39">
        <f t="shared" si="12"/>
        <v>-942186.99</v>
      </c>
      <c r="J42" s="61">
        <f t="shared" ref="J42:AO42" si="13">SUM(J40:J41)</f>
        <v>-181659</v>
      </c>
      <c r="K42" s="39">
        <f t="shared" si="13"/>
        <v>-455933.31</v>
      </c>
      <c r="L42" s="61">
        <f t="shared" si="13"/>
        <v>-1712</v>
      </c>
      <c r="M42" s="39">
        <f t="shared" si="13"/>
        <v>-3601.92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29125</v>
      </c>
      <c r="W42" s="39">
        <f t="shared" si="13"/>
        <v>73160.84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-94113</v>
      </c>
      <c r="E43" s="39">
        <f t="shared" si="14"/>
        <v>-116737.44999999995</v>
      </c>
      <c r="F43" s="61">
        <f t="shared" si="14"/>
        <v>0</v>
      </c>
      <c r="G43" s="39">
        <f t="shared" si="14"/>
        <v>0</v>
      </c>
      <c r="H43" s="61">
        <f t="shared" si="14"/>
        <v>-456849</v>
      </c>
      <c r="I43" s="39">
        <f t="shared" si="14"/>
        <v>-930795.26</v>
      </c>
      <c r="J43" s="61">
        <f t="shared" ref="J43:AO43" si="15">J42+J39</f>
        <v>335323</v>
      </c>
      <c r="K43" s="39">
        <f t="shared" si="15"/>
        <v>744498.8899999999</v>
      </c>
      <c r="L43" s="61">
        <f t="shared" si="15"/>
        <v>-1712</v>
      </c>
      <c r="M43" s="39">
        <f t="shared" si="15"/>
        <v>-3601.92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29125</v>
      </c>
      <c r="W43" s="39">
        <f t="shared" si="15"/>
        <v>73160.84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-610927</v>
      </c>
      <c r="E49" s="38">
        <f>SUM(G49,I49,K49,M49,O49,Q49,S49,U49,W49,Y49,AA49,AC49,AE49)</f>
        <v>-1418572.4940000016</v>
      </c>
      <c r="F49" s="60">
        <f>'TIE-OUT'!F49+RECLASS!F49</f>
        <v>0</v>
      </c>
      <c r="G49" s="38">
        <f>'TIE-OUT'!G49+RECLASS!G49</f>
        <v>0</v>
      </c>
      <c r="H49" s="118">
        <f>+Actuals!E185</f>
        <v>-2872833</v>
      </c>
      <c r="I49" s="119">
        <f>+Actuals!F185</f>
        <v>-6670718.2259999998</v>
      </c>
      <c r="J49" s="118">
        <f>+Actuals!G185</f>
        <v>9620669</v>
      </c>
      <c r="K49" s="119">
        <f>+Actuals!H185</f>
        <v>22339193.417999998</v>
      </c>
      <c r="L49" s="118">
        <f>+Actuals!I185</f>
        <v>-6644190</v>
      </c>
      <c r="M49" s="119">
        <f>+Actuals!J185</f>
        <v>-15427809.18</v>
      </c>
      <c r="N49" s="118">
        <f>+Actuals!K185</f>
        <v>1121591</v>
      </c>
      <c r="O49" s="119">
        <f>+Actuals!L185</f>
        <v>2604334.3020000001</v>
      </c>
      <c r="P49" s="118">
        <f>+Actuals!M185</f>
        <v>-736292</v>
      </c>
      <c r="Q49" s="119">
        <f>+Actuals!N185</f>
        <v>-1709670.024</v>
      </c>
      <c r="R49" s="118">
        <f>+Actuals!O185</f>
        <v>-1075182</v>
      </c>
      <c r="S49" s="119">
        <f>+Actuals!P185</f>
        <v>-2496572.6039999998</v>
      </c>
      <c r="T49" s="118">
        <v>-29125</v>
      </c>
      <c r="U49" s="119">
        <v>-67628.25</v>
      </c>
      <c r="V49" s="118">
        <v>-3873</v>
      </c>
      <c r="W49" s="119">
        <v>-8993.11</v>
      </c>
      <c r="X49" s="118">
        <v>8308</v>
      </c>
      <c r="Y49" s="119">
        <v>19291.18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-324376</v>
      </c>
      <c r="E51" s="38">
        <f>SUM(G51,I51,K51,M51,O51,Q51,S51,U51,W51,Y51,AA51,AC51,AE51)</f>
        <v>-753201.07400000002</v>
      </c>
      <c r="F51" s="60">
        <f>'TIE-OUT'!F51+RECLASS!F51</f>
        <v>0</v>
      </c>
      <c r="G51" s="38">
        <f>'TIE-OUT'!G51+RECLASS!G51</f>
        <v>0</v>
      </c>
      <c r="H51" s="118">
        <f>+Actuals!E186</f>
        <v>-808041</v>
      </c>
      <c r="I51" s="119">
        <f>+Actuals!F186</f>
        <v>-1876271.202</v>
      </c>
      <c r="J51" s="118">
        <f>+Actuals!G186</f>
        <v>-3138</v>
      </c>
      <c r="K51" s="119">
        <f>+Actuals!H186</f>
        <v>-7286.4359999999997</v>
      </c>
      <c r="L51" s="118">
        <f>+Actuals!I186</f>
        <v>-361</v>
      </c>
      <c r="M51" s="119">
        <f>+Actuals!J186</f>
        <v>-838.24199999999996</v>
      </c>
      <c r="N51" s="118">
        <f>+Actuals!K186</f>
        <v>0</v>
      </c>
      <c r="O51" s="119">
        <f>+Actuals!L186</f>
        <v>0</v>
      </c>
      <c r="P51" s="118">
        <f>+Actuals!M186</f>
        <v>308718</v>
      </c>
      <c r="Q51" s="119">
        <f>+Actuals!N186</f>
        <v>716843.196</v>
      </c>
      <c r="R51" s="118">
        <f>+Actuals!O186</f>
        <v>0</v>
      </c>
      <c r="S51" s="119">
        <f>+Actuals!P186</f>
        <v>0</v>
      </c>
      <c r="T51" s="118">
        <v>178449</v>
      </c>
      <c r="U51" s="119">
        <v>414358.58</v>
      </c>
      <c r="V51" s="118">
        <f>+Actuals!S186</f>
        <v>0</v>
      </c>
      <c r="W51" s="119">
        <f>+Actuals!T186</f>
        <v>0</v>
      </c>
      <c r="X51" s="118">
        <v>-3</v>
      </c>
      <c r="Y51" s="119">
        <v>-6.97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-63385816</v>
      </c>
      <c r="E54" s="38">
        <f>SUM(G54,I54,K54,M54,O54,Q54,S54,U54,W54,Y54,AA54,AC54,AE54)</f>
        <v>532640.2699999999</v>
      </c>
      <c r="F54" s="64">
        <f>'TIE-OUT'!F54+RECLASS!F54</f>
        <v>0</v>
      </c>
      <c r="G54" s="68">
        <f>'TIE-OUT'!G54+RECLASS!G54</f>
        <v>0</v>
      </c>
      <c r="H54" s="118">
        <f>+Actuals!E187</f>
        <v>-61042926</v>
      </c>
      <c r="I54" s="119">
        <f>+Actuals!F187</f>
        <v>68650.179999999993</v>
      </c>
      <c r="J54" s="118">
        <f>+Actuals!G187</f>
        <v>1001693</v>
      </c>
      <c r="K54" s="119">
        <f>+Actuals!H187</f>
        <v>-393789</v>
      </c>
      <c r="L54" s="118">
        <f>+Actuals!I187</f>
        <v>-12780</v>
      </c>
      <c r="M54" s="119">
        <f>+Actuals!J187</f>
        <v>-229969.01</v>
      </c>
      <c r="N54" s="118">
        <f>+Actuals!K187</f>
        <v>-2423437</v>
      </c>
      <c r="O54" s="119">
        <f>+Actuals!L187</f>
        <v>16716.75</v>
      </c>
      <c r="P54" s="118">
        <f>+Actuals!M187</f>
        <v>-980307</v>
      </c>
      <c r="Q54" s="119">
        <f>+Actuals!N187</f>
        <v>198930.08</v>
      </c>
      <c r="R54" s="118">
        <f>+Actuals!O187</f>
        <v>0</v>
      </c>
      <c r="S54" s="119">
        <f>+Actuals!P187</f>
        <v>872286.33</v>
      </c>
      <c r="T54" s="118">
        <f>+Actuals!Q187</f>
        <v>0</v>
      </c>
      <c r="U54" s="119">
        <v>4.29</v>
      </c>
      <c r="V54" s="118">
        <v>-103013</v>
      </c>
      <c r="W54" s="119">
        <v>-182.66</v>
      </c>
      <c r="X54" s="118">
        <v>174954</v>
      </c>
      <c r="Y54" s="119">
        <v>-6.69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-2696511.6500000004</v>
      </c>
      <c r="F55" s="81">
        <f>'TIE-OUT'!F55+RECLASS!F55</f>
        <v>0</v>
      </c>
      <c r="G55" s="82">
        <f>'TIE-OUT'!G55+RECLASS!G55</f>
        <v>-449986</v>
      </c>
      <c r="H55" s="118">
        <f>+Actuals!E188</f>
        <v>0</v>
      </c>
      <c r="I55" s="119">
        <f>+Actuals!F188</f>
        <v>-2620911.2200000002</v>
      </c>
      <c r="J55" s="118">
        <f>+Actuals!G188</f>
        <v>0</v>
      </c>
      <c r="K55" s="119">
        <f>+Actuals!H188</f>
        <v>-91043.31</v>
      </c>
      <c r="L55" s="118">
        <f>+Actuals!I188</f>
        <v>0</v>
      </c>
      <c r="M55" s="119">
        <f>+Actuals!J188</f>
        <v>-76293</v>
      </c>
      <c r="N55" s="118">
        <f>+Actuals!K188</f>
        <v>0</v>
      </c>
      <c r="O55" s="119">
        <f>+Actuals!L188</f>
        <v>546707.73</v>
      </c>
      <c r="P55" s="118">
        <f>+Actuals!M188</f>
        <v>0</v>
      </c>
      <c r="Q55" s="119">
        <f>+Actuals!N188</f>
        <v>-4985.8500000000004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-63385816</v>
      </c>
      <c r="E56" s="39">
        <f t="shared" si="16"/>
        <v>-2163871.3800000004</v>
      </c>
      <c r="F56" s="61">
        <f t="shared" si="16"/>
        <v>0</v>
      </c>
      <c r="G56" s="39">
        <f t="shared" si="16"/>
        <v>-449986</v>
      </c>
      <c r="H56" s="61">
        <f t="shared" si="16"/>
        <v>-61042926</v>
      </c>
      <c r="I56" s="39">
        <f t="shared" si="16"/>
        <v>-2552261.04</v>
      </c>
      <c r="J56" s="61">
        <f t="shared" ref="J56:AO56" si="17">SUM(J54:J55)</f>
        <v>1001693</v>
      </c>
      <c r="K56" s="39">
        <f t="shared" si="17"/>
        <v>-484832.31</v>
      </c>
      <c r="L56" s="61">
        <f t="shared" si="17"/>
        <v>-12780</v>
      </c>
      <c r="M56" s="39">
        <f t="shared" si="17"/>
        <v>-306262.01</v>
      </c>
      <c r="N56" s="61">
        <f>SUM(N54:N55)</f>
        <v>-2423437</v>
      </c>
      <c r="O56" s="39">
        <f>SUM(O54:O55)</f>
        <v>563424.48</v>
      </c>
      <c r="P56" s="61">
        <f>SUM(P54:P55)</f>
        <v>-980307</v>
      </c>
      <c r="Q56" s="39">
        <f>SUM(Q54:Q55)</f>
        <v>193944.22999999998</v>
      </c>
      <c r="R56" s="61">
        <f t="shared" si="17"/>
        <v>0</v>
      </c>
      <c r="S56" s="39">
        <f t="shared" si="17"/>
        <v>872286.33</v>
      </c>
      <c r="T56" s="61">
        <f t="shared" si="17"/>
        <v>0</v>
      </c>
      <c r="U56" s="39">
        <f t="shared" si="17"/>
        <v>4.29</v>
      </c>
      <c r="V56" s="61">
        <f t="shared" si="17"/>
        <v>-103013</v>
      </c>
      <c r="W56" s="39">
        <f t="shared" si="17"/>
        <v>-182.66</v>
      </c>
      <c r="X56" s="61">
        <f t="shared" si="17"/>
        <v>174954</v>
      </c>
      <c r="Y56" s="39">
        <f t="shared" si="17"/>
        <v>-6.69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7591856.8799999999</v>
      </c>
      <c r="F70" s="64">
        <f>'TIE-OUT'!F70+RECLASS!F70</f>
        <v>0</v>
      </c>
      <c r="G70" s="68">
        <f>'TIE-OUT'!G70+RECLASS!G70</f>
        <v>7591856.8799999999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-1768212</v>
      </c>
      <c r="F71" s="81">
        <f>'TIE-OUT'!F71+RECLASS!F71</f>
        <v>0</v>
      </c>
      <c r="G71" s="82">
        <f>'TIE-OUT'!G71+RECLASS!G71</f>
        <v>-1768212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5823644.8799999999</v>
      </c>
      <c r="F72" s="61">
        <f t="shared" si="22"/>
        <v>0</v>
      </c>
      <c r="G72" s="39">
        <f t="shared" si="22"/>
        <v>5823644.8799999999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830735.08999999985</v>
      </c>
      <c r="F74" s="60">
        <f>'TIE-OUT'!F74+RECLASS!F74</f>
        <v>0</v>
      </c>
      <c r="G74" s="60">
        <f>'TIE-OUT'!G74+RECLASS!G74</f>
        <v>-2235653.23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215">
        <f>+Actuals!J196+3058087+2088.76</f>
        <v>3060175.76</v>
      </c>
      <c r="N74" s="118">
        <f>+Actuals!K196</f>
        <v>0</v>
      </c>
      <c r="O74" s="119">
        <f>+Actuals!L196+-38303.9+26195.46-27900</f>
        <v>-40008.44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39">
        <v>46221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51500</v>
      </c>
      <c r="F75" s="60">
        <f>'TIE-OUT'!F75+RECLASS!F75</f>
        <v>0</v>
      </c>
      <c r="G75" s="60">
        <f>'TIE-OUT'!G75+RECLASS!G75</f>
        <v>51500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-12463.66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-13639.36</v>
      </c>
      <c r="J76" s="118">
        <f>+Actuals!G198</f>
        <v>0</v>
      </c>
      <c r="K76" s="119">
        <f>+Actuals!H198</f>
        <v>1175.7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6496557.652000038</v>
      </c>
      <c r="F82" s="91">
        <f>F16+F24+F29+F36+F43+F45+F47+F49</f>
        <v>0</v>
      </c>
      <c r="G82" s="92">
        <f>SUM(G72:G81)+G16+G24+G29+G36+G43+G45+G47+G49+G51+G56+G61+G66</f>
        <v>7596867.5799999991</v>
      </c>
      <c r="H82" s="91">
        <f>H16+H24+H29+H36+H43+H45+H47+H49</f>
        <v>0</v>
      </c>
      <c r="I82" s="137">
        <f>SUM(I72:I81)+I16+I24+I29+I36+I43+I45+I47+I49+I51+I56+I61+I66</f>
        <v>-3629573.1239999733</v>
      </c>
      <c r="J82" s="91">
        <f>J16+J24+J29+J36+J43+J45+J47+J49</f>
        <v>0</v>
      </c>
      <c r="K82" s="137">
        <f>SUM(K72:K81)+K16+K24+K29+K36+K43+K45+K47+K49+K51+K56+K61+K66</f>
        <v>-1609351.6479999989</v>
      </c>
      <c r="L82" s="91">
        <f>L16+L24+L29+L36+L43+L45+L47+L49</f>
        <v>0</v>
      </c>
      <c r="M82" s="92">
        <f>SUM(M72:M81)+M16+M24+M29+M36+M43+M45+M47+M49+M51+M56+M61+M66</f>
        <v>1697517.3279999944</v>
      </c>
      <c r="N82" s="91">
        <f>N16+N24+N29+N36+N43+N45+N47+N49</f>
        <v>0</v>
      </c>
      <c r="O82" s="92">
        <f>SUM(O72:O81)+O16+O24+O29+O36+O43+O45+O47+O49+O51+O56+O61+O66</f>
        <v>2007157.8120000002</v>
      </c>
      <c r="P82" s="91">
        <f>P16+P24+P29+P36+P43+P45+P47+P49</f>
        <v>0</v>
      </c>
      <c r="Q82" s="92">
        <f>SUM(Q72:Q81)+Q16+Q24+Q29+Q36+Q43+Q45+Q47+Q49+Q51+Q56+Q61+Q66</f>
        <v>770947.56799999997</v>
      </c>
      <c r="R82" s="91">
        <f>R16+R24+R29+R36+R43+R45+R47+R49</f>
        <v>0</v>
      </c>
      <c r="S82" s="92">
        <f>SUM(S72:S81)+S16+S24+S29+S36+S43+S45+S47+S49+S51+S56+S61+S66</f>
        <v>-646300.84400000016</v>
      </c>
      <c r="T82" s="91">
        <f>T16+T24+T29+T36+T43+T45+T47+T49</f>
        <v>0</v>
      </c>
      <c r="U82" s="92">
        <f>SUM(U72:U81)+U16+U24+U29+U36+U43+U45+U47+U49+U51+U56+U61+U66</f>
        <v>263436.56000000006</v>
      </c>
      <c r="V82" s="91">
        <f>V16+V24+V29+V36+V43+V45+V47+V49</f>
        <v>0</v>
      </c>
      <c r="W82" s="92">
        <f>SUM(W72:W81)+W16+W24+W29+W36+W43+W45+W47+W49+W51+W56+W61+W66</f>
        <v>-9231.1700000000092</v>
      </c>
      <c r="X82" s="91">
        <f>X16+X24+X29+X36+X43+X45+X47+X49</f>
        <v>0</v>
      </c>
      <c r="Y82" s="92">
        <f>SUM(Y72:Y81)+Y16+Y24+Y29+Y36+Y43+Y45+Y47+Y49+Y51+Y56+Y61+Y66</f>
        <v>55087.59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Q58" activePane="bottomRight" state="frozen"/>
      <selection activeCell="X9" sqref="X9"/>
      <selection pane="topRight" activeCell="X9" sqref="X9"/>
      <selection pane="bottomLeft" activeCell="X9" sqref="X9"/>
      <selection pane="bottomRight" activeCell="X92" sqref="X9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7555752</v>
      </c>
      <c r="E11" s="38">
        <f>SUM(G11,I11,K11,M11,O11,Q11,S11,U11,W11,Y11,AA11,AC11,AE11)</f>
        <v>18760919.91</v>
      </c>
      <c r="F11" s="60">
        <f>'TIE-OUT'!AD11+RECLASS!AD11</f>
        <v>0</v>
      </c>
      <c r="G11" s="38">
        <f>'TIE-OUT'!AE11+RECLASS!AE11</f>
        <v>0</v>
      </c>
      <c r="H11" s="118">
        <f>+Actuals!E404</f>
        <v>4966961</v>
      </c>
      <c r="I11" s="118">
        <f>+Actuals!F404</f>
        <v>15842036.24</v>
      </c>
      <c r="J11" s="118">
        <f>+Actuals!G404</f>
        <v>2588791</v>
      </c>
      <c r="K11" s="118">
        <f>+Actuals!H404</f>
        <v>3065537.33</v>
      </c>
      <c r="L11" s="118">
        <f>+Actuals!I404</f>
        <v>0</v>
      </c>
      <c r="M11" s="118">
        <f>+Actuals!J404</f>
        <v>6084.34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-306012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v>153274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-694586.38</v>
      </c>
      <c r="F12" s="60">
        <f>'TIE-OUT'!AD12+RECLASS!AD12</f>
        <v>0</v>
      </c>
      <c r="G12" s="38">
        <f>'TIE-OUT'!AE12+RECLASS!AE12</f>
        <v>-694586.38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3927553</v>
      </c>
      <c r="E13" s="38">
        <f t="shared" si="0"/>
        <v>9502443</v>
      </c>
      <c r="F13" s="60">
        <f>'TIE-OUT'!AD13+RECLASS!AD13</f>
        <v>0</v>
      </c>
      <c r="G13" s="38">
        <f>'TIE-OUT'!AE13+RECLASS!AE13</f>
        <v>0</v>
      </c>
      <c r="H13" s="118">
        <f>+Actuals!E406</f>
        <v>3922553</v>
      </c>
      <c r="I13" s="118">
        <f>+Actuals!F406</f>
        <v>9491043</v>
      </c>
      <c r="J13" s="118">
        <f>+Actuals!G406</f>
        <v>-3825134</v>
      </c>
      <c r="K13" s="118">
        <f>+Actuals!H406</f>
        <v>-9215199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3830134</v>
      </c>
      <c r="S13" s="118">
        <f>+Actuals!P406</f>
        <v>9226599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11483305</v>
      </c>
      <c r="E16" s="39">
        <f t="shared" si="1"/>
        <v>27568776.530000001</v>
      </c>
      <c r="F16" s="61">
        <f t="shared" si="1"/>
        <v>0</v>
      </c>
      <c r="G16" s="39">
        <f t="shared" si="1"/>
        <v>-694586.38</v>
      </c>
      <c r="H16" s="61">
        <f t="shared" si="1"/>
        <v>8889514</v>
      </c>
      <c r="I16" s="61">
        <f t="shared" si="1"/>
        <v>25333079.240000002</v>
      </c>
      <c r="J16" s="61">
        <f t="shared" si="1"/>
        <v>-1236343</v>
      </c>
      <c r="K16" s="61">
        <f t="shared" si="1"/>
        <v>-6149661.6699999999</v>
      </c>
      <c r="L16" s="61">
        <f t="shared" si="1"/>
        <v>0</v>
      </c>
      <c r="M16" s="61">
        <f t="shared" si="1"/>
        <v>6084.34</v>
      </c>
      <c r="N16" s="61">
        <f>SUM(N11:N15)</f>
        <v>0</v>
      </c>
      <c r="O16" s="61">
        <f>SUM(O11:O15)</f>
        <v>0</v>
      </c>
      <c r="P16" s="61">
        <f>SUM(P11:P15)</f>
        <v>0</v>
      </c>
      <c r="Q16" s="61">
        <f>SUM(Q11:Q15)</f>
        <v>-306012</v>
      </c>
      <c r="R16" s="61">
        <f t="shared" si="1"/>
        <v>3830134</v>
      </c>
      <c r="S16" s="61">
        <f t="shared" si="1"/>
        <v>9226599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153274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-1123774</v>
      </c>
      <c r="E19" s="38">
        <f t="shared" si="2"/>
        <v>-2434405.16</v>
      </c>
      <c r="F19" s="64">
        <f>'TIE-OUT'!AD19+RECLASS!AD19</f>
        <v>0</v>
      </c>
      <c r="G19" s="68">
        <f>'TIE-OUT'!AE19+RECLASS!AE19</f>
        <v>0</v>
      </c>
      <c r="H19" s="118">
        <f>+Actuals!E409</f>
        <v>-1123774</v>
      </c>
      <c r="I19" s="118">
        <f>+Actuals!F409</f>
        <v>-3054405.16</v>
      </c>
      <c r="J19" s="118">
        <f>+Actuals!G409</f>
        <v>0</v>
      </c>
      <c r="K19" s="118">
        <f>+Actuals!H409</f>
        <v>-52476.1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672476.1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-6889.5</v>
      </c>
      <c r="F20" s="60">
        <f>'TIE-OUT'!AD20+RECLASS!AD20</f>
        <v>0</v>
      </c>
      <c r="G20" s="38">
        <f>'TIE-OUT'!AE20+RECLASS!AE20</f>
        <v>-6889.5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-10332504</v>
      </c>
      <c r="E21" s="38">
        <f t="shared" si="2"/>
        <v>-24454050</v>
      </c>
      <c r="F21" s="60">
        <f>'TIE-OUT'!AD21+RECLASS!AD21</f>
        <v>0</v>
      </c>
      <c r="G21" s="38">
        <f>'TIE-OUT'!AE21+RECLASS!AE21</f>
        <v>0</v>
      </c>
      <c r="H21" s="118">
        <f>+Actuals!E411</f>
        <v>-10332504</v>
      </c>
      <c r="I21" s="118">
        <f>+Actuals!F411</f>
        <v>-24454050</v>
      </c>
      <c r="J21" s="118">
        <f>+Actuals!G411</f>
        <v>6697179</v>
      </c>
      <c r="K21" s="118">
        <f>+Actuals!H411</f>
        <v>15727537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-6697179</v>
      </c>
      <c r="S21" s="118">
        <f>+Actuals!P411</f>
        <v>-15727537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-11456278</v>
      </c>
      <c r="E24" s="39">
        <f t="shared" si="3"/>
        <v>-26895344.66</v>
      </c>
      <c r="F24" s="61">
        <f t="shared" si="3"/>
        <v>0</v>
      </c>
      <c r="G24" s="39">
        <f t="shared" si="3"/>
        <v>-6889.5</v>
      </c>
      <c r="H24" s="61">
        <f t="shared" si="3"/>
        <v>-11456278</v>
      </c>
      <c r="I24" s="61">
        <f t="shared" si="3"/>
        <v>-27508455.16</v>
      </c>
      <c r="J24" s="61">
        <f t="shared" si="3"/>
        <v>6697179</v>
      </c>
      <c r="K24" s="61">
        <f t="shared" si="3"/>
        <v>15675060.9</v>
      </c>
      <c r="L24" s="61">
        <f t="shared" si="3"/>
        <v>0</v>
      </c>
      <c r="M24" s="61">
        <f t="shared" si="3"/>
        <v>0</v>
      </c>
      <c r="N24" s="61">
        <f>SUM(N19:N23)</f>
        <v>0</v>
      </c>
      <c r="O24" s="61">
        <f>SUM(O19:O23)</f>
        <v>0</v>
      </c>
      <c r="P24" s="61">
        <f>SUM(P19:P23)</f>
        <v>0</v>
      </c>
      <c r="Q24" s="61">
        <f>SUM(Q19:Q23)</f>
        <v>0</v>
      </c>
      <c r="R24" s="61">
        <f t="shared" si="3"/>
        <v>-6697179</v>
      </c>
      <c r="S24" s="61">
        <f t="shared" si="3"/>
        <v>-15055060.9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>SUM(N27:N28)</f>
        <v>0</v>
      </c>
      <c r="O29" s="61">
        <f>SUM(O27:O28)</f>
        <v>0</v>
      </c>
      <c r="P29" s="61">
        <f>SUM(P27:P28)</f>
        <v>0</v>
      </c>
      <c r="Q29" s="61">
        <f>SUM(Q27:Q28)</f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>SUM(N32:N35)</f>
        <v>0</v>
      </c>
      <c r="O36" s="61">
        <f>SUM(O32:O35)</f>
        <v>0</v>
      </c>
      <c r="P36" s="61">
        <f>SUM(P32:P35)</f>
        <v>0</v>
      </c>
      <c r="Q36" s="61">
        <f>SUM(Q32:Q35)</f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36819</v>
      </c>
      <c r="E39" s="38">
        <f t="shared" si="7"/>
        <v>84205.05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v>36819</v>
      </c>
      <c r="Y39" s="118">
        <v>84205.05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>SUM(N40:N41)</f>
        <v>0</v>
      </c>
      <c r="O42" s="61">
        <f>SUM(O40:O41)</f>
        <v>0</v>
      </c>
      <c r="P42" s="61">
        <f>SUM(P40:P41)</f>
        <v>0</v>
      </c>
      <c r="Q42" s="61">
        <f>SUM(Q40:Q41)</f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36819</v>
      </c>
      <c r="E43" s="39">
        <f>E42+E39</f>
        <v>84205.05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>N42+N39</f>
        <v>0</v>
      </c>
      <c r="O43" s="61">
        <f>O42+O39</f>
        <v>0</v>
      </c>
      <c r="P43" s="61">
        <f>P42+P39</f>
        <v>0</v>
      </c>
      <c r="Q43" s="61">
        <f>Q42+Q39</f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36819</v>
      </c>
      <c r="Y43" s="61">
        <f t="shared" si="9"/>
        <v>84205.05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-63846</v>
      </c>
      <c r="E49" s="38">
        <f>SUM(G49,I49,K49,M49,O49,Q49,S49,U49,W49,Y49,AA49,AC49,AE49)</f>
        <v>-146015.79899999982</v>
      </c>
      <c r="F49" s="60">
        <f>'TIE-OUT'!AD49+RECLASS!AD49</f>
        <v>0</v>
      </c>
      <c r="G49" s="38">
        <f>'TIE-OUT'!AE49+RECLASS!AE49</f>
        <v>0</v>
      </c>
      <c r="H49" s="118">
        <f>+Actuals!E425</f>
        <v>2566764</v>
      </c>
      <c r="I49" s="118">
        <f>+Actuals!F425</f>
        <v>5870189.2680000002</v>
      </c>
      <c r="J49" s="118">
        <f>+Actuals!G425</f>
        <v>-5460836</v>
      </c>
      <c r="K49" s="118">
        <f>+Actuals!H425</f>
        <v>-12488931.932</v>
      </c>
      <c r="L49" s="118">
        <f>+Actuals!I425</f>
        <v>0</v>
      </c>
      <c r="M49" s="118">
        <f>+Actuals!J425</f>
        <v>0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2867045</v>
      </c>
      <c r="S49" s="118">
        <f>+Actuals!P425</f>
        <v>6556931.915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v>-36819</v>
      </c>
      <c r="Y49" s="118">
        <v>-84205.05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582809.1</v>
      </c>
      <c r="E54" s="38">
        <f>SUM(G54,I54,K54,M54,O54,Q54,S54,U54,W54,Y54,AA54,AC54,AE54)</f>
        <v>-684564.38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-672476.1</v>
      </c>
      <c r="T54" s="118">
        <f>+Actuals!Q427</f>
        <v>0</v>
      </c>
      <c r="U54" s="118">
        <f>+Actuals!R427</f>
        <v>0</v>
      </c>
      <c r="V54" s="118">
        <v>39502</v>
      </c>
      <c r="W54" s="118">
        <v>178.37</v>
      </c>
      <c r="X54" s="118">
        <v>543307.1</v>
      </c>
      <c r="Y54" s="118">
        <v>-12266.65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582809.1</v>
      </c>
      <c r="E56" s="39">
        <f t="shared" si="10"/>
        <v>-684564.38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>SUM(N54:N55)</f>
        <v>0</v>
      </c>
      <c r="O56" s="61">
        <f>SUM(O54:O55)</f>
        <v>0</v>
      </c>
      <c r="P56" s="61">
        <f>SUM(P54:P55)</f>
        <v>0</v>
      </c>
      <c r="Q56" s="61">
        <f>SUM(Q54:Q55)</f>
        <v>0</v>
      </c>
      <c r="R56" s="61">
        <f t="shared" si="10"/>
        <v>0</v>
      </c>
      <c r="S56" s="61">
        <f t="shared" si="10"/>
        <v>-672476.1</v>
      </c>
      <c r="T56" s="61">
        <f t="shared" si="10"/>
        <v>0</v>
      </c>
      <c r="U56" s="61">
        <f t="shared" si="10"/>
        <v>0</v>
      </c>
      <c r="V56" s="61">
        <f t="shared" si="10"/>
        <v>39502</v>
      </c>
      <c r="W56" s="61">
        <f t="shared" si="10"/>
        <v>178.37</v>
      </c>
      <c r="X56" s="61">
        <f t="shared" si="10"/>
        <v>543307.1</v>
      </c>
      <c r="Y56" s="61">
        <f t="shared" si="10"/>
        <v>-12266.65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>SUM(N59:N60)</f>
        <v>0</v>
      </c>
      <c r="O61" s="61">
        <f>SUM(O59:O60)</f>
        <v>0</v>
      </c>
      <c r="P61" s="61">
        <f>SUM(P59:P60)</f>
        <v>0</v>
      </c>
      <c r="Q61" s="61">
        <f>SUM(Q59:Q60)</f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>SUM(N64:N65)</f>
        <v>0</v>
      </c>
      <c r="O66" s="61">
        <f>SUM(O64:O65)</f>
        <v>0</v>
      </c>
      <c r="P66" s="61">
        <f>SUM(P64:P65)</f>
        <v>0</v>
      </c>
      <c r="Q66" s="61">
        <f>SUM(Q64:Q65)</f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-400747</v>
      </c>
      <c r="F70" s="64">
        <f>'TIE-OUT'!AD70+RECLASS!AD70</f>
        <v>0</v>
      </c>
      <c r="G70" s="68">
        <f>'TIE-OUT'!AE70+RECLASS!AE70</f>
        <v>-400747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'TIE-OUT'!AD71+RECLASS!AD71</f>
        <v>0</v>
      </c>
      <c r="G71" s="82">
        <f>'TIE-OUT'!AE71+RECLASS!AE71</f>
        <v>0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-400747</v>
      </c>
      <c r="F72" s="61">
        <f t="shared" si="13"/>
        <v>0</v>
      </c>
      <c r="G72" s="39">
        <f t="shared" si="13"/>
        <v>-400747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>SUM(N70:N71)</f>
        <v>0</v>
      </c>
      <c r="O72" s="61">
        <f>SUM(O70:O71)</f>
        <v>0</v>
      </c>
      <c r="P72" s="61">
        <f>SUM(P70:P71)</f>
        <v>0</v>
      </c>
      <c r="Q72" s="61">
        <f>SUM(Q70:Q71)</f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451953.34</v>
      </c>
      <c r="F74" s="60">
        <f>'TIE-OUT'!AD74+RECLASS!AD74</f>
        <v>0</v>
      </c>
      <c r="G74" s="60">
        <f>'TIE-OUT'!AE74+RECLASS!AE74</f>
        <v>451953.34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118">
        <f>+Actuals!F443</f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216">
        <f>+Actuals!J443+153274</f>
        <v>153274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216">
        <v>-153274</v>
      </c>
      <c r="R81" s="118">
        <f>+Actuals!O443</f>
        <v>0</v>
      </c>
      <c r="S81" s="227">
        <v>-153274</v>
      </c>
      <c r="T81" s="118">
        <f>+Actuals!Q443</f>
        <v>0</v>
      </c>
      <c r="U81" s="118">
        <v>153274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-21736.918999998947</v>
      </c>
      <c r="F82" s="91">
        <f>F16+F24+F29+F36+F43+F45+F47+F49</f>
        <v>0</v>
      </c>
      <c r="G82" s="92">
        <f>SUM(G72:G81)+G16+G24+G29+G36+G43+G45+G47+G49+G51+G56+G61+G66</f>
        <v>-650269.54</v>
      </c>
      <c r="H82" s="91">
        <f>H16+H24+H29+H36+H43+H45+H47+H49</f>
        <v>0</v>
      </c>
      <c r="I82" s="91">
        <f>I16+I24+I29+I36+I43+I45+I47+I49</f>
        <v>3694813.3480000021</v>
      </c>
      <c r="J82" s="91">
        <f>J16+J24+J29+J36+J43+J45+J47+J49</f>
        <v>0</v>
      </c>
      <c r="K82" s="137">
        <f>K16+K24+K29+K36+K43+K45+K47+K49</f>
        <v>-2963532.7019999996</v>
      </c>
      <c r="L82" s="91">
        <f>L16+L24+L29+L36+L43+L45+L47+L49</f>
        <v>0</v>
      </c>
      <c r="M82" s="92">
        <f>SUM(M72:M81)+M16+M24+M29+M36+M43+M45+M47+M49+M51+M56+M61+M66</f>
        <v>159358.34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-459286</v>
      </c>
      <c r="R82" s="91">
        <f>R16+R24+R29+R36+R43+R45+R47+R49</f>
        <v>0</v>
      </c>
      <c r="S82" s="92">
        <f>SUM(S72:S81)+S16+S24+S29+S36+S43+S45+S47+S49+S51+S56+S61+S66</f>
        <v>-97280.085000000312</v>
      </c>
      <c r="T82" s="91">
        <f>T16+T24+T29+T36+T43+T45+T47+T49</f>
        <v>0</v>
      </c>
      <c r="U82" s="92">
        <f>SUM(U72:U81)+U16+U24+U29+U36+U43+U45+U47+U49+U51+U56+U61+U66</f>
        <v>153274</v>
      </c>
      <c r="V82" s="91">
        <f>V16+V24+V29+V36+V43+V45+V47+V49</f>
        <v>0</v>
      </c>
      <c r="W82" s="92">
        <f>SUM(W72:W81)+W16+W24+W29+W36+W43+W45+W47+W49+W51+W56+W61+W66</f>
        <v>178.37</v>
      </c>
      <c r="X82" s="91">
        <f>X16+X24+X29+X36+X43+X45+X47+X49</f>
        <v>0</v>
      </c>
      <c r="Y82" s="92">
        <f>SUM(Y72:Y81)+Y16+Y24+Y29+Y36+Y43+Y45+Y47+Y49+Y51+Y56+Y61+Y66</f>
        <v>141007.35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M44" zoomScale="75" workbookViewId="0">
      <selection activeCell="X9" sqref="X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5" width="15.44140625" customWidth="1"/>
    <col min="26" max="43" width="15.44140625" hidden="1" customWidth="1"/>
    <col min="44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16539748</v>
      </c>
      <c r="E11" s="38">
        <f>SUM(G11,I11,K11,M11,O11,Q11,S11,U11,W11,Y11,AA11,AC11,AE11)</f>
        <v>39841775.309999995</v>
      </c>
      <c r="F11" s="60">
        <f>'TIE-OUT'!H11+RECLASS!AB11</f>
        <v>0</v>
      </c>
      <c r="G11" s="38">
        <f>'TIE-OUT'!I11+RECLASS!AC11</f>
        <v>0</v>
      </c>
      <c r="H11" s="118">
        <f>+Actuals!E324</f>
        <v>16545855</v>
      </c>
      <c r="I11" s="119">
        <f>+Actuals!F324</f>
        <v>39857789</v>
      </c>
      <c r="J11" s="118">
        <f>+Actuals!G324</f>
        <v>-6107</v>
      </c>
      <c r="K11" s="119">
        <f>+Actuals!H324</f>
        <v>-14536.34</v>
      </c>
      <c r="L11" s="118">
        <f>+Actuals!I324</f>
        <v>0</v>
      </c>
      <c r="M11" s="119">
        <f>+Actuals!J324</f>
        <v>-1477.35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497314.76</v>
      </c>
      <c r="F12" s="60">
        <f>'TIE-OUT'!H12+RECLASS!AB12</f>
        <v>0</v>
      </c>
      <c r="G12" s="38">
        <f>'TIE-OUT'!I12+RECLASS!AC12</f>
        <v>497314.76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25646524</v>
      </c>
      <c r="E13" s="38">
        <f t="shared" si="0"/>
        <v>62333419</v>
      </c>
      <c r="F13" s="60">
        <f>'TIE-OUT'!H13+RECLASS!AB13</f>
        <v>0</v>
      </c>
      <c r="G13" s="38">
        <f>'TIE-OUT'!I13+RECLASS!AC13</f>
        <v>0</v>
      </c>
      <c r="H13" s="118">
        <f>+Actuals!E326</f>
        <v>25646524</v>
      </c>
      <c r="I13" s="119">
        <f>+Actuals!F326</f>
        <v>62333419</v>
      </c>
      <c r="J13" s="118">
        <f>+Actuals!G326</f>
        <v>-16593766</v>
      </c>
      <c r="K13" s="119">
        <f>+Actuals!H326</f>
        <v>-40724229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16593766</v>
      </c>
      <c r="S13" s="119">
        <f>+Actuals!P326</f>
        <v>40724229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3058363.5</v>
      </c>
      <c r="F15" s="81">
        <f>'TIE-OUT'!H15+RECLASS!AB15</f>
        <v>0</v>
      </c>
      <c r="G15" s="82">
        <f>'TIE-OUT'!I15+RECLASS!AC15</f>
        <v>0</v>
      </c>
      <c r="H15" s="118">
        <f>+Actuals!E328</f>
        <v>0</v>
      </c>
      <c r="I15" s="119">
        <f>+Actuals!F328</f>
        <v>2781866.5</v>
      </c>
      <c r="J15" s="118">
        <f>+Actuals!G328</f>
        <v>0</v>
      </c>
      <c r="K15" s="119">
        <f>+Actuals!H328</f>
        <v>276497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42186272</v>
      </c>
      <c r="E16" s="39">
        <f t="shared" si="1"/>
        <v>105730872.56999999</v>
      </c>
      <c r="F16" s="61">
        <f t="shared" si="1"/>
        <v>0</v>
      </c>
      <c r="G16" s="39">
        <f t="shared" si="1"/>
        <v>497314.76</v>
      </c>
      <c r="H16" s="61">
        <f t="shared" si="1"/>
        <v>42192379</v>
      </c>
      <c r="I16" s="39">
        <f t="shared" si="1"/>
        <v>104973074.5</v>
      </c>
      <c r="J16" s="61">
        <f t="shared" ref="J16:AO16" si="2">SUM(J11:J15)</f>
        <v>-16599873</v>
      </c>
      <c r="K16" s="39">
        <f t="shared" si="2"/>
        <v>-40462268.340000004</v>
      </c>
      <c r="L16" s="61">
        <f t="shared" si="2"/>
        <v>0</v>
      </c>
      <c r="M16" s="39">
        <f t="shared" si="2"/>
        <v>-1477.35</v>
      </c>
      <c r="N16" s="61">
        <f>SUM(N11:N15)</f>
        <v>0</v>
      </c>
      <c r="O16" s="39">
        <f>SUM(O11:O15)</f>
        <v>0</v>
      </c>
      <c r="P16" s="61">
        <f>SUM(P11:P15)</f>
        <v>0</v>
      </c>
      <c r="Q16" s="39">
        <f>SUM(Q11:Q15)</f>
        <v>0</v>
      </c>
      <c r="R16" s="61">
        <f t="shared" si="2"/>
        <v>16593766</v>
      </c>
      <c r="S16" s="39">
        <f t="shared" si="2"/>
        <v>40724229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-11681017</v>
      </c>
      <c r="E19" s="38">
        <f t="shared" si="3"/>
        <v>-27284908.069999997</v>
      </c>
      <c r="F19" s="64">
        <f>'TIE-OUT'!H19+RECLASS!AB19</f>
        <v>0</v>
      </c>
      <c r="G19" s="68">
        <f>'TIE-OUT'!I19+RECLASS!AC19</f>
        <v>0</v>
      </c>
      <c r="H19" s="118">
        <f>+Actuals!E329</f>
        <v>-11681391</v>
      </c>
      <c r="I19" s="119">
        <f>+Actuals!F329</f>
        <v>-27284907.579999998</v>
      </c>
      <c r="J19" s="118">
        <f>+Actuals!G329</f>
        <v>388</v>
      </c>
      <c r="K19" s="119">
        <f>+Actuals!H329</f>
        <v>-0.49</v>
      </c>
      <c r="L19" s="118">
        <f>+Actuals!I329</f>
        <v>-13</v>
      </c>
      <c r="M19" s="119">
        <f>+Actuals!J329</f>
        <v>2.35</v>
      </c>
      <c r="N19" s="118">
        <f>+Actuals!K329</f>
        <v>-1</v>
      </c>
      <c r="O19" s="119">
        <f>+Actuals!L329</f>
        <v>-2.35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-336602.09</v>
      </c>
      <c r="F20" s="60">
        <f>'TIE-OUT'!H20+RECLASS!AB20</f>
        <v>0</v>
      </c>
      <c r="G20" s="38">
        <f>'TIE-OUT'!I20+RECLASS!AC20</f>
        <v>-336602.09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119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-30848646</v>
      </c>
      <c r="E21" s="38">
        <f t="shared" si="3"/>
        <v>-74567387</v>
      </c>
      <c r="F21" s="60">
        <f>'TIE-OUT'!H21+RECLASS!AB21</f>
        <v>0</v>
      </c>
      <c r="G21" s="38">
        <f>'TIE-OUT'!I21+RECLASS!AC21</f>
        <v>0</v>
      </c>
      <c r="H21" s="118">
        <f>+Actuals!E331</f>
        <v>-30848646</v>
      </c>
      <c r="I21" s="119">
        <f>+Actuals!F331</f>
        <v>-74567387</v>
      </c>
      <c r="J21" s="118">
        <f>+Actuals!G331</f>
        <v>16603761</v>
      </c>
      <c r="K21" s="119">
        <f>+Actuals!H331</f>
        <v>40751940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-16603761</v>
      </c>
      <c r="S21" s="119">
        <f>+Actuals!P331</f>
        <v>-40751940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325053</v>
      </c>
      <c r="E23" s="38">
        <f t="shared" si="3"/>
        <v>769725.50399999996</v>
      </c>
      <c r="F23" s="81">
        <f>'TIE-OUT'!H23+RECLASS!AB23</f>
        <v>0</v>
      </c>
      <c r="G23" s="82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325053</v>
      </c>
      <c r="Q23" s="119">
        <f>+Actuals!N333</f>
        <v>769725.50399999996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-42204610</v>
      </c>
      <c r="E24" s="39">
        <f t="shared" si="4"/>
        <v>-101419171.656</v>
      </c>
      <c r="F24" s="61">
        <f t="shared" si="4"/>
        <v>0</v>
      </c>
      <c r="G24" s="39">
        <f t="shared" si="4"/>
        <v>-336602.09</v>
      </c>
      <c r="H24" s="61">
        <f t="shared" si="4"/>
        <v>-42530037</v>
      </c>
      <c r="I24" s="39">
        <f t="shared" si="4"/>
        <v>-101852294.58</v>
      </c>
      <c r="J24" s="61">
        <f t="shared" ref="J24:AO24" si="5">SUM(J19:J23)</f>
        <v>16604149</v>
      </c>
      <c r="K24" s="39">
        <f t="shared" si="5"/>
        <v>40751939.509999998</v>
      </c>
      <c r="L24" s="61">
        <f t="shared" si="5"/>
        <v>-13</v>
      </c>
      <c r="M24" s="39">
        <f t="shared" si="5"/>
        <v>2.35</v>
      </c>
      <c r="N24" s="61">
        <f>SUM(N19:N23)</f>
        <v>-1</v>
      </c>
      <c r="O24" s="39">
        <f>SUM(O19:O23)</f>
        <v>-2.35</v>
      </c>
      <c r="P24" s="61">
        <f>SUM(P19:P23)</f>
        <v>325053</v>
      </c>
      <c r="Q24" s="39">
        <f>SUM(Q19:Q23)</f>
        <v>769725.50399999996</v>
      </c>
      <c r="R24" s="61">
        <f t="shared" si="5"/>
        <v>-16603761</v>
      </c>
      <c r="S24" s="39">
        <f t="shared" si="5"/>
        <v>-40751940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'TIE-OUT'!H27+RECLASS!AB27</f>
        <v>0</v>
      </c>
      <c r="G27" s="6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'TIE-OUT'!H28+RECLASS!AB28</f>
        <v>0</v>
      </c>
      <c r="G28" s="82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'TIE-OUT'!H32+RECLASS!AB32</f>
        <v>0</v>
      </c>
      <c r="G32" s="6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'TIE-OUT'!H35+RECLASS!AB35</f>
        <v>0</v>
      </c>
      <c r="G35" s="82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'TIE-OUT'!H39+RECLASS!AB39</f>
        <v>0</v>
      </c>
      <c r="G39" s="6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'TIE-OUT'!H41+RECLASS!AB41</f>
        <v>0</v>
      </c>
      <c r="G41" s="82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'TIE-OUT'!H45+RECLASS!AB45</f>
        <v>0</v>
      </c>
      <c r="G45" s="6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18338</v>
      </c>
      <c r="E49" s="38">
        <f>SUM(G49,I49,K49,M49,O49,Q49,S49,U49,W49,Y49,AA49,AC49,AE49)</f>
        <v>43424.384000000049</v>
      </c>
      <c r="F49" s="60">
        <f>'TIE-OUT'!H49+RECLASS!AB49</f>
        <v>0</v>
      </c>
      <c r="G49" s="38">
        <f>'TIE-OUT'!I49+RECLASS!AC49</f>
        <v>0</v>
      </c>
      <c r="H49" s="118">
        <f>+Actuals!E345</f>
        <v>337658</v>
      </c>
      <c r="I49" s="119">
        <f>+Actuals!F345</f>
        <v>799574.14399999997</v>
      </c>
      <c r="J49" s="118">
        <f>+Actuals!G345</f>
        <v>-4276</v>
      </c>
      <c r="K49" s="119">
        <f>+Actuals!H345</f>
        <v>-10125.56799999997</v>
      </c>
      <c r="L49" s="118">
        <f>+Actuals!I345</f>
        <v>13</v>
      </c>
      <c r="M49" s="119">
        <f>+Actuals!J345</f>
        <v>30.783999999999999</v>
      </c>
      <c r="N49" s="118">
        <f>+Actuals!K345</f>
        <v>1</v>
      </c>
      <c r="O49" s="119">
        <f>+Actuals!L345</f>
        <v>2.3679999999999999</v>
      </c>
      <c r="P49" s="118">
        <f>+Actuals!M345</f>
        <v>-325053</v>
      </c>
      <c r="Q49" s="119">
        <f>+Actuals!N345</f>
        <v>-769725.50399999996</v>
      </c>
      <c r="R49" s="118">
        <f>+Actuals!O345</f>
        <v>9995</v>
      </c>
      <c r="S49" s="119">
        <f>+Actuals!P345</f>
        <v>23668.16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-325053</v>
      </c>
      <c r="E51" s="38">
        <f>SUM(G51,I51,K51,M51,O51,Q51,S51,U51,W51,Y51,AA51,AC51,AE51)</f>
        <v>-769725.50399999996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-325053</v>
      </c>
      <c r="Q51" s="119">
        <f>+Actuals!N346</f>
        <v>-769725.50399999996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-7936514</v>
      </c>
      <c r="E54" s="38">
        <f>SUM(G54,I54,K54,M54,O54,Q54,S54,U54,W54,Y54,AA54,AC54,AE54)</f>
        <v>-142054.03</v>
      </c>
      <c r="F54" s="64">
        <f>'TIE-OUT'!H54+RECLASS!AB54</f>
        <v>0</v>
      </c>
      <c r="G54" s="68">
        <f>'TIE-OUT'!I54+RECLASS!AC54</f>
        <v>0</v>
      </c>
      <c r="H54" s="118">
        <f>+Actuals!E347</f>
        <v>-7943431</v>
      </c>
      <c r="I54" s="119">
        <f>+Actuals!F347</f>
        <v>-142074.26999999999</v>
      </c>
      <c r="J54" s="118">
        <f>+Actuals!G347</f>
        <v>6888</v>
      </c>
      <c r="K54" s="119">
        <f>+Actuals!H347</f>
        <v>20.239999999999998</v>
      </c>
      <c r="L54" s="118">
        <f>+Actuals!I347</f>
        <v>29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-3029582.01</v>
      </c>
      <c r="F55" s="81">
        <f>'TIE-OUT'!H55+RECLASS!AB55</f>
        <v>0</v>
      </c>
      <c r="G55" s="82">
        <f>'TIE-OUT'!I55+RECLASS!AC55</f>
        <v>547047</v>
      </c>
      <c r="H55" s="118">
        <f>+Actuals!E348</f>
        <v>0</v>
      </c>
      <c r="I55" s="119">
        <f>+Actuals!F348</f>
        <v>-771631.76</v>
      </c>
      <c r="J55" s="118">
        <f>+Actuals!G348</f>
        <v>0</v>
      </c>
      <c r="K55" s="119">
        <f>+Actuals!H348</f>
        <v>-2257950.34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-547046.91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-7936514</v>
      </c>
      <c r="E56" s="39">
        <f t="shared" si="16"/>
        <v>-3171636.0399999996</v>
      </c>
      <c r="F56" s="61">
        <f t="shared" si="16"/>
        <v>0</v>
      </c>
      <c r="G56" s="39">
        <f t="shared" si="16"/>
        <v>547047</v>
      </c>
      <c r="H56" s="61">
        <f t="shared" si="16"/>
        <v>-7943431</v>
      </c>
      <c r="I56" s="39">
        <f t="shared" si="16"/>
        <v>-913706.03</v>
      </c>
      <c r="J56" s="61">
        <f t="shared" ref="J56:AO56" si="17">SUM(J54:J55)</f>
        <v>6888</v>
      </c>
      <c r="K56" s="39">
        <f t="shared" si="17"/>
        <v>-2257930.0999999996</v>
      </c>
      <c r="L56" s="61">
        <f t="shared" si="17"/>
        <v>29</v>
      </c>
      <c r="M56" s="39">
        <f t="shared" si="17"/>
        <v>0</v>
      </c>
      <c r="N56" s="61">
        <f>SUM(N54:N55)</f>
        <v>0</v>
      </c>
      <c r="O56" s="39">
        <f>SUM(O54:O55)</f>
        <v>-547046.91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'TIE-OUT'!H59+RECLASS!AB59</f>
        <v>0</v>
      </c>
      <c r="G59" s="6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'TIE-OUT'!H60+RECLASS!AB60</f>
        <v>0</v>
      </c>
      <c r="G60" s="82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'TIE-OUT'!H64+RECLASS!AB64</f>
        <v>0</v>
      </c>
      <c r="G64" s="6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'TIE-OUT'!H65+RECLASS!AB65</f>
        <v>0</v>
      </c>
      <c r="G65" s="82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12261468.49</v>
      </c>
      <c r="F70" s="64">
        <f>'TIE-OUT'!H70+RECLASS!AB70</f>
        <v>0</v>
      </c>
      <c r="G70" s="68">
        <f>'TIE-OUT'!I70+RECLASS!AC70</f>
        <v>12261468.49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f>+Actuals!H353</f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-14085867</v>
      </c>
      <c r="F71" s="81">
        <f>'TIE-OUT'!H71+RECLASS!AB71</f>
        <v>0</v>
      </c>
      <c r="G71" s="82">
        <f>'TIE-OUT'!I71+RECLASS!AC71</f>
        <v>-14085867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-1824398.5099999998</v>
      </c>
      <c r="F72" s="61">
        <f t="shared" si="22"/>
        <v>0</v>
      </c>
      <c r="G72" s="39">
        <f t="shared" si="22"/>
        <v>-1824398.5099999998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60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683322.53</v>
      </c>
      <c r="F74" s="60">
        <f>'TIE-OUT'!H74+RECLASS!AB74</f>
        <v>0</v>
      </c>
      <c r="G74" s="60">
        <f>'TIE-OUT'!I74+RECLASS!AC74</f>
        <v>683322.53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60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60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60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60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60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60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60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-727312.22600001423</v>
      </c>
      <c r="F82" s="91">
        <f>F16+F24+F29+F36+F43+F45+F47+F49</f>
        <v>0</v>
      </c>
      <c r="G82" s="92">
        <f>SUM(G72:G81)+G16+G24+G29+G36+G43+G45+G47+G49+G51+G56+G61+G66</f>
        <v>-433316.30999999982</v>
      </c>
      <c r="H82" s="91">
        <f>H16+H24+H29+H36+H43+H45+H47+H49</f>
        <v>0</v>
      </c>
      <c r="I82" s="137">
        <f>SUM(I72:I81)+I16+I24+I29+I36+I43+I45+I47+I49+I51+I56+I61+I66</f>
        <v>3006648.0340000018</v>
      </c>
      <c r="J82" s="91">
        <f>J16+J24+J29+J36+J43+J45+J47+J49</f>
        <v>0</v>
      </c>
      <c r="K82" s="137">
        <f>SUM(K72:K81)+K16+K24+K29+K36+K43+K45+K47+K49+K51+K56+K61+K66</f>
        <v>-1978384.4980000053</v>
      </c>
      <c r="L82" s="91">
        <f>L16+L24+L29+L36+L43+L45+L47+L49</f>
        <v>0</v>
      </c>
      <c r="M82" s="92">
        <f>SUM(M72:M81)+M16+M24+M29+M36+M43+M45+M47+M49+M51+M56+M61+M66</f>
        <v>-1444.2159999999999</v>
      </c>
      <c r="N82" s="91">
        <f>N16+N24+N29+N36+N43+N45+N47+N49</f>
        <v>0</v>
      </c>
      <c r="O82" s="92">
        <f>SUM(O72:O81)+O16+O24+O29+O36+O43+O45+O47+O49+O51+O56+O61+O66</f>
        <v>-547046.89199999999</v>
      </c>
      <c r="P82" s="91">
        <f>P16+P24+P29+P36+P43+P45+P47+P49</f>
        <v>0</v>
      </c>
      <c r="Q82" s="92">
        <f>SUM(Q72:Q81)+Q16+Q24+Q29+Q36+Q43+Q45+Q47+Q49+Q51+Q56+Q61+Q66</f>
        <v>-769725.50399999996</v>
      </c>
      <c r="R82" s="91">
        <f>R16+R24+R29+R36+R43+R45+R47+R49</f>
        <v>0</v>
      </c>
      <c r="S82" s="92">
        <f>SUM(S72:S81)+S16+S24+S29+S36+S43+S45+S47+S49+S51+S56+S61+S66</f>
        <v>-4042.84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4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O187"/>
  <sheetViews>
    <sheetView zoomScale="75" workbookViewId="0">
      <pane xSplit="3" ySplit="9" topLeftCell="Q53" activePane="bottomRight" state="frozen"/>
      <selection activeCell="X9" sqref="X9"/>
      <selection pane="topRight" activeCell="X9" sqref="X9"/>
      <selection pane="bottomLeft" activeCell="X9" sqref="X9"/>
      <selection pane="bottomRight" activeCell="Y56" sqref="Y5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190649394</v>
      </c>
      <c r="E11" s="38">
        <f>SUM(G11,I11,K11,M11,O11,Q11,S11,U11,W11,Y11,AA11,AC11,AE11)</f>
        <v>485045009.19999993</v>
      </c>
      <c r="F11" s="60">
        <f>'TIE-OUT'!J11+RECLASS!H11</f>
        <v>0</v>
      </c>
      <c r="G11" s="38">
        <f>'TIE-OUT'!K11+RECLASS!I11</f>
        <v>5814747</v>
      </c>
      <c r="H11" s="118">
        <f>+Actuals!E244</f>
        <v>189746325</v>
      </c>
      <c r="I11" s="119">
        <f>+Actuals!F244</f>
        <v>467815212.26999998</v>
      </c>
      <c r="J11" s="118">
        <f>+Actuals!G244</f>
        <v>7253637</v>
      </c>
      <c r="K11" s="119">
        <f>+Actuals!H244</f>
        <v>21651971.629999999</v>
      </c>
      <c r="L11" s="118">
        <f>+Actuals!I244</f>
        <v>-5507898</v>
      </c>
      <c r="M11" s="119">
        <f>+Actuals!J244</f>
        <v>-12207516.93</v>
      </c>
      <c r="N11" s="118">
        <f>+Actuals!K244</f>
        <v>1559053</v>
      </c>
      <c r="O11" s="119">
        <f>+Actuals!L244</f>
        <v>3967928.63</v>
      </c>
      <c r="P11" s="118">
        <f>+Actuals!M244</f>
        <v>-3241300</v>
      </c>
      <c r="Q11" s="119">
        <f>+Actuals!N244</f>
        <v>-4198933.42</v>
      </c>
      <c r="R11" s="118">
        <f>+Actuals!O244</f>
        <v>1192875</v>
      </c>
      <c r="S11" s="119">
        <f>+Actuals!P244</f>
        <v>3355596.96</v>
      </c>
      <c r="T11" s="118">
        <v>-356575</v>
      </c>
      <c r="U11" s="119">
        <v>-1164049.25</v>
      </c>
      <c r="V11" s="118">
        <v>-12732</v>
      </c>
      <c r="W11" s="119">
        <v>-35452.68</v>
      </c>
      <c r="X11" s="118">
        <v>16009</v>
      </c>
      <c r="Y11" s="119">
        <v>45504.99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-3727128.67</v>
      </c>
      <c r="F12" s="60">
        <f>'TIE-OUT'!J12+RECLASS!H12</f>
        <v>0</v>
      </c>
      <c r="G12" s="38">
        <f>'TIE-OUT'!K12+RECLASS!I12</f>
        <v>-3883840.07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f>+Actuals!H245+3596</f>
        <v>3596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v>153115.4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71628606</v>
      </c>
      <c r="E13" s="38">
        <f t="shared" si="0"/>
        <v>185895133</v>
      </c>
      <c r="F13" s="60">
        <f>'TIE-OUT'!J13+RECLASS!H13</f>
        <v>0</v>
      </c>
      <c r="G13" s="38">
        <f>'TIE-OUT'!K13+RECLASS!I13</f>
        <v>0</v>
      </c>
      <c r="H13" s="118">
        <f>+Actuals!E246</f>
        <v>71628606</v>
      </c>
      <c r="I13" s="119">
        <f>+Actuals!F246</f>
        <v>185895133</v>
      </c>
      <c r="J13" s="118">
        <f>+Actuals!G246</f>
        <v>-51333347</v>
      </c>
      <c r="K13" s="119">
        <f>+Actuals!H246</f>
        <v>-133933759</v>
      </c>
      <c r="L13" s="118">
        <f>+Actuals!I246</f>
        <v>4403</v>
      </c>
      <c r="M13" s="119">
        <f>+Actuals!J246</f>
        <v>14283</v>
      </c>
      <c r="N13" s="118">
        <f>+Actuals!K246</f>
        <v>-4300</v>
      </c>
      <c r="O13" s="119">
        <f>+Actuals!L246</f>
        <v>-9459</v>
      </c>
      <c r="P13" s="118">
        <f>+Actuals!M246</f>
        <v>0</v>
      </c>
      <c r="Q13" s="119">
        <f>+Actuals!N246</f>
        <v>0</v>
      </c>
      <c r="R13" s="118">
        <f>+Actuals!O246</f>
        <v>51333244</v>
      </c>
      <c r="S13" s="119">
        <f>+Actuals!P246</f>
        <v>133928935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6384737.2600000007</v>
      </c>
      <c r="F15" s="81">
        <f>'TIE-OUT'!J15+RECLASS!H15</f>
        <v>0</v>
      </c>
      <c r="G15" s="82">
        <f>'TIE-OUT'!K15+RECLASS!I15</f>
        <v>-11297325</v>
      </c>
      <c r="H15" s="118">
        <f>+Actuals!E248</f>
        <v>0</v>
      </c>
      <c r="I15" s="119">
        <f>+Actuals!F248</f>
        <v>14932935.800000001</v>
      </c>
      <c r="J15" s="118">
        <f>+Actuals!G248</f>
        <v>0</v>
      </c>
      <c r="K15" s="119">
        <f>+Actuals!H248</f>
        <v>254808.88</v>
      </c>
      <c r="L15" s="118">
        <f>+Actuals!I248</f>
        <v>0</v>
      </c>
      <c r="M15" s="119">
        <f>+Actuals!J248</f>
        <v>1901257.24</v>
      </c>
      <c r="N15" s="118">
        <f>+Actuals!K248</f>
        <v>0</v>
      </c>
      <c r="O15" s="119">
        <f>+Actuals!L248</f>
        <v>-29307.66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v>622368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262278000</v>
      </c>
      <c r="E16" s="39">
        <f t="shared" si="1"/>
        <v>673597750.78999996</v>
      </c>
      <c r="F16" s="61">
        <f t="shared" si="1"/>
        <v>0</v>
      </c>
      <c r="G16" s="39">
        <f t="shared" si="1"/>
        <v>-9366418.0700000003</v>
      </c>
      <c r="H16" s="61">
        <f t="shared" si="1"/>
        <v>261374931</v>
      </c>
      <c r="I16" s="39">
        <f t="shared" si="1"/>
        <v>668643281.06999993</v>
      </c>
      <c r="J16" s="61">
        <f t="shared" ref="J16:AO16" si="2">SUM(J11:J15)</f>
        <v>-44079710</v>
      </c>
      <c r="K16" s="39">
        <f t="shared" si="2"/>
        <v>-112023382.49000001</v>
      </c>
      <c r="L16" s="61">
        <f t="shared" si="2"/>
        <v>-5503495</v>
      </c>
      <c r="M16" s="39">
        <f t="shared" si="2"/>
        <v>-10291976.689999999</v>
      </c>
      <c r="N16" s="61">
        <f>SUM(N11:N15)</f>
        <v>1554753</v>
      </c>
      <c r="O16" s="39">
        <f>SUM(O11:O15)</f>
        <v>3929161.9699999997</v>
      </c>
      <c r="P16" s="61">
        <f>SUM(P11:P15)</f>
        <v>-3241300</v>
      </c>
      <c r="Q16" s="39">
        <f>SUM(Q11:Q15)</f>
        <v>-4198933.42</v>
      </c>
      <c r="R16" s="61">
        <f t="shared" si="2"/>
        <v>52526119</v>
      </c>
      <c r="S16" s="39">
        <f t="shared" si="2"/>
        <v>137284531.96000001</v>
      </c>
      <c r="T16" s="61">
        <f t="shared" si="2"/>
        <v>-356575</v>
      </c>
      <c r="U16" s="39">
        <f t="shared" si="2"/>
        <v>-541681.25</v>
      </c>
      <c r="V16" s="61">
        <f t="shared" si="2"/>
        <v>-12732</v>
      </c>
      <c r="W16" s="39">
        <f t="shared" si="2"/>
        <v>117662.72</v>
      </c>
      <c r="X16" s="61">
        <f t="shared" si="2"/>
        <v>16009</v>
      </c>
      <c r="Y16" s="39">
        <f t="shared" si="2"/>
        <v>45504.99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-187315162</v>
      </c>
      <c r="E19" s="38">
        <f t="shared" si="3"/>
        <v>-446520051.77999997</v>
      </c>
      <c r="F19" s="64">
        <f>'TIE-OUT'!J19+RECLASS!H19</f>
        <v>0</v>
      </c>
      <c r="G19" s="68">
        <f>'TIE-OUT'!K19+RECLASS!I19</f>
        <v>2615119</v>
      </c>
      <c r="H19" s="118">
        <f>+Actuals!E249</f>
        <v>-187210283</v>
      </c>
      <c r="I19" s="119">
        <f>+Actuals!F249</f>
        <v>-450026772.61000001</v>
      </c>
      <c r="J19" s="118">
        <f>+Actuals!G249</f>
        <v>-2313451</v>
      </c>
      <c r="K19" s="119">
        <f>+Actuals!H249</f>
        <v>-5902770.2499999991</v>
      </c>
      <c r="L19" s="118">
        <f>+Actuals!I249</f>
        <v>1907676</v>
      </c>
      <c r="M19" s="119">
        <f>+Actuals!J249</f>
        <v>3057392.04</v>
      </c>
      <c r="N19" s="118">
        <f>+Actuals!K249</f>
        <v>-1272513</v>
      </c>
      <c r="O19" s="119">
        <f>+Actuals!L249</f>
        <v>3507897.39</v>
      </c>
      <c r="P19" s="118">
        <f>+Actuals!M249</f>
        <v>1582532</v>
      </c>
      <c r="Q19" s="119">
        <f>+Actuals!N249</f>
        <v>-78496.100000000006</v>
      </c>
      <c r="R19" s="118">
        <f>+Actuals!O249</f>
        <v>-38470</v>
      </c>
      <c r="S19" s="119">
        <f>+Actuals!P249</f>
        <v>232269.41</v>
      </c>
      <c r="T19" s="118">
        <f>-888503+834817</f>
        <v>-53686</v>
      </c>
      <c r="U19" s="119">
        <f>-2205038.45+2050817</f>
        <v>-154221.45000000019</v>
      </c>
      <c r="V19" s="118">
        <v>-164855</v>
      </c>
      <c r="W19" s="119">
        <v>-342072.81</v>
      </c>
      <c r="X19" s="118">
        <v>247888</v>
      </c>
      <c r="Y19" s="119">
        <v>571603.6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-9201555.1899999995</v>
      </c>
      <c r="F20" s="60">
        <f>'TIE-OUT'!J20+RECLASS!H20</f>
        <v>0</v>
      </c>
      <c r="G20" s="38">
        <f>'TIE-OUT'!K20+RECLASS!I20</f>
        <v>-9176533.7799999993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v>0</v>
      </c>
      <c r="L20" s="118">
        <f>+Actuals!I250</f>
        <v>0</v>
      </c>
      <c r="M20" s="215">
        <f>+Actuals!J250-25021.41</f>
        <v>-25021.41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-71003668</v>
      </c>
      <c r="E21" s="38">
        <f t="shared" si="3"/>
        <v>-187641097</v>
      </c>
      <c r="F21" s="60">
        <f>'TIE-OUT'!J21+RECLASS!H21</f>
        <v>0</v>
      </c>
      <c r="G21" s="38">
        <f>'TIE-OUT'!K21+RECLASS!I21</f>
        <v>0</v>
      </c>
      <c r="H21" s="118">
        <f>+Actuals!E251</f>
        <v>-71003668</v>
      </c>
      <c r="I21" s="119">
        <f>+Actuals!F251</f>
        <v>-187641099</v>
      </c>
      <c r="J21" s="118">
        <f>+Actuals!G251</f>
        <v>51204961</v>
      </c>
      <c r="K21" s="119">
        <f>+Actuals!H251</f>
        <v>133403760</v>
      </c>
      <c r="L21" s="118">
        <f>+Actuals!I251</f>
        <v>39502</v>
      </c>
      <c r="M21" s="119">
        <f>+Actuals!J251</f>
        <v>86114</v>
      </c>
      <c r="N21" s="118">
        <f>+Actuals!K251</f>
        <v>2473</v>
      </c>
      <c r="O21" s="119">
        <f>+Actuals!L251</f>
        <v>3233</v>
      </c>
      <c r="P21" s="118">
        <f>+Actuals!M251</f>
        <v>0</v>
      </c>
      <c r="Q21" s="119">
        <f>+Actuals!N251</f>
        <v>0</v>
      </c>
      <c r="R21" s="118">
        <f>+Actuals!O251</f>
        <v>-51246936</v>
      </c>
      <c r="S21" s="119">
        <f>+Actuals!P251</f>
        <v>-133493105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501191</v>
      </c>
      <c r="E23" s="38">
        <f t="shared" si="3"/>
        <v>1176295.2739999997</v>
      </c>
      <c r="F23" s="81">
        <f>'TIE-OUT'!J23+RECLASS!H23</f>
        <v>0</v>
      </c>
      <c r="G23" s="82">
        <f>'TIE-OUT'!K23+RECLASS!I23</f>
        <v>0</v>
      </c>
      <c r="H23" s="118">
        <f>+Actuals!E253</f>
        <v>1597692</v>
      </c>
      <c r="I23" s="119">
        <f>+Actuals!F253</f>
        <v>3749783.1239999998</v>
      </c>
      <c r="J23" s="118">
        <f>+Actuals!G253</f>
        <v>80718</v>
      </c>
      <c r="K23" s="119">
        <f>+Actuals!H253</f>
        <v>189445.14600000001</v>
      </c>
      <c r="L23" s="118">
        <f>+Actuals!I253</f>
        <v>-28325</v>
      </c>
      <c r="M23" s="119">
        <f>+Actuals!J253</f>
        <v>-66478.774999999994</v>
      </c>
      <c r="N23" s="118">
        <f>+Actuals!K253</f>
        <v>-211467</v>
      </c>
      <c r="O23" s="119">
        <f>+Actuals!L253</f>
        <v>-587814.549</v>
      </c>
      <c r="P23" s="118">
        <f>+Actuals!M253</f>
        <v>-106669</v>
      </c>
      <c r="Q23" s="119">
        <f>+Actuals!N253</f>
        <v>-67349.142999999996</v>
      </c>
      <c r="R23" s="118">
        <f>+Actuals!O253</f>
        <v>5493</v>
      </c>
      <c r="S23" s="119">
        <f>+Actuals!P253</f>
        <v>12892.071</v>
      </c>
      <c r="T23" s="118">
        <v>-834817</v>
      </c>
      <c r="U23" s="119">
        <v>-2050817</v>
      </c>
      <c r="V23" s="118">
        <v>-1438</v>
      </c>
      <c r="W23" s="119">
        <v>-3374.99</v>
      </c>
      <c r="X23" s="118">
        <v>4</v>
      </c>
      <c r="Y23" s="119">
        <v>9.39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-257817639</v>
      </c>
      <c r="E24" s="39">
        <f t="shared" si="4"/>
        <v>-642186408.69599998</v>
      </c>
      <c r="F24" s="61">
        <f t="shared" si="4"/>
        <v>0</v>
      </c>
      <c r="G24" s="39">
        <f t="shared" si="4"/>
        <v>-6561414.7799999993</v>
      </c>
      <c r="H24" s="61">
        <f t="shared" si="4"/>
        <v>-256616259</v>
      </c>
      <c r="I24" s="39">
        <f t="shared" si="4"/>
        <v>-633918088.48600006</v>
      </c>
      <c r="J24" s="61">
        <f t="shared" ref="J24:AO24" si="5">SUM(J19:J23)</f>
        <v>48972228</v>
      </c>
      <c r="K24" s="39">
        <f t="shared" si="5"/>
        <v>127690434.896</v>
      </c>
      <c r="L24" s="61">
        <f t="shared" si="5"/>
        <v>1918853</v>
      </c>
      <c r="M24" s="39">
        <f t="shared" si="5"/>
        <v>3052005.855</v>
      </c>
      <c r="N24" s="61">
        <f>SUM(N19:N23)</f>
        <v>-1481507</v>
      </c>
      <c r="O24" s="39">
        <f>SUM(O19:O23)</f>
        <v>2923315.841</v>
      </c>
      <c r="P24" s="61">
        <f>SUM(P19:P23)</f>
        <v>1475863</v>
      </c>
      <c r="Q24" s="39">
        <f>SUM(Q19:Q23)</f>
        <v>-145845.24300000002</v>
      </c>
      <c r="R24" s="61">
        <f t="shared" si="5"/>
        <v>-51279913</v>
      </c>
      <c r="S24" s="39">
        <f t="shared" si="5"/>
        <v>-133247943.51900001</v>
      </c>
      <c r="T24" s="61">
        <f t="shared" si="5"/>
        <v>-888503</v>
      </c>
      <c r="U24" s="39">
        <f t="shared" si="5"/>
        <v>-2205038.4500000002</v>
      </c>
      <c r="V24" s="61">
        <f t="shared" si="5"/>
        <v>-166293</v>
      </c>
      <c r="W24" s="39">
        <f t="shared" si="5"/>
        <v>-345447.8</v>
      </c>
      <c r="X24" s="61">
        <f t="shared" si="5"/>
        <v>247892</v>
      </c>
      <c r="Y24" s="39">
        <f t="shared" si="5"/>
        <v>571612.99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11337164</v>
      </c>
      <c r="E27" s="38">
        <f>SUM(G27,I27,K27,M27,O27,Q27,S27,U27,W27,Y27,AA27,AC27,AE27)</f>
        <v>27265523.330000002</v>
      </c>
      <c r="F27" s="64">
        <f>'TIE-OUT'!J27+RECLASS!H27</f>
        <v>0</v>
      </c>
      <c r="G27" s="68">
        <f>'TIE-OUT'!K27+RECLASS!I27</f>
        <v>0</v>
      </c>
      <c r="H27" s="118">
        <f>+Actuals!E254</f>
        <v>11333350</v>
      </c>
      <c r="I27" s="119">
        <f>+Actuals!F254</f>
        <v>27144101</v>
      </c>
      <c r="J27" s="118">
        <f>+Actuals!G254</f>
        <v>0</v>
      </c>
      <c r="K27" s="119">
        <f>+Actuals!H254</f>
        <v>111625.23</v>
      </c>
      <c r="L27" s="118">
        <f>+Actuals!I254</f>
        <v>3876</v>
      </c>
      <c r="M27" s="119">
        <f>+Actuals!J254</f>
        <v>21007.93</v>
      </c>
      <c r="N27" s="118">
        <f>+Actuals!K254</f>
        <v>0</v>
      </c>
      <c r="O27" s="119">
        <f>+Actuals!L254</f>
        <v>0</v>
      </c>
      <c r="P27" s="118">
        <f>+Actuals!M254</f>
        <v>-62</v>
      </c>
      <c r="Q27" s="119">
        <f>+Actuals!N254</f>
        <v>-11210.83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-7938306</v>
      </c>
      <c r="E28" s="38">
        <f>SUM(G28,I28,K28,M28,O28,Q28,S28,U28,W28,Y28,AA28,AC28,AE28)</f>
        <v>-19446796.509999998</v>
      </c>
      <c r="F28" s="81">
        <f>'TIE-OUT'!J28+RECLASS!H28</f>
        <v>0</v>
      </c>
      <c r="G28" s="82">
        <f>'TIE-OUT'!K28+RECLASS!I28</f>
        <v>0</v>
      </c>
      <c r="H28" s="118">
        <f>+Actuals!E255</f>
        <v>-7755552</v>
      </c>
      <c r="I28" s="119">
        <f>+Actuals!F255</f>
        <v>-19018931.719999999</v>
      </c>
      <c r="J28" s="118">
        <f>+Actuals!G255</f>
        <v>-196782</v>
      </c>
      <c r="K28" s="119">
        <f>+Actuals!H255</f>
        <v>-462998.91</v>
      </c>
      <c r="L28" s="118">
        <f>+Actuals!I255</f>
        <v>-1</v>
      </c>
      <c r="M28" s="119">
        <f>+Actuals!J255</f>
        <v>1229.71</v>
      </c>
      <c r="N28" s="118">
        <f>+Actuals!K255</f>
        <v>0</v>
      </c>
      <c r="O28" s="119">
        <f>+Actuals!L255</f>
        <v>0</v>
      </c>
      <c r="P28" s="118">
        <f>+Actuals!M255</f>
        <v>1886</v>
      </c>
      <c r="Q28" s="119">
        <f>+Actuals!N255</f>
        <v>4083.19</v>
      </c>
      <c r="R28" s="118">
        <f>+Actuals!O255</f>
        <v>5000</v>
      </c>
      <c r="S28" s="119">
        <f>+Actuals!P255</f>
        <v>11350</v>
      </c>
      <c r="T28" s="118">
        <f>+Actuals!Q255</f>
        <v>0</v>
      </c>
      <c r="U28" s="119">
        <f>+Actuals!R255</f>
        <v>0</v>
      </c>
      <c r="V28" s="118">
        <v>7143</v>
      </c>
      <c r="W28" s="119">
        <v>18471.22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3398858</v>
      </c>
      <c r="E29" s="39">
        <f t="shared" si="6"/>
        <v>7818726.820000004</v>
      </c>
      <c r="F29" s="61">
        <f t="shared" si="6"/>
        <v>0</v>
      </c>
      <c r="G29" s="39">
        <f t="shared" si="6"/>
        <v>0</v>
      </c>
      <c r="H29" s="61">
        <f t="shared" si="6"/>
        <v>3577798</v>
      </c>
      <c r="I29" s="39">
        <f t="shared" si="6"/>
        <v>8125169.2800000012</v>
      </c>
      <c r="J29" s="61">
        <f t="shared" ref="J29:AO29" si="7">SUM(J27:J28)</f>
        <v>-196782</v>
      </c>
      <c r="K29" s="39">
        <f t="shared" si="7"/>
        <v>-351373.68</v>
      </c>
      <c r="L29" s="61">
        <f t="shared" si="7"/>
        <v>3875</v>
      </c>
      <c r="M29" s="39">
        <f t="shared" si="7"/>
        <v>22237.64</v>
      </c>
      <c r="N29" s="61">
        <f>SUM(N27:N28)</f>
        <v>0</v>
      </c>
      <c r="O29" s="39">
        <f>SUM(O27:O28)</f>
        <v>0</v>
      </c>
      <c r="P29" s="61">
        <f>SUM(P27:P28)</f>
        <v>1824</v>
      </c>
      <c r="Q29" s="39">
        <f>SUM(Q27:Q28)</f>
        <v>-7127.6399999999994</v>
      </c>
      <c r="R29" s="61">
        <f t="shared" si="7"/>
        <v>5000</v>
      </c>
      <c r="S29" s="39">
        <f t="shared" si="7"/>
        <v>11350</v>
      </c>
      <c r="T29" s="61">
        <f t="shared" si="7"/>
        <v>0</v>
      </c>
      <c r="U29" s="39">
        <f t="shared" si="7"/>
        <v>0</v>
      </c>
      <c r="V29" s="61">
        <f t="shared" si="7"/>
        <v>7143</v>
      </c>
      <c r="W29" s="39">
        <f t="shared" si="7"/>
        <v>18471.22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4" si="8">SUM(F32,H32,J32,L32,N32,P32,R32,T32,V32,X32,Z32,AB32,AD32)</f>
        <v>3607202</v>
      </c>
      <c r="E32" s="38">
        <f t="shared" si="8"/>
        <v>8466103.084999999</v>
      </c>
      <c r="F32" s="64">
        <f>'TIE-OUT'!J32+RECLASS!H32</f>
        <v>0</v>
      </c>
      <c r="G32" s="68">
        <f>'TIE-OUT'!K32+RECLASS!I32</f>
        <v>0</v>
      </c>
      <c r="H32" s="118">
        <f>+Actuals!E256</f>
        <v>-947426</v>
      </c>
      <c r="I32" s="119">
        <f>+Actuals!F256</f>
        <v>-2223608.8220000002</v>
      </c>
      <c r="J32" s="118">
        <f>+Actuals!G256</f>
        <v>1573714</v>
      </c>
      <c r="K32" s="119">
        <f>+Actuals!H256</f>
        <v>3693506.7579999999</v>
      </c>
      <c r="L32" s="118">
        <f>+Actuals!I256</f>
        <v>-3912142</v>
      </c>
      <c r="M32" s="119">
        <f>+Actuals!J256</f>
        <v>-9181797.2740000002</v>
      </c>
      <c r="N32" s="118">
        <f>+Actuals!K256</f>
        <v>1559653</v>
      </c>
      <c r="O32" s="119">
        <f>+Actuals!L256</f>
        <v>3660505.591</v>
      </c>
      <c r="P32" s="118">
        <f>+Actuals!M256</f>
        <v>7278</v>
      </c>
      <c r="Q32" s="119">
        <f>+Actuals!N256</f>
        <v>17081.466</v>
      </c>
      <c r="R32" s="118">
        <f>+Actuals!O256</f>
        <v>958558</v>
      </c>
      <c r="S32" s="119">
        <f>+Actuals!P256</f>
        <v>2249735.6260000002</v>
      </c>
      <c r="T32" s="118">
        <v>825412</v>
      </c>
      <c r="U32" s="119">
        <v>1937241.96</v>
      </c>
      <c r="V32" s="118">
        <v>1479222</v>
      </c>
      <c r="W32" s="119">
        <v>3471734.03</v>
      </c>
      <c r="X32" s="118">
        <v>2062933</v>
      </c>
      <c r="Y32" s="119">
        <v>4841703.75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-3963352</v>
      </c>
      <c r="E33" s="38">
        <f t="shared" si="8"/>
        <v>-3603598.67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-554147</v>
      </c>
      <c r="K33" s="119">
        <f>+Actuals!H257</f>
        <v>-1606345.77</v>
      </c>
      <c r="L33" s="118">
        <f>+Actuals!I257</f>
        <v>-2315616</v>
      </c>
      <c r="M33" s="119">
        <f>+Actuals!J257</f>
        <v>-5865.47</v>
      </c>
      <c r="N33" s="118">
        <f>+Actuals!K257</f>
        <v>-236259</v>
      </c>
      <c r="O33" s="119">
        <f>+Actuals!L257</f>
        <v>-595026.32999999996</v>
      </c>
      <c r="P33" s="118">
        <f>+Actuals!M257</f>
        <v>-401356</v>
      </c>
      <c r="Q33" s="119">
        <f>+Actuals!N257</f>
        <v>-947314.64</v>
      </c>
      <c r="R33" s="118">
        <f>+Actuals!O257</f>
        <v>-710737</v>
      </c>
      <c r="S33" s="119">
        <f>+Actuals!P257</f>
        <v>-169560.55</v>
      </c>
      <c r="T33" s="118">
        <v>545521</v>
      </c>
      <c r="U33" s="119">
        <v>-239668.39</v>
      </c>
      <c r="V33" s="118">
        <v>-287492</v>
      </c>
      <c r="W33" s="119">
        <v>-30777.75</v>
      </c>
      <c r="X33" s="118">
        <v>-3266</v>
      </c>
      <c r="Y33" s="119">
        <v>-9039.77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4166263</v>
      </c>
      <c r="E34" s="38">
        <f t="shared" si="8"/>
        <v>1651104.15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45566</v>
      </c>
      <c r="K34" s="119">
        <f>+Actuals!H258</f>
        <v>159040.41</v>
      </c>
      <c r="L34" s="118">
        <f>+Actuals!I258</f>
        <v>2392518</v>
      </c>
      <c r="M34" s="119">
        <f>+Actuals!J258</f>
        <v>151691.6</v>
      </c>
      <c r="N34" s="118">
        <f>+Actuals!K258</f>
        <v>95225</v>
      </c>
      <c r="O34" s="119">
        <f>+Actuals!L258</f>
        <v>729145.83</v>
      </c>
      <c r="P34" s="118">
        <f>+Actuals!M258</f>
        <v>346609</v>
      </c>
      <c r="Q34" s="119">
        <f>+Actuals!N258</f>
        <v>216730.58</v>
      </c>
      <c r="R34" s="118">
        <f>+Actuals!O258</f>
        <v>9436</v>
      </c>
      <c r="S34" s="119">
        <f>+Actuals!P258</f>
        <v>23544.49</v>
      </c>
      <c r="T34" s="118">
        <v>276906</v>
      </c>
      <c r="U34" s="119">
        <v>241796</v>
      </c>
      <c r="V34" s="118">
        <v>1000002</v>
      </c>
      <c r="W34" s="119">
        <v>5.54</v>
      </c>
      <c r="X34" s="118">
        <v>1</v>
      </c>
      <c r="Y34" s="119">
        <v>129149.7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>SUM(F35,H35,J35,L35,N35,P35,R35,T35,V35,X35,Z35,AB35,AD35)</f>
        <v>-1460039</v>
      </c>
      <c r="E35" s="38">
        <f>SUM(G35,I35,K35,M35,O35,Q35,S35,U35,W35,Y35,AA35,AC35,AE35)</f>
        <v>-2665655.0199999996</v>
      </c>
      <c r="F35" s="81">
        <f>'TIE-OUT'!J35+RECLASS!H35</f>
        <v>0</v>
      </c>
      <c r="G35" s="82">
        <f>'TIE-OUT'!K35+RECLASS!I35</f>
        <v>-2137655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-730000</v>
      </c>
      <c r="M35" s="119">
        <f>+Actuals!J259</f>
        <v>-0.01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215">
        <f>+Actuals!N259-528000</f>
        <v>-528000</v>
      </c>
      <c r="R35" s="118">
        <f>+Actuals!O259</f>
        <v>0</v>
      </c>
      <c r="S35" s="119">
        <f>+Actuals!P259</f>
        <v>0</v>
      </c>
      <c r="T35" s="118">
        <v>-230039</v>
      </c>
      <c r="U35" s="119">
        <v>0</v>
      </c>
      <c r="V35" s="118">
        <v>-500000</v>
      </c>
      <c r="W35" s="119">
        <v>-0.01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2350074</v>
      </c>
      <c r="E36" s="39">
        <f t="shared" si="9"/>
        <v>3847953.5449999999</v>
      </c>
      <c r="F36" s="61">
        <f t="shared" si="9"/>
        <v>0</v>
      </c>
      <c r="G36" s="39">
        <f t="shared" si="9"/>
        <v>-2137655</v>
      </c>
      <c r="H36" s="61">
        <f t="shared" si="9"/>
        <v>-947426</v>
      </c>
      <c r="I36" s="39">
        <f t="shared" si="9"/>
        <v>-2223608.8220000002</v>
      </c>
      <c r="J36" s="61">
        <f t="shared" ref="J36:AO36" si="10">SUM(J32:J35)</f>
        <v>1065133</v>
      </c>
      <c r="K36" s="39">
        <f t="shared" si="10"/>
        <v>2246201.398</v>
      </c>
      <c r="L36" s="61">
        <f t="shared" si="10"/>
        <v>-4565240</v>
      </c>
      <c r="M36" s="39">
        <f t="shared" si="10"/>
        <v>-9035971.154000001</v>
      </c>
      <c r="N36" s="61">
        <f>SUM(N32:N35)</f>
        <v>1418619</v>
      </c>
      <c r="O36" s="39">
        <f>SUM(O32:O35)</f>
        <v>3794625.091</v>
      </c>
      <c r="P36" s="61">
        <f>SUM(P32:P35)</f>
        <v>-47469</v>
      </c>
      <c r="Q36" s="39">
        <f>SUM(Q32:Q35)</f>
        <v>-1241502.594</v>
      </c>
      <c r="R36" s="61">
        <f t="shared" si="10"/>
        <v>257257</v>
      </c>
      <c r="S36" s="39">
        <f t="shared" si="10"/>
        <v>2103719.5660000001</v>
      </c>
      <c r="T36" s="61">
        <f>SUM(T32:T35)</f>
        <v>1417800</v>
      </c>
      <c r="U36" s="39">
        <f>SUM(U32:U35)</f>
        <v>1939369.5699999998</v>
      </c>
      <c r="V36" s="61">
        <f t="shared" si="10"/>
        <v>1691732</v>
      </c>
      <c r="W36" s="39">
        <f t="shared" si="10"/>
        <v>3440961.81</v>
      </c>
      <c r="X36" s="61">
        <f t="shared" si="10"/>
        <v>2059668</v>
      </c>
      <c r="Y36" s="39">
        <f t="shared" si="10"/>
        <v>4961813.6800000006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-4</v>
      </c>
      <c r="E39" s="38">
        <f t="shared" si="11"/>
        <v>-9.4000000000014552</v>
      </c>
      <c r="F39" s="64">
        <f>'TIE-OUT'!J39+RECLASS!H39</f>
        <v>0</v>
      </c>
      <c r="G39" s="68">
        <f>'TIE-OUT'!K39+RECLASS!I39</f>
        <v>0</v>
      </c>
      <c r="H39" s="118">
        <f>+Actuals!E260</f>
        <v>4</v>
      </c>
      <c r="I39" s="119">
        <f>+Actuals!F260</f>
        <v>9.39</v>
      </c>
      <c r="J39" s="118">
        <f>+Actuals!G260</f>
        <v>20073</v>
      </c>
      <c r="K39" s="119">
        <f>+Actuals!H260</f>
        <v>47111.33</v>
      </c>
      <c r="L39" s="118">
        <f>+Actuals!I260</f>
        <v>-20081</v>
      </c>
      <c r="M39" s="119">
        <f>+Actuals!J260</f>
        <v>-47130.12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-7719446</v>
      </c>
      <c r="E40" s="38">
        <f t="shared" si="11"/>
        <v>-17053675.630000003</v>
      </c>
      <c r="F40" s="60">
        <f>'TIE-OUT'!J40+RECLASS!H40</f>
        <v>0</v>
      </c>
      <c r="G40" s="38">
        <f>'TIE-OUT'!K40+RECLASS!I40</f>
        <v>0</v>
      </c>
      <c r="H40" s="118">
        <f>+Actuals!E261</f>
        <v>-3453689</v>
      </c>
      <c r="I40" s="119">
        <f>+Actuals!F261</f>
        <v>-8713594.5299999993</v>
      </c>
      <c r="J40" s="118">
        <f>+Actuals!G261</f>
        <v>90257</v>
      </c>
      <c r="K40" s="119">
        <f>+Actuals!H261</f>
        <v>226424.36</v>
      </c>
      <c r="L40" s="118">
        <f>+Actuals!I261</f>
        <v>-472988</v>
      </c>
      <c r="M40" s="119">
        <f>+Actuals!J261</f>
        <v>-761114.41</v>
      </c>
      <c r="N40" s="118">
        <f>+Actuals!K261</f>
        <v>-268386</v>
      </c>
      <c r="O40" s="119">
        <f>+Actuals!L261</f>
        <v>-682045.15</v>
      </c>
      <c r="P40" s="118">
        <f>+Actuals!M261</f>
        <v>0</v>
      </c>
      <c r="Q40" s="119">
        <f>+Actuals!N261</f>
        <v>0</v>
      </c>
      <c r="R40" s="118">
        <f>+Actuals!O261</f>
        <v>-244612</v>
      </c>
      <c r="S40" s="119">
        <f>+Actuals!P261</f>
        <v>-582332.89</v>
      </c>
      <c r="T40" s="118">
        <v>-308071</v>
      </c>
      <c r="U40" s="119">
        <v>-554701.93999999994</v>
      </c>
      <c r="V40" s="118">
        <v>-1186605</v>
      </c>
      <c r="W40" s="119">
        <v>-2991342.47</v>
      </c>
      <c r="X40" s="118">
        <v>-1875352</v>
      </c>
      <c r="Y40" s="119">
        <v>-2994968.6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-7719446</v>
      </c>
      <c r="E42" s="39">
        <f t="shared" si="12"/>
        <v>-17053675.630000003</v>
      </c>
      <c r="F42" s="61">
        <f t="shared" si="12"/>
        <v>0</v>
      </c>
      <c r="G42" s="39">
        <f t="shared" si="12"/>
        <v>0</v>
      </c>
      <c r="H42" s="61">
        <f t="shared" si="12"/>
        <v>-3453689</v>
      </c>
      <c r="I42" s="39">
        <f t="shared" si="12"/>
        <v>-8713594.5299999993</v>
      </c>
      <c r="J42" s="61">
        <f t="shared" ref="J42:AO42" si="13">SUM(J40:J41)</f>
        <v>90257</v>
      </c>
      <c r="K42" s="39">
        <f t="shared" si="13"/>
        <v>226424.36</v>
      </c>
      <c r="L42" s="61">
        <f t="shared" si="13"/>
        <v>-472988</v>
      </c>
      <c r="M42" s="39">
        <f t="shared" si="13"/>
        <v>-761114.41</v>
      </c>
      <c r="N42" s="61">
        <f>SUM(N40:N41)</f>
        <v>-268386</v>
      </c>
      <c r="O42" s="39">
        <f>SUM(O40:O41)</f>
        <v>-682045.15</v>
      </c>
      <c r="P42" s="61">
        <f>SUM(P40:P41)</f>
        <v>0</v>
      </c>
      <c r="Q42" s="39">
        <f>SUM(Q40:Q41)</f>
        <v>0</v>
      </c>
      <c r="R42" s="61">
        <f t="shared" si="13"/>
        <v>-244612</v>
      </c>
      <c r="S42" s="39">
        <f t="shared" si="13"/>
        <v>-582332.89</v>
      </c>
      <c r="T42" s="61">
        <f t="shared" si="13"/>
        <v>-308071</v>
      </c>
      <c r="U42" s="39">
        <f t="shared" si="13"/>
        <v>-554701.93999999994</v>
      </c>
      <c r="V42" s="61">
        <f t="shared" si="13"/>
        <v>-1186605</v>
      </c>
      <c r="W42" s="39">
        <f t="shared" si="13"/>
        <v>-2991342.47</v>
      </c>
      <c r="X42" s="61">
        <f t="shared" si="13"/>
        <v>-1875352</v>
      </c>
      <c r="Y42" s="39">
        <f t="shared" si="13"/>
        <v>-2994968.6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-7719450</v>
      </c>
      <c r="E43" s="39">
        <f t="shared" si="14"/>
        <v>-17053685.030000001</v>
      </c>
      <c r="F43" s="61">
        <f t="shared" si="14"/>
        <v>0</v>
      </c>
      <c r="G43" s="39">
        <f t="shared" si="14"/>
        <v>0</v>
      </c>
      <c r="H43" s="61">
        <f t="shared" si="14"/>
        <v>-3453685</v>
      </c>
      <c r="I43" s="39">
        <f t="shared" si="14"/>
        <v>-8713585.1399999987</v>
      </c>
      <c r="J43" s="61">
        <f t="shared" ref="J43:AO43" si="15">J42+J39</f>
        <v>110330</v>
      </c>
      <c r="K43" s="39">
        <f t="shared" si="15"/>
        <v>273535.69</v>
      </c>
      <c r="L43" s="61">
        <f t="shared" si="15"/>
        <v>-493069</v>
      </c>
      <c r="M43" s="39">
        <f t="shared" si="15"/>
        <v>-808244.53</v>
      </c>
      <c r="N43" s="61">
        <f>N42+N39</f>
        <v>-268386</v>
      </c>
      <c r="O43" s="39">
        <f>O42+O39</f>
        <v>-682045.15</v>
      </c>
      <c r="P43" s="61">
        <f>P42+P39</f>
        <v>0</v>
      </c>
      <c r="Q43" s="39">
        <f>Q42+Q39</f>
        <v>0</v>
      </c>
      <c r="R43" s="61">
        <f t="shared" si="15"/>
        <v>-244612</v>
      </c>
      <c r="S43" s="39">
        <f t="shared" si="15"/>
        <v>-582332.89</v>
      </c>
      <c r="T43" s="61">
        <f t="shared" si="15"/>
        <v>-308071</v>
      </c>
      <c r="U43" s="39">
        <f t="shared" si="15"/>
        <v>-554701.93999999994</v>
      </c>
      <c r="V43" s="61">
        <f t="shared" si="15"/>
        <v>-1186605</v>
      </c>
      <c r="W43" s="39">
        <f t="shared" si="15"/>
        <v>-2991342.47</v>
      </c>
      <c r="X43" s="61">
        <f t="shared" si="15"/>
        <v>-1875352</v>
      </c>
      <c r="Y43" s="39">
        <f t="shared" si="15"/>
        <v>-2994968.6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-2489843</v>
      </c>
      <c r="E49" s="38">
        <f>SUM(G49,I49,K49,M49,O49,Q49,S49,U49,W49,Y49,AA49,AC49,AE49)</f>
        <v>-5843661.5299999965</v>
      </c>
      <c r="F49" s="60">
        <f>'TIE-OUT'!J49+RECLASS!H49</f>
        <v>0</v>
      </c>
      <c r="G49" s="38">
        <f>'TIE-OUT'!K49+RECLASS!I49</f>
        <v>0</v>
      </c>
      <c r="H49" s="118">
        <f>+Actuals!E265</f>
        <v>-3935359</v>
      </c>
      <c r="I49" s="119">
        <f>+Actuals!F265</f>
        <v>-9236287.5730000008</v>
      </c>
      <c r="J49" s="118">
        <f>+Actuals!G265</f>
        <v>-5871199</v>
      </c>
      <c r="K49" s="119">
        <f>+Actuals!H265</f>
        <v>-13779704.052999998</v>
      </c>
      <c r="L49" s="118">
        <f>+Actuals!I265</f>
        <v>8639076</v>
      </c>
      <c r="M49" s="119">
        <f>+Actuals!J265</f>
        <v>20275911.372000001</v>
      </c>
      <c r="N49" s="118">
        <f>+Actuals!K265</f>
        <v>-1223479</v>
      </c>
      <c r="O49" s="119">
        <f>+Actuals!L265</f>
        <v>-2871505.213</v>
      </c>
      <c r="P49" s="118">
        <f>+Actuals!M265</f>
        <v>1811082</v>
      </c>
      <c r="Q49" s="119">
        <f>+Actuals!N265</f>
        <v>4250609.4539999999</v>
      </c>
      <c r="R49" s="118">
        <f>+Actuals!O265</f>
        <v>-1263851</v>
      </c>
      <c r="S49" s="119">
        <f>+Actuals!P265</f>
        <v>-2966258.2969999998</v>
      </c>
      <c r="T49" s="118">
        <v>135349</v>
      </c>
      <c r="U49" s="119">
        <v>317664.09999999998</v>
      </c>
      <c r="V49" s="118">
        <v>-333245</v>
      </c>
      <c r="W49" s="119">
        <v>-782126.02</v>
      </c>
      <c r="X49" s="118">
        <v>-448217</v>
      </c>
      <c r="Y49" s="119">
        <v>-1051965.3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-501191</v>
      </c>
      <c r="E51" s="38">
        <f>SUM(G51,I51,K51,M51,O51,Q51,S51,U51,W51,Y51,AA51,AC51,AE51)</f>
        <v>-1176295.2700000003</v>
      </c>
      <c r="F51" s="60">
        <f>'TIE-OUT'!J51+RECLASS!H51</f>
        <v>0</v>
      </c>
      <c r="G51" s="38">
        <f>'TIE-OUT'!K51+RECLASS!I51</f>
        <v>0</v>
      </c>
      <c r="H51" s="118">
        <f>+Actuals!E266</f>
        <v>-1597692</v>
      </c>
      <c r="I51" s="119">
        <f>+Actuals!F266</f>
        <v>-3749783.1239999998</v>
      </c>
      <c r="J51" s="118">
        <f>+Actuals!G266</f>
        <v>-80718</v>
      </c>
      <c r="K51" s="119">
        <f>+Actuals!H266</f>
        <v>-189445.14600000001</v>
      </c>
      <c r="L51" s="118">
        <f>+Actuals!I266</f>
        <v>28325</v>
      </c>
      <c r="M51" s="119">
        <f>+Actuals!J266</f>
        <v>66478.774999999994</v>
      </c>
      <c r="N51" s="118">
        <f>+Actuals!K266</f>
        <v>-520545</v>
      </c>
      <c r="O51" s="119">
        <f>+Actuals!L266</f>
        <v>-1221719.115</v>
      </c>
      <c r="P51" s="118">
        <f>+Actuals!M266</f>
        <v>1570693</v>
      </c>
      <c r="Q51" s="119">
        <f>+Actuals!N266</f>
        <v>3686416.4709999999</v>
      </c>
      <c r="R51" s="118">
        <f>+Actuals!O266</f>
        <v>-5493</v>
      </c>
      <c r="S51" s="119">
        <f>+Actuals!P266</f>
        <v>-12892.071</v>
      </c>
      <c r="T51" s="118">
        <v>102805</v>
      </c>
      <c r="U51" s="119">
        <v>241283.34</v>
      </c>
      <c r="V51" s="118">
        <v>1438</v>
      </c>
      <c r="W51" s="119">
        <v>3374.99</v>
      </c>
      <c r="X51" s="118">
        <v>-4</v>
      </c>
      <c r="Y51" s="119">
        <v>-9.39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-141297509</v>
      </c>
      <c r="E54" s="38">
        <f>SUM(G54,I54,K54,M54,O54,Q54,S54,U54,W54,Y54,AA54,AC54,AE54)</f>
        <v>-2271224.91</v>
      </c>
      <c r="F54" s="64">
        <f>'TIE-OUT'!J54+RECLASS!H54</f>
        <v>0</v>
      </c>
      <c r="G54" s="68">
        <f>'TIE-OUT'!K54+RECLASS!I54</f>
        <v>108584</v>
      </c>
      <c r="H54" s="118">
        <f>+Actuals!E267</f>
        <v>-157687723</v>
      </c>
      <c r="I54" s="119">
        <f>+Actuals!F267</f>
        <v>-2362930</v>
      </c>
      <c r="J54" s="118">
        <f>+Actuals!G267</f>
        <v>28139750</v>
      </c>
      <c r="K54" s="119">
        <f>+Actuals!H267</f>
        <v>1049202.02</v>
      </c>
      <c r="L54" s="118">
        <f>+Actuals!I267</f>
        <v>-1173052</v>
      </c>
      <c r="M54" s="119">
        <f>+Actuals!J267</f>
        <v>-1656853.35</v>
      </c>
      <c r="N54" s="118">
        <f>+Actuals!K267</f>
        <v>-1059727</v>
      </c>
      <c r="O54" s="119">
        <f>+Actuals!L267</f>
        <v>-56713.25</v>
      </c>
      <c r="P54" s="118">
        <f>+Actuals!M267</f>
        <v>-8398484</v>
      </c>
      <c r="Q54" s="119">
        <f>+Actuals!N267</f>
        <v>-218497.97</v>
      </c>
      <c r="R54" s="118">
        <f>+Actuals!O267</f>
        <v>-175837</v>
      </c>
      <c r="S54" s="119">
        <f>+Actuals!P267</f>
        <v>941283.21</v>
      </c>
      <c r="T54" s="118">
        <v>-158738</v>
      </c>
      <c r="U54" s="119">
        <v>-85145.37</v>
      </c>
      <c r="V54" s="118">
        <v>-213720</v>
      </c>
      <c r="W54" s="119">
        <v>12721.68</v>
      </c>
      <c r="X54" s="118">
        <v>-569978</v>
      </c>
      <c r="Y54" s="119">
        <f>-2966.88+91</f>
        <v>-2875.88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-7173409.660000002</v>
      </c>
      <c r="F55" s="81">
        <f>'TIE-OUT'!J55+RECLASS!H55</f>
        <v>0</v>
      </c>
      <c r="G55" s="82">
        <f>'TIE-OUT'!K55+RECLASS!I55</f>
        <v>37782</v>
      </c>
      <c r="H55" s="118">
        <f>+Actuals!E268</f>
        <v>0</v>
      </c>
      <c r="I55" s="119">
        <f>+Actuals!F268</f>
        <v>-6131068.8900000006</v>
      </c>
      <c r="J55" s="118">
        <f>+Actuals!G268</f>
        <v>0</v>
      </c>
      <c r="K55" s="119">
        <f>+Actuals!H268</f>
        <v>-608301.96</v>
      </c>
      <c r="L55" s="118">
        <f>+Actuals!I268</f>
        <v>0</v>
      </c>
      <c r="M55" s="119">
        <f>+Actuals!J268</f>
        <v>-265948.82</v>
      </c>
      <c r="N55" s="118">
        <f>+Actuals!K268</f>
        <v>0</v>
      </c>
      <c r="O55" s="119">
        <f>+Actuals!L268</f>
        <v>5495.45</v>
      </c>
      <c r="P55" s="118">
        <f>+Actuals!M268</f>
        <v>0</v>
      </c>
      <c r="Q55" s="119">
        <f>+Actuals!N268</f>
        <v>-5072.4399999999996</v>
      </c>
      <c r="R55" s="118">
        <f>+Actuals!O268</f>
        <v>0</v>
      </c>
      <c r="S55" s="119">
        <f>+Actuals!P268</f>
        <v>-206592.48</v>
      </c>
      <c r="T55" s="118">
        <f>+Actuals!Q268</f>
        <v>0</v>
      </c>
      <c r="U55" s="119">
        <v>687.88</v>
      </c>
      <c r="V55" s="118">
        <f>+Actuals!S268</f>
        <v>0</v>
      </c>
      <c r="W55" s="119">
        <v>-50</v>
      </c>
      <c r="X55" s="118">
        <f>+Actuals!U268</f>
        <v>0</v>
      </c>
      <c r="Y55" s="119">
        <f>-471.88+131.48</f>
        <v>-340.4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-141297509</v>
      </c>
      <c r="E56" s="39">
        <f t="shared" si="16"/>
        <v>-9444634.5700000022</v>
      </c>
      <c r="F56" s="61">
        <f t="shared" si="16"/>
        <v>0</v>
      </c>
      <c r="G56" s="39">
        <f t="shared" si="16"/>
        <v>146366</v>
      </c>
      <c r="H56" s="61">
        <f t="shared" si="16"/>
        <v>-157687723</v>
      </c>
      <c r="I56" s="39">
        <f t="shared" si="16"/>
        <v>-8493998.8900000006</v>
      </c>
      <c r="J56" s="61">
        <f t="shared" ref="J56:AO56" si="17">SUM(J54:J55)</f>
        <v>28139750</v>
      </c>
      <c r="K56" s="39">
        <f t="shared" si="17"/>
        <v>440900.06000000006</v>
      </c>
      <c r="L56" s="61">
        <f t="shared" si="17"/>
        <v>-1173052</v>
      </c>
      <c r="M56" s="39">
        <f t="shared" si="17"/>
        <v>-1922802.1700000002</v>
      </c>
      <c r="N56" s="61">
        <f>SUM(N54:N55)</f>
        <v>-1059727</v>
      </c>
      <c r="O56" s="39">
        <f>SUM(O54:O55)</f>
        <v>-51217.8</v>
      </c>
      <c r="P56" s="61">
        <f>SUM(P54:P55)</f>
        <v>-8398484</v>
      </c>
      <c r="Q56" s="39">
        <f>SUM(Q54:Q55)</f>
        <v>-223570.41</v>
      </c>
      <c r="R56" s="61">
        <f t="shared" si="17"/>
        <v>-175837</v>
      </c>
      <c r="S56" s="39">
        <f t="shared" si="17"/>
        <v>734690.73</v>
      </c>
      <c r="T56" s="61">
        <f t="shared" si="17"/>
        <v>-158738</v>
      </c>
      <c r="U56" s="39">
        <f t="shared" si="17"/>
        <v>-84457.489999999991</v>
      </c>
      <c r="V56" s="61">
        <f t="shared" si="17"/>
        <v>-213720</v>
      </c>
      <c r="W56" s="39">
        <f t="shared" si="17"/>
        <v>12671.68</v>
      </c>
      <c r="X56" s="61">
        <f t="shared" si="17"/>
        <v>-569978</v>
      </c>
      <c r="Y56" s="39">
        <f t="shared" si="17"/>
        <v>-3216.28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65182.55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66216</v>
      </c>
      <c r="J59" s="118">
        <f>+Actuals!G269</f>
        <v>0</v>
      </c>
      <c r="K59" s="119">
        <f>+Actuals!H269</f>
        <v>-19359.169999999998</v>
      </c>
      <c r="L59" s="118">
        <f>+Actuals!I269</f>
        <v>0</v>
      </c>
      <c r="M59" s="119">
        <f>+Actuals!J269</f>
        <v>18325.72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65182.55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66216</v>
      </c>
      <c r="J61" s="61">
        <f t="shared" ref="J61:AO61" si="19">SUM(J59:J60)</f>
        <v>0</v>
      </c>
      <c r="K61" s="39">
        <f t="shared" si="19"/>
        <v>-19359.169999999998</v>
      </c>
      <c r="L61" s="61">
        <f t="shared" si="19"/>
        <v>0</v>
      </c>
      <c r="M61" s="39">
        <f t="shared" si="19"/>
        <v>18325.72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13133657.73</v>
      </c>
      <c r="F70" s="64">
        <f>'TIE-OUT'!J70+RECLASS!H70</f>
        <v>0</v>
      </c>
      <c r="G70" s="68">
        <f>'TIE-OUT'!K70+RECLASS!I70</f>
        <v>13133657.73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-5194257</v>
      </c>
      <c r="F71" s="81">
        <f>'TIE-OUT'!J71+RECLASS!H71</f>
        <v>0</v>
      </c>
      <c r="G71" s="82">
        <f>'TIE-OUT'!K71+RECLASS!I71</f>
        <v>-5194257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7939400.7300000004</v>
      </c>
      <c r="F72" s="61">
        <f t="shared" si="22"/>
        <v>0</v>
      </c>
      <c r="G72" s="39">
        <f t="shared" si="22"/>
        <v>7939400.7300000004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-6778831.620000001</v>
      </c>
      <c r="F74" s="60">
        <f>'TIE-OUT'!J74+RECLASS!H74</f>
        <v>0</v>
      </c>
      <c r="G74" s="60">
        <f>'TIE-OUT'!K74+RECLASS!I74</f>
        <v>-25237118.350000001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119">
        <f>+Actuals!H276</f>
        <v>0</v>
      </c>
      <c r="L74" s="118">
        <f>+Actuals!I276</f>
        <v>0</v>
      </c>
      <c r="M74" s="215">
        <f>+Actuals!J276+3305202+1370683+3043953+4117207.5+6056175+3881.28+625394.11</f>
        <v>18522495.890000001</v>
      </c>
      <c r="N74" s="118">
        <f>+Actuals!K276</f>
        <v>0</v>
      </c>
      <c r="O74" s="119">
        <f>+Actuals!L276-1479.16-115938+53208</f>
        <v>-64209.16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323400</v>
      </c>
      <c r="F75" s="60">
        <f>'TIE-OUT'!J75+RECLASS!H75</f>
        <v>0</v>
      </c>
      <c r="G75" s="60">
        <f>'TIE-OUT'!K75+RECLASS!I75</f>
        <v>323400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435.78999999999996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-8979.5400000000009</v>
      </c>
      <c r="J76" s="118">
        <f>+Actuals!G278</f>
        <v>0</v>
      </c>
      <c r="K76" s="119">
        <f>+Actuals!H278</f>
        <v>-3678.71</v>
      </c>
      <c r="L76" s="118">
        <f>+Actuals!I278</f>
        <v>0</v>
      </c>
      <c r="M76" s="119">
        <f>+Actuals!J278</f>
        <v>7129.76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5964.28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-2658334</v>
      </c>
      <c r="F77" s="60">
        <f>'TIE-OUT'!J77+RECLASS!H77</f>
        <v>0</v>
      </c>
      <c r="G77" s="60">
        <f>'TIE-OUT'!K77+RECLASS!I77</f>
        <v>-2658334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25279</v>
      </c>
      <c r="F78" s="60">
        <f>'TIE-OUT'!J78+RECLASS!H78</f>
        <v>0</v>
      </c>
      <c r="G78" s="60">
        <f>'TIE-OUT'!K78+RECLASS!I78</f>
        <v>25279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-0.41000000000349246</v>
      </c>
      <c r="F81" s="60">
        <f>'TIE-OUT'!J81+RECLASS!H81</f>
        <v>0</v>
      </c>
      <c r="G81" s="60">
        <f>'TIE-OUT'!K81+RECLASS!I81</f>
        <v>-226414</v>
      </c>
      <c r="H81" s="118">
        <f>+Actuals!E283</f>
        <v>0</v>
      </c>
      <c r="I81" s="119">
        <f>+Actuals!F283</f>
        <v>201134.56</v>
      </c>
      <c r="J81" s="118">
        <f>+Actuals!G283</f>
        <v>0</v>
      </c>
      <c r="K81" s="119">
        <f>+Actuals!H283</f>
        <v>25279.03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8476278.0990000013</v>
      </c>
      <c r="F82" s="91">
        <f>F16+F24+F29+F36+F43+F45+F47+F49</f>
        <v>0</v>
      </c>
      <c r="G82" s="92">
        <f>SUM(G72:G81)+G16+G24+G29+G36+G43+G45+G47+G49+G51+G56+G61+G66</f>
        <v>-37752908.469999999</v>
      </c>
      <c r="H82" s="91">
        <f>H16+H24+H29+H36+H43+H45+H47+H49</f>
        <v>0</v>
      </c>
      <c r="I82" s="92">
        <f>SUM(I72:I81)+I16+I24+I29+I36+I43+I45+I47+I49+I51+I56+I61+I66</f>
        <v>10691469.334999859</v>
      </c>
      <c r="J82" s="91">
        <f>J16+J24+J29+J36+J43+J45+J47+J49</f>
        <v>0</v>
      </c>
      <c r="K82" s="137">
        <f>SUM(K72:K81)+K16+K24+K29+K36+K43+K45+K47+K49+K51+K56+K61+K66</f>
        <v>4309407.8249999871</v>
      </c>
      <c r="L82" s="91">
        <f>L16+L24+L29+L36+L43+L45+L47+L49</f>
        <v>0</v>
      </c>
      <c r="M82" s="92">
        <f>SUM(M72:M81)+M16+M24+M29+M36+M43+M45+M47+M49+M51+M56+M61+M66</f>
        <v>19905590.467999998</v>
      </c>
      <c r="N82" s="91">
        <f>N16+N24+N29+N36+N43+N45+N47+N49</f>
        <v>0</v>
      </c>
      <c r="O82" s="92">
        <f>SUM(O72:O81)+O16+O24+O29+O36+O43+O45+O47+O49+O51+O56+O61+O66</f>
        <v>5756406.4639999988</v>
      </c>
      <c r="P82" s="91">
        <f>P16+P24+P29+P36+P43+P45+P47+P49</f>
        <v>0</v>
      </c>
      <c r="Q82" s="92">
        <f>SUM(Q72:Q81)+Q16+Q24+Q29+Q36+Q43+Q45+Q47+Q49+Q51+Q56+Q61+Q66</f>
        <v>2126010.8979999991</v>
      </c>
      <c r="R82" s="91">
        <f>R16+R24+R29+R36+R43+R45+R47+R49</f>
        <v>0</v>
      </c>
      <c r="S82" s="92">
        <f>SUM(S72:S81)+S16+S24+S29+S36+S43+S45+S47+S49+S51+S56+S61+S66</f>
        <v>3324865.4789999998</v>
      </c>
      <c r="T82" s="91">
        <f>T16+T24+T29+T36+T43+T45+T47+T49</f>
        <v>0</v>
      </c>
      <c r="U82" s="92">
        <f>SUM(U72:U81)+U16+U24+U29+U36+U43+U45+U47+U49+U51+U56+U61+U66</f>
        <v>-887562.12000000034</v>
      </c>
      <c r="V82" s="91">
        <f>V16+V24+V29+V36+V43+V45+V47+V49</f>
        <v>0</v>
      </c>
      <c r="W82" s="92">
        <f>SUM(W72:W81)+W16+W24+W29+W36+W43+W45+W47+W49+W51+W56+W61+W66</f>
        <v>-525773.87</v>
      </c>
      <c r="X82" s="91">
        <f>X16+X24+X29+X36+X43+X45+X47+X49</f>
        <v>0</v>
      </c>
      <c r="Y82" s="92">
        <f>SUM(Y72:Y81)+Y16+Y24+Y29+Y36+Y43+Y45+Y47+Y49+Y51+Y56+Y61+Y66</f>
        <v>1528772.09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477103</v>
      </c>
      <c r="F86" s="145">
        <f>'TIE-OUT'!J86+RECLASS!H86</f>
        <v>0</v>
      </c>
      <c r="G86" s="145">
        <f>'TIE-OUT'!K86+RECLASS!I86</f>
        <v>477103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477103</v>
      </c>
      <c r="F89" s="160">
        <f t="shared" si="26"/>
        <v>0</v>
      </c>
      <c r="G89" s="160">
        <f t="shared" si="26"/>
        <v>477103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8953381.0990000013</v>
      </c>
      <c r="F91" s="160">
        <f t="shared" si="29"/>
        <v>0</v>
      </c>
      <c r="G91" s="160">
        <f t="shared" si="29"/>
        <v>-37275805.469999999</v>
      </c>
      <c r="H91" s="160">
        <f t="shared" si="29"/>
        <v>0</v>
      </c>
      <c r="I91" s="160">
        <f t="shared" si="29"/>
        <v>10691469.334999859</v>
      </c>
      <c r="J91" s="160">
        <f t="shared" si="29"/>
        <v>0</v>
      </c>
      <c r="K91" s="160">
        <f t="shared" si="29"/>
        <v>4309407.8249999871</v>
      </c>
      <c r="L91" s="160">
        <f t="shared" si="29"/>
        <v>0</v>
      </c>
      <c r="M91" s="160">
        <f t="shared" si="29"/>
        <v>19905590.467999998</v>
      </c>
      <c r="N91" s="160">
        <f t="shared" ref="N91:AE91" si="30">+N82+N89</f>
        <v>0</v>
      </c>
      <c r="O91" s="160">
        <f t="shared" si="30"/>
        <v>5756406.4639999988</v>
      </c>
      <c r="P91" s="160">
        <f t="shared" si="30"/>
        <v>0</v>
      </c>
      <c r="Q91" s="160">
        <f t="shared" si="30"/>
        <v>2126010.8979999991</v>
      </c>
      <c r="R91" s="160">
        <f t="shared" si="30"/>
        <v>0</v>
      </c>
      <c r="S91" s="160">
        <f t="shared" si="30"/>
        <v>3324865.4789999998</v>
      </c>
      <c r="T91" s="160">
        <f t="shared" si="30"/>
        <v>0</v>
      </c>
      <c r="U91" s="160">
        <f t="shared" si="30"/>
        <v>-887562.12000000034</v>
      </c>
      <c r="V91" s="160">
        <f t="shared" si="30"/>
        <v>0</v>
      </c>
      <c r="W91" s="160">
        <f t="shared" si="30"/>
        <v>-525773.87</v>
      </c>
      <c r="X91" s="160">
        <f t="shared" si="30"/>
        <v>0</v>
      </c>
      <c r="Y91" s="160">
        <f t="shared" si="30"/>
        <v>1528772.09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Q79" activePane="bottomRight" state="frozen"/>
      <selection activeCell="X9" sqref="X9"/>
      <selection pane="topRight" activeCell="X9" sqref="X9"/>
      <selection pane="bottomLeft" activeCell="X9" sqref="X9"/>
      <selection pane="bottomRight" activeCell="X103" sqref="X10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25" width="15.44140625" customWidth="1"/>
    <col min="26" max="41" width="15.44140625" hidden="1" customWidth="1"/>
    <col min="42" max="44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8645984</v>
      </c>
      <c r="E11" s="38">
        <f>SUM(G11,I11,K11,M11,O11,Q11,S11,U11,W11,Y11,AA11,AC11,AE11)</f>
        <v>21017318.75</v>
      </c>
      <c r="F11" s="58">
        <f>'TIE-OUT'!L11+RECLASS!J11</f>
        <v>0</v>
      </c>
      <c r="G11" s="15">
        <f>'TIE-OUT'!M11+RECLASS!K11</f>
        <v>0</v>
      </c>
      <c r="H11" s="118">
        <f>+Actuals!E44</f>
        <v>8693022</v>
      </c>
      <c r="I11" s="119">
        <f>+Actuals!F44</f>
        <v>21002770.84</v>
      </c>
      <c r="J11" s="118">
        <f>+Actuals!G44</f>
        <v>-54467</v>
      </c>
      <c r="K11" s="119">
        <f>+Actuals!H44</f>
        <v>10689.76</v>
      </c>
      <c r="L11" s="118">
        <f>+Actuals!I44+6952</f>
        <v>7463</v>
      </c>
      <c r="M11" s="119">
        <f>+Actuals!J44+16533</f>
        <v>3941.7900000000009</v>
      </c>
      <c r="N11" s="118">
        <f>+Actuals!K44</f>
        <v>-34</v>
      </c>
      <c r="O11" s="119">
        <f>+Actuals!L44</f>
        <v>-83.64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11664.26999999999</v>
      </c>
      <c r="F12" s="58">
        <f>'TIE-OUT'!L12+RECLASS!J12</f>
        <v>0</v>
      </c>
      <c r="G12" s="15">
        <f>'TIE-OUT'!M12+RECLASS!K12</f>
        <v>11664.26999999999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8645984</v>
      </c>
      <c r="E16" s="39">
        <f t="shared" si="1"/>
        <v>21028983.02</v>
      </c>
      <c r="F16" s="59">
        <f t="shared" si="1"/>
        <v>0</v>
      </c>
      <c r="G16" s="23">
        <f t="shared" si="1"/>
        <v>11664.26999999999</v>
      </c>
      <c r="H16" s="61">
        <f t="shared" si="1"/>
        <v>8693022</v>
      </c>
      <c r="I16" s="39">
        <f t="shared" si="1"/>
        <v>21002770.84</v>
      </c>
      <c r="J16" s="61">
        <f t="shared" ref="J16:AO16" si="2">SUM(J11:J15)</f>
        <v>-54467</v>
      </c>
      <c r="K16" s="39">
        <f t="shared" si="2"/>
        <v>10689.76</v>
      </c>
      <c r="L16" s="61">
        <f t="shared" si="2"/>
        <v>7463</v>
      </c>
      <c r="M16" s="39">
        <f t="shared" si="2"/>
        <v>3941.7900000000009</v>
      </c>
      <c r="N16" s="61">
        <f>SUM(N11:N15)</f>
        <v>-34</v>
      </c>
      <c r="O16" s="39">
        <f>SUM(O11:O15)</f>
        <v>-83.64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-1385221</v>
      </c>
      <c r="E19" s="38">
        <f t="shared" si="3"/>
        <v>-3264588.6900000004</v>
      </c>
      <c r="F19" s="84">
        <f>'TIE-OUT'!L19+RECLASS!J19</f>
        <v>0</v>
      </c>
      <c r="G19" s="85">
        <f>'TIE-OUT'!M19+RECLASS!K19</f>
        <v>0</v>
      </c>
      <c r="H19" s="118">
        <f>+Actuals!E49</f>
        <v>-3770769</v>
      </c>
      <c r="I19" s="119">
        <f>+Actuals!F49</f>
        <v>-8869097.4100000001</v>
      </c>
      <c r="J19" s="118">
        <f>+Actuals!G49+6700</f>
        <v>2399322</v>
      </c>
      <c r="K19" s="119">
        <f>+Actuals!H49+15945</f>
        <v>5622066.1099999994</v>
      </c>
      <c r="L19" s="118">
        <f>+Actuals!I49</f>
        <v>-280</v>
      </c>
      <c r="M19" s="119">
        <f>+Actuals!J49</f>
        <v>-1396.13</v>
      </c>
      <c r="N19" s="118">
        <f>+Actuals!K49-6700</f>
        <v>-6794</v>
      </c>
      <c r="O19" s="119">
        <f>+Actuals!L49-15946</f>
        <v>-16161.26</v>
      </c>
      <c r="P19" s="118">
        <f>+Actuals!M49-6700</f>
        <v>-6700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-32517</v>
      </c>
      <c r="E23" s="38">
        <f t="shared" si="3"/>
        <v>-73769.26999999999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42131</v>
      </c>
      <c r="K23" s="119">
        <f>+Actuals!H53</f>
        <v>101281.61</v>
      </c>
      <c r="L23" s="118">
        <f>+Actuals!I53</f>
        <v>42121</v>
      </c>
      <c r="M23" s="119">
        <f>+Actuals!J53</f>
        <v>101258.71</v>
      </c>
      <c r="N23" s="118">
        <f>+Actuals!K53</f>
        <v>-110645</v>
      </c>
      <c r="O23" s="119">
        <f>+Actuals!L53</f>
        <v>-260234.09</v>
      </c>
      <c r="P23" s="118">
        <f>+Actuals!M53</f>
        <v>0</v>
      </c>
      <c r="Q23" s="119">
        <f>+Actuals!N53</f>
        <v>0</v>
      </c>
      <c r="R23" s="118">
        <f>+Actuals!O53</f>
        <v>-6124</v>
      </c>
      <c r="S23" s="119">
        <f>+Actuals!P53</f>
        <v>-16075.5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-1417738</v>
      </c>
      <c r="E24" s="39">
        <f t="shared" si="4"/>
        <v>-3338357.9600000004</v>
      </c>
      <c r="F24" s="59">
        <f t="shared" si="4"/>
        <v>0</v>
      </c>
      <c r="G24" s="23">
        <f t="shared" si="4"/>
        <v>0</v>
      </c>
      <c r="H24" s="61">
        <f t="shared" si="4"/>
        <v>-3770769</v>
      </c>
      <c r="I24" s="39">
        <f t="shared" si="4"/>
        <v>-8869097.4100000001</v>
      </c>
      <c r="J24" s="61">
        <f t="shared" ref="J24:AO24" si="5">SUM(J19:J23)</f>
        <v>2441453</v>
      </c>
      <c r="K24" s="39">
        <f t="shared" si="5"/>
        <v>5723347.7199999997</v>
      </c>
      <c r="L24" s="61">
        <f t="shared" si="5"/>
        <v>41841</v>
      </c>
      <c r="M24" s="39">
        <f t="shared" si="5"/>
        <v>99862.58</v>
      </c>
      <c r="N24" s="61">
        <f>SUM(N19:N23)</f>
        <v>-117439</v>
      </c>
      <c r="O24" s="39">
        <f>SUM(O19:O23)</f>
        <v>-276395.34999999998</v>
      </c>
      <c r="P24" s="61">
        <f>SUM(P19:P23)</f>
        <v>-6700</v>
      </c>
      <c r="Q24" s="39">
        <f>SUM(Q19:Q23)</f>
        <v>0</v>
      </c>
      <c r="R24" s="61">
        <f t="shared" si="5"/>
        <v>-6124</v>
      </c>
      <c r="S24" s="39">
        <f t="shared" si="5"/>
        <v>-16075.5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6697543</v>
      </c>
      <c r="E27" s="38">
        <f>SUM(G27,I27,K27,M27,O27,Q27,S27,U27,W27,Y27,AA27,AC27,AE27)</f>
        <v>16237481.469999999</v>
      </c>
      <c r="F27" s="84">
        <f>'TIE-OUT'!L27+RECLASS!J27</f>
        <v>0</v>
      </c>
      <c r="G27" s="85">
        <f>'TIE-OUT'!M27+RECLASS!K27</f>
        <v>0</v>
      </c>
      <c r="H27" s="118">
        <f>+Actuals!E54+5287</f>
        <v>7742898</v>
      </c>
      <c r="I27" s="119">
        <f>+Actuals!F54+12229</f>
        <v>18892642.34</v>
      </c>
      <c r="J27" s="118">
        <f>+Actuals!G54-780</f>
        <v>-479710</v>
      </c>
      <c r="K27" s="119">
        <f>+Actuals!H54-1138</f>
        <v>-1279188.73</v>
      </c>
      <c r="L27" s="118">
        <f>+Actuals!I54-4507</f>
        <v>-543542</v>
      </c>
      <c r="M27" s="119">
        <f>+Actuals!J54-11091</f>
        <v>-1338376.26</v>
      </c>
      <c r="N27" s="118">
        <f>+Actuals!K54</f>
        <v>13610</v>
      </c>
      <c r="O27" s="119">
        <f>+Actuals!L54</f>
        <v>55479.19</v>
      </c>
      <c r="P27" s="118">
        <f>+Actuals!M54</f>
        <v>-35713</v>
      </c>
      <c r="Q27" s="119">
        <f>+Actuals!N54</f>
        <v>-93075.07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-11486824</v>
      </c>
      <c r="E28" s="38">
        <f>SUM(G28,I28,K28,M28,O28,Q28,S28,U28,W28,Y28,AA28,AC28,AE28)</f>
        <v>-27617646.07</v>
      </c>
      <c r="F28" s="97">
        <f>'TIE-OUT'!L28+RECLASS!J28</f>
        <v>0</v>
      </c>
      <c r="G28" s="98">
        <f>'TIE-OUT'!M28+RECLASS!K28</f>
        <v>0</v>
      </c>
      <c r="H28" s="118">
        <f>+Actuals!E55-5287</f>
        <v>-12490031</v>
      </c>
      <c r="I28" s="119">
        <f>+Actuals!F55-12229</f>
        <v>-30084137</v>
      </c>
      <c r="J28" s="118">
        <f>+Actuals!G55-5920</f>
        <v>437502</v>
      </c>
      <c r="K28" s="119">
        <f>+Actuals!H55-14807</f>
        <v>1101283.1399999999</v>
      </c>
      <c r="L28" s="118">
        <f>+Actuals!I55-2445</f>
        <v>534027</v>
      </c>
      <c r="M28" s="119">
        <f>+Actuals!J55-5442</f>
        <v>1322454.8799999999</v>
      </c>
      <c r="N28" s="118">
        <f>+Actuals!K55+6700</f>
        <v>28793</v>
      </c>
      <c r="O28" s="119">
        <f>+Actuals!L55+15946</f>
        <v>53518.98</v>
      </c>
      <c r="P28" s="118">
        <f>+Actuals!M55+6700</f>
        <v>2885</v>
      </c>
      <c r="Q28" s="119">
        <f>+Actuals!N55</f>
        <v>-10766.07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-4789281</v>
      </c>
      <c r="E29" s="39">
        <f t="shared" si="6"/>
        <v>-11380164.600000001</v>
      </c>
      <c r="F29" s="59">
        <f t="shared" si="6"/>
        <v>0</v>
      </c>
      <c r="G29" s="23">
        <f t="shared" si="6"/>
        <v>0</v>
      </c>
      <c r="H29" s="61">
        <f t="shared" si="6"/>
        <v>-4747133</v>
      </c>
      <c r="I29" s="39">
        <f t="shared" si="6"/>
        <v>-11191494.66</v>
      </c>
      <c r="J29" s="61">
        <f t="shared" ref="J29:AO29" si="7">SUM(J27:J28)</f>
        <v>-42208</v>
      </c>
      <c r="K29" s="39">
        <f t="shared" si="7"/>
        <v>-177905.59000000008</v>
      </c>
      <c r="L29" s="61">
        <f t="shared" si="7"/>
        <v>-9515</v>
      </c>
      <c r="M29" s="39">
        <f t="shared" si="7"/>
        <v>-15921.380000000121</v>
      </c>
      <c r="N29" s="61">
        <f>SUM(N27:N28)</f>
        <v>42403</v>
      </c>
      <c r="O29" s="39">
        <f>SUM(O27:O28)</f>
        <v>108998.17000000001</v>
      </c>
      <c r="P29" s="61">
        <f>SUM(P27:P28)</f>
        <v>-32828</v>
      </c>
      <c r="Q29" s="39">
        <f>SUM(Q27:Q28)</f>
        <v>-103841.14000000001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-115961</v>
      </c>
      <c r="E32" s="38">
        <f t="shared" si="8"/>
        <v>-272160.45899999997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-176357</v>
      </c>
      <c r="K32" s="119">
        <f>+Actuals!H56</f>
        <v>-413909.87599999999</v>
      </c>
      <c r="L32" s="118">
        <f>+Actuals!I56</f>
        <v>-26899</v>
      </c>
      <c r="M32" s="119">
        <f>+Actuals!J56</f>
        <v>-63131.953000000001</v>
      </c>
      <c r="N32" s="118">
        <f>+Actuals!K56</f>
        <v>68514</v>
      </c>
      <c r="O32" s="119">
        <f>+Actuals!L56</f>
        <v>160802.35999999999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v>18781</v>
      </c>
      <c r="Y32" s="119">
        <v>44079.01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-18781</v>
      </c>
      <c r="E33" s="38">
        <f t="shared" si="8"/>
        <v>-43947.54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v>-18781</v>
      </c>
      <c r="Y33" s="119">
        <v>-43947.54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-134742</v>
      </c>
      <c r="E36" s="39">
        <f t="shared" si="9"/>
        <v>-316107.99899999995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-176357</v>
      </c>
      <c r="K36" s="39">
        <f t="shared" si="10"/>
        <v>-413909.87599999999</v>
      </c>
      <c r="L36" s="61">
        <f t="shared" si="10"/>
        <v>-26899</v>
      </c>
      <c r="M36" s="39">
        <f t="shared" si="10"/>
        <v>-63131.953000000001</v>
      </c>
      <c r="N36" s="61">
        <f>SUM(N32:N35)</f>
        <v>68514</v>
      </c>
      <c r="O36" s="39">
        <f>SUM(O32:O35)</f>
        <v>160802.35999999999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131.47000000000116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750236</v>
      </c>
      <c r="E39" s="38">
        <f t="shared" si="11"/>
        <v>1519302.92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750236</v>
      </c>
      <c r="K39" s="119">
        <f>+Actuals!H60</f>
        <v>1519302.92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-3244542</v>
      </c>
      <c r="E40" s="38">
        <f t="shared" si="11"/>
        <v>-6571522.0100000007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-3208577</v>
      </c>
      <c r="K40" s="119">
        <f>+Actuals!H61</f>
        <v>-6497689.2800000003</v>
      </c>
      <c r="L40" s="118">
        <f>+Actuals!I61</f>
        <v>-252</v>
      </c>
      <c r="M40" s="119">
        <f>+Actuals!J61</f>
        <v>-510.33</v>
      </c>
      <c r="N40" s="118">
        <f>+Actuals!K61</f>
        <v>-35713</v>
      </c>
      <c r="O40" s="119">
        <f>+Actuals!L61</f>
        <v>-73322.399999999994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-3244542</v>
      </c>
      <c r="E42" s="39">
        <f t="shared" si="12"/>
        <v>-6571522.0100000007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-3208577</v>
      </c>
      <c r="K42" s="39">
        <f t="shared" si="13"/>
        <v>-6497689.2800000003</v>
      </c>
      <c r="L42" s="61">
        <f t="shared" si="13"/>
        <v>-252</v>
      </c>
      <c r="M42" s="39">
        <f t="shared" si="13"/>
        <v>-510.33</v>
      </c>
      <c r="N42" s="61">
        <f>SUM(N40:N41)</f>
        <v>-35713</v>
      </c>
      <c r="O42" s="39">
        <f>SUM(O40:O41)</f>
        <v>-73322.399999999994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-2494306</v>
      </c>
      <c r="E43" s="39">
        <f t="shared" si="14"/>
        <v>-5052219.0900000008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-2458341</v>
      </c>
      <c r="K43" s="39">
        <f t="shared" si="15"/>
        <v>-4978386.3600000003</v>
      </c>
      <c r="L43" s="61">
        <f t="shared" si="15"/>
        <v>-252</v>
      </c>
      <c r="M43" s="39">
        <f t="shared" si="15"/>
        <v>-510.33</v>
      </c>
      <c r="N43" s="61">
        <f>N42+N39</f>
        <v>-35713</v>
      </c>
      <c r="O43" s="39">
        <f>O42+O39</f>
        <v>-73322.399999999994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4326</v>
      </c>
      <c r="E45" s="38">
        <f>SUM(G45,I45,K45,M45,O45,Q45,S45,U45,W45,Y45,AA45,AC45,AE45)</f>
        <v>17.010000000000002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4326</v>
      </c>
      <c r="K45" s="119">
        <f>+Actuals!H63</f>
        <v>17.010000000000002</v>
      </c>
      <c r="L45" s="118">
        <f>+Actuals!I63</f>
        <v>4326</v>
      </c>
      <c r="M45" s="119">
        <f>+Actuals!J63</f>
        <v>17.010000000000002</v>
      </c>
      <c r="N45" s="118">
        <f>+Actuals!K63</f>
        <v>-4326</v>
      </c>
      <c r="O45" s="119">
        <f>+Actuals!L63</f>
        <v>-17.010000000000002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185757</v>
      </c>
      <c r="E49" s="38">
        <f>SUM(G49,I49,K49,M49,O49,Q49,S49,U49,W49,Y49,AA49,AC49,AE49)</f>
        <v>435971.679</v>
      </c>
      <c r="F49" s="58">
        <f>'TIE-OUT'!L49+RECLASS!J49</f>
        <v>0</v>
      </c>
      <c r="G49" s="15">
        <f>'TIE-OUT'!M49+RECLASS!K49</f>
        <v>0</v>
      </c>
      <c r="H49" s="118">
        <f>+Actuals!E65</f>
        <v>-175120</v>
      </c>
      <c r="I49" s="119">
        <f>+Actuals!F65</f>
        <v>-411006.64</v>
      </c>
      <c r="J49" s="118">
        <f>+Actuals!G65</f>
        <v>285594</v>
      </c>
      <c r="K49" s="119">
        <f>+Actuals!H65</f>
        <v>670289.11800000002</v>
      </c>
      <c r="L49" s="118">
        <f>+Actuals!I65</f>
        <v>-16964</v>
      </c>
      <c r="M49" s="119">
        <f>+Actuals!J65</f>
        <v>-39814.508000000002</v>
      </c>
      <c r="N49" s="118">
        <f>+Actuals!K65</f>
        <v>46595</v>
      </c>
      <c r="O49" s="119">
        <f>+Actuals!L65</f>
        <v>109358.465</v>
      </c>
      <c r="P49" s="118">
        <f>+Actuals!M65</f>
        <v>39528</v>
      </c>
      <c r="Q49" s="119">
        <f>+Actuals!N65</f>
        <v>92772.216</v>
      </c>
      <c r="R49" s="118">
        <f>+Actuals!O65</f>
        <v>6124</v>
      </c>
      <c r="S49" s="119">
        <f>+Actuals!P65</f>
        <v>14373.028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-55521</v>
      </c>
      <c r="E51" s="38">
        <f>SUM(G51,I51,K51,M51,O51,Q51,S51,U51,W51,Y51,AA51,AC51,AE51)</f>
        <v>-117203.71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+Actuals!G66-6700</f>
        <v>-48831</v>
      </c>
      <c r="K51" s="119">
        <f>+Actuals!H66-15945</f>
        <v>-117226.61</v>
      </c>
      <c r="L51" s="118">
        <f>+Actuals!I66-6700</f>
        <v>-48821</v>
      </c>
      <c r="M51" s="119">
        <f>+Actuals!J66-15946</f>
        <v>-117204.71</v>
      </c>
      <c r="N51" s="118">
        <f>+Actuals!K66</f>
        <v>42131</v>
      </c>
      <c r="O51" s="119">
        <f>+Actuals!L66+15946</f>
        <v>117227.61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-796718</v>
      </c>
      <c r="E54" s="38">
        <f>SUM(G54,I54,K54,M54,O54,Q54,S54,U54,W54,Y54,AA54,AC54,AE54)</f>
        <v>-23901.54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-796718</v>
      </c>
      <c r="O54" s="119">
        <f>+Actuals!L67</f>
        <v>-23901.54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-796718</v>
      </c>
      <c r="E56" s="39">
        <f t="shared" si="16"/>
        <v>-23901.54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>SUM(N54:N55)</f>
        <v>-796718</v>
      </c>
      <c r="O56" s="39">
        <f>SUM(O54:O55)</f>
        <v>-23901.54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2844445</v>
      </c>
      <c r="E59" s="38">
        <f>SUM(G59,I59,K59,M59,O59,Q59,S59,U59,W59,Y59,AA59,AC59,AE59)</f>
        <v>-131171.89000000001</v>
      </c>
      <c r="F59" s="84">
        <f>'TIE-OUT'!L59+RECLASS!J59</f>
        <v>0</v>
      </c>
      <c r="G59" s="85">
        <f>'TIE-OUT'!M59+RECLASS!K59</f>
        <v>-170000</v>
      </c>
      <c r="H59" s="118">
        <f>+Actuals!E69</f>
        <v>2702272</v>
      </c>
      <c r="I59" s="119">
        <f>+Actuals!F69</f>
        <v>38805.339999999997</v>
      </c>
      <c r="J59" s="118">
        <f>+Actuals!G69-1</f>
        <v>447564</v>
      </c>
      <c r="K59" s="119">
        <f>+Actuals!H69</f>
        <v>22.77</v>
      </c>
      <c r="L59" s="118">
        <f>+Actuals!I69</f>
        <v>-311441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6050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954</v>
      </c>
      <c r="E60" s="38">
        <f>SUM(G60,I60,K60,M60,O60,Q60,S60,U60,W60,Y60,AA60,AC60,AE60)</f>
        <v>170000</v>
      </c>
      <c r="F60" s="97">
        <f>'TIE-OUT'!L60+RECLASS!J60</f>
        <v>0</v>
      </c>
      <c r="G60" s="98">
        <f>'TIE-OUT'!M60+RECLASS!K60</f>
        <v>0</v>
      </c>
      <c r="H60" s="118">
        <f>+Actuals!E70+954</f>
        <v>954</v>
      </c>
      <c r="I60" s="119">
        <f>+Actuals!F70+170000</f>
        <v>170000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2845399</v>
      </c>
      <c r="E61" s="39">
        <f t="shared" si="18"/>
        <v>38828.109999999986</v>
      </c>
      <c r="F61" s="59">
        <f t="shared" si="18"/>
        <v>0</v>
      </c>
      <c r="G61" s="23">
        <f t="shared" si="18"/>
        <v>-170000</v>
      </c>
      <c r="H61" s="61">
        <f t="shared" si="18"/>
        <v>2703226</v>
      </c>
      <c r="I61" s="39">
        <f t="shared" si="18"/>
        <v>208805.34</v>
      </c>
      <c r="J61" s="61">
        <f t="shared" ref="J61:AO61" si="19">SUM(J59:J60)</f>
        <v>447564</v>
      </c>
      <c r="K61" s="39">
        <f t="shared" si="19"/>
        <v>22.77</v>
      </c>
      <c r="L61" s="61">
        <f t="shared" si="19"/>
        <v>-311441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6050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-24123340</v>
      </c>
      <c r="E64" s="38">
        <f>SUM(G64,I64,K64,M64,O64,Q64,S64,U64,W64,Y64,AA64,AC64,AE64)</f>
        <v>-2913459.31</v>
      </c>
      <c r="F64" s="84">
        <f>'TIE-OUT'!L64+RECLASS!J64</f>
        <v>0</v>
      </c>
      <c r="G64" s="85">
        <f>'TIE-OUT'!M64+RECLASS!K64</f>
        <v>0</v>
      </c>
      <c r="H64" s="118">
        <f>+Actuals!E71</f>
        <v>-16988349</v>
      </c>
      <c r="I64" s="119">
        <f>+Actuals!F71</f>
        <v>-2723749.53</v>
      </c>
      <c r="J64" s="118">
        <f>+Actuals!G71-20867</f>
        <v>-7410016</v>
      </c>
      <c r="K64" s="119">
        <f>+Actuals!H71</f>
        <v>-215659.62</v>
      </c>
      <c r="L64" s="118">
        <f>+Actuals!I71</f>
        <v>278840</v>
      </c>
      <c r="M64" s="119">
        <f>+Actuals!J71</f>
        <v>27884</v>
      </c>
      <c r="N64" s="118">
        <f>+Actuals!K71</f>
        <v>0</v>
      </c>
      <c r="O64" s="119">
        <f>+Actuals!L71</f>
        <v>0</v>
      </c>
      <c r="P64" s="118">
        <f>+Actuals!M71</f>
        <v>-3815</v>
      </c>
      <c r="Q64" s="119">
        <f>+Actuals!N71</f>
        <v>-1934.16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24123340</v>
      </c>
      <c r="E65" s="38">
        <f>SUM(G65,I65,K65,M65,O65,Q65,S65,U65,W65,Y65,AA65,AC65,AE65)</f>
        <v>2913459.31</v>
      </c>
      <c r="F65" s="97">
        <f>'TIE-OUT'!L65+RECLASS!J65</f>
        <v>0</v>
      </c>
      <c r="G65" s="98">
        <f>'TIE-OUT'!M65+RECLASS!K65</f>
        <v>0</v>
      </c>
      <c r="H65" s="118">
        <f>+Actuals!E72+771103</f>
        <v>16987318</v>
      </c>
      <c r="I65" s="119">
        <f>+Actuals!F72+640000</f>
        <v>2724036.52</v>
      </c>
      <c r="J65" s="118">
        <f>+Actuals!G72</f>
        <v>7411047</v>
      </c>
      <c r="K65" s="119">
        <f>+Actuals!H72</f>
        <v>215372.62</v>
      </c>
      <c r="L65" s="118">
        <f>+Actuals!I72</f>
        <v>-278840</v>
      </c>
      <c r="M65" s="119">
        <f>+Actuals!J72</f>
        <v>-27883.99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3815</v>
      </c>
      <c r="S65" s="119">
        <f>+Actuals!P72</f>
        <v>1934.16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-1031</v>
      </c>
      <c r="I66" s="39">
        <f t="shared" si="20"/>
        <v>286.99000000022352</v>
      </c>
      <c r="J66" s="61">
        <f t="shared" ref="J66:AO66" si="21">SUM(J64:J65)</f>
        <v>1031</v>
      </c>
      <c r="K66" s="39">
        <f t="shared" si="21"/>
        <v>-287</v>
      </c>
      <c r="L66" s="61">
        <f t="shared" si="21"/>
        <v>0</v>
      </c>
      <c r="M66" s="39">
        <f t="shared" si="21"/>
        <v>9.9999999983992893E-3</v>
      </c>
      <c r="N66" s="61">
        <f>SUM(N64:N65)</f>
        <v>0</v>
      </c>
      <c r="O66" s="39">
        <f>SUM(O64:O65)</f>
        <v>0</v>
      </c>
      <c r="P66" s="61">
        <f>SUM(P64:P65)</f>
        <v>-3815</v>
      </c>
      <c r="Q66" s="39">
        <f>SUM(Q64:Q65)</f>
        <v>-1934.16</v>
      </c>
      <c r="R66" s="61">
        <f t="shared" si="21"/>
        <v>3815</v>
      </c>
      <c r="S66" s="39">
        <f t="shared" si="21"/>
        <v>1934.16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1275844.9199999967</v>
      </c>
      <c r="F82" s="91">
        <f>F16+F24+F29+F36+F43+F45+F47+F49</f>
        <v>0</v>
      </c>
      <c r="G82" s="92">
        <f>SUM(G72:G81)+G16+G24+G29+G36+G43+G45+G47+G49+G51+G56+G61+G66</f>
        <v>-158335.73000000001</v>
      </c>
      <c r="H82" s="91">
        <f>H16+H24+H29+H36+H43+H45+H47+H49</f>
        <v>0</v>
      </c>
      <c r="I82" s="92">
        <f>SUM(I72:I81)+I16+I24+I29+I36+I43+I45+I47+I49+I51+I56+I61+I66</f>
        <v>740264.45999999973</v>
      </c>
      <c r="J82" s="91">
        <f>J16+J24+J29+J36+J43+J45+J47+J49</f>
        <v>0</v>
      </c>
      <c r="K82" s="110">
        <f>SUM(K72:K81)+K16+K24+K29+K36+K43+K45+K47+K49+K51+K56+K61+K66</f>
        <v>716650.94199999922</v>
      </c>
      <c r="L82" s="91">
        <f>L16+L24+L29+L36+L43+L45+L47+L49</f>
        <v>0</v>
      </c>
      <c r="M82" s="92">
        <f>SUM(M72:M81)+M16+M24+M29+M36+M43+M45+M47+M49+M51+M56+M61+M66</f>
        <v>-132761.49100000013</v>
      </c>
      <c r="N82" s="91">
        <f>N16+N24+N29+N36+N43+N45+N47+N49</f>
        <v>0</v>
      </c>
      <c r="O82" s="92">
        <f>SUM(O72:O81)+O16+O24+O29+O36+O43+O45+O47+O49+O51+O56+O61+O66</f>
        <v>122666.66500000001</v>
      </c>
      <c r="P82" s="91">
        <f>P16+P24+P29+P36+P43+P45+P47+P49</f>
        <v>0</v>
      </c>
      <c r="Q82" s="92">
        <f>SUM(Q72:Q81)+Q16+Q24+Q29+Q36+Q43+Q45+Q47+Q49+Q51+Q56+Q61+Q66</f>
        <v>-13003.084000000013</v>
      </c>
      <c r="R82" s="91">
        <f>R16+R24+R29+R36+R43+R45+R47+R49</f>
        <v>0</v>
      </c>
      <c r="S82" s="92">
        <f>SUM(S72:S81)+S16+S24+S29+S36+S43+S45+S47+S49+S51+S56+S61+S66</f>
        <v>231.68800000000033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131.47000000000116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4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Q79" activePane="bottomRight" state="frozen"/>
      <selection activeCell="X9" sqref="X9"/>
      <selection pane="topRight" activeCell="X9" sqref="X9"/>
      <selection pane="bottomLeft" activeCell="X9" sqref="X9"/>
      <selection pane="bottomRight" activeCell="Y79" sqref="Y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199295378</v>
      </c>
      <c r="E11" s="38">
        <f>SUM(G11,I11,K11,M11,O11,Q11,S11,U11,W11,Y11,AA11,AC11,AE11)</f>
        <v>506062327.94999993</v>
      </c>
      <c r="F11" s="60">
        <f>('TIE-OUT'!L11+'TIE-OUT'!J11)+(RECLASS!J11+RECLASS!H11)</f>
        <v>0</v>
      </c>
      <c r="G11" s="38">
        <f>('TIE-OUT'!M11+'TIE-OUT'!K11)+(RECLASS!K11+RECLASS!I11)</f>
        <v>5814747</v>
      </c>
      <c r="H11" s="60">
        <f>'EAST-EGM-GL'!H11+'EAST-LRC-GL'!H11</f>
        <v>198439347</v>
      </c>
      <c r="I11" s="38">
        <f>'EAST-EGM-GL'!I11+'EAST-LRC-GL'!I11</f>
        <v>488817983.10999995</v>
      </c>
      <c r="J11" s="60">
        <f>'EAST-EGM-GL'!J11+'EAST-LRC-GL'!J11</f>
        <v>7199170</v>
      </c>
      <c r="K11" s="38">
        <f>'EAST-EGM-GL'!K11+'EAST-LRC-GL'!K11</f>
        <v>21662661.390000001</v>
      </c>
      <c r="L11" s="60">
        <f>'EAST-EGM-GL'!L11+'EAST-LRC-GL'!L11</f>
        <v>-5500435</v>
      </c>
      <c r="M11" s="38">
        <f>'EAST-EGM-GL'!M11+'EAST-LRC-GL'!M11</f>
        <v>-12203575.140000001</v>
      </c>
      <c r="N11" s="60">
        <f>'EAST-EGM-GL'!N11+'EAST-LRC-GL'!N11</f>
        <v>1559019</v>
      </c>
      <c r="O11" s="38">
        <f>'EAST-EGM-GL'!O11+'EAST-LRC-GL'!O11</f>
        <v>3967844.9899999998</v>
      </c>
      <c r="P11" s="60">
        <f>'EAST-EGM-GL'!P11+'EAST-LRC-GL'!P11</f>
        <v>-3241300</v>
      </c>
      <c r="Q11" s="38">
        <f>'EAST-EGM-GL'!Q11+'EAST-LRC-GL'!Q11</f>
        <v>-4198933.42</v>
      </c>
      <c r="R11" s="60">
        <f>'EAST-EGM-GL'!R11+'EAST-LRC-GL'!R11</f>
        <v>1192875</v>
      </c>
      <c r="S11" s="38">
        <f>'EAST-EGM-GL'!S11+'EAST-LRC-GL'!S11</f>
        <v>3355596.96</v>
      </c>
      <c r="T11" s="60">
        <f>'EAST-EGM-GL'!T11+'EAST-LRC-GL'!T11</f>
        <v>-356575</v>
      </c>
      <c r="U11" s="38">
        <f>'EAST-EGM-GL'!U11+'EAST-LRC-GL'!U11</f>
        <v>-1164049.25</v>
      </c>
      <c r="V11" s="60">
        <f>'EAST-EGM-GL'!V11+'EAST-LRC-GL'!V11</f>
        <v>-12732</v>
      </c>
      <c r="W11" s="38">
        <f>'EAST-EGM-GL'!W11+'EAST-LRC-GL'!W11</f>
        <v>-35452.68</v>
      </c>
      <c r="X11" s="60">
        <f>'EAST-EGM-GL'!X11+'EAST-LRC-GL'!X11</f>
        <v>16009</v>
      </c>
      <c r="Y11" s="38">
        <f>'EAST-EGM-GL'!Y11+'EAST-LRC-GL'!Y11</f>
        <v>45504.99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-3715464.4</v>
      </c>
      <c r="F12" s="60">
        <f>('TIE-OUT'!L12+'TIE-OUT'!J12)+(RECLASS!J12+RECLASS!H12)</f>
        <v>0</v>
      </c>
      <c r="G12" s="38">
        <f>('TIE-OUT'!M12+'TIE-OUT'!K12)+(RECLASS!K12+RECLASS!I12)</f>
        <v>-3872175.8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3596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153115.4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71628606</v>
      </c>
      <c r="E13" s="38">
        <f t="shared" si="0"/>
        <v>185895133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71628606</v>
      </c>
      <c r="I13" s="38">
        <f>'EAST-EGM-GL'!I13+'EAST-LRC-GL'!I13</f>
        <v>185895133</v>
      </c>
      <c r="J13" s="60">
        <f>'EAST-EGM-GL'!J13+'EAST-LRC-GL'!J13</f>
        <v>-51333347</v>
      </c>
      <c r="K13" s="38">
        <f>'EAST-EGM-GL'!K13+'EAST-LRC-GL'!K13</f>
        <v>-133933759</v>
      </c>
      <c r="L13" s="60">
        <f>'EAST-EGM-GL'!L13+'EAST-LRC-GL'!L13</f>
        <v>4403</v>
      </c>
      <c r="M13" s="38">
        <f>'EAST-EGM-GL'!M13+'EAST-LRC-GL'!M13</f>
        <v>14283</v>
      </c>
      <c r="N13" s="60">
        <f>'EAST-EGM-GL'!N13+'EAST-LRC-GL'!N13</f>
        <v>-4300</v>
      </c>
      <c r="O13" s="38">
        <f>'EAST-EGM-GL'!O13+'EAST-LRC-GL'!O13</f>
        <v>-9459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51333244</v>
      </c>
      <c r="S13" s="38">
        <f>'EAST-EGM-GL'!S13+'EAST-LRC-GL'!S13</f>
        <v>133928935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6384737.2600000007</v>
      </c>
      <c r="F15" s="81">
        <f>('TIE-OUT'!L15+'TIE-OUT'!J15)+(RECLASS!J15+RECLASS!H15)</f>
        <v>0</v>
      </c>
      <c r="G15" s="82">
        <f>('TIE-OUT'!M15+'TIE-OUT'!K15)+(RECLASS!K15+RECLASS!I15)</f>
        <v>-11297325</v>
      </c>
      <c r="H15" s="60">
        <f>'EAST-EGM-GL'!H15+'EAST-LRC-GL'!H15</f>
        <v>0</v>
      </c>
      <c r="I15" s="38">
        <f>'EAST-EGM-GL'!I15+'EAST-LRC-GL'!I15</f>
        <v>14932935.800000001</v>
      </c>
      <c r="J15" s="60">
        <f>'EAST-EGM-GL'!J15+'EAST-LRC-GL'!J15</f>
        <v>0</v>
      </c>
      <c r="K15" s="38">
        <f>'EAST-EGM-GL'!K15+'EAST-LRC-GL'!K15</f>
        <v>254808.88</v>
      </c>
      <c r="L15" s="60">
        <f>'EAST-EGM-GL'!L15+'EAST-LRC-GL'!L15</f>
        <v>0</v>
      </c>
      <c r="M15" s="38">
        <f>'EAST-EGM-GL'!M15+'EAST-LRC-GL'!M15</f>
        <v>1901257.24</v>
      </c>
      <c r="N15" s="60">
        <f>'EAST-EGM-GL'!N15+'EAST-LRC-GL'!N15</f>
        <v>0</v>
      </c>
      <c r="O15" s="38">
        <f>'EAST-EGM-GL'!O15+'EAST-LRC-GL'!O15</f>
        <v>-29307.66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622368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270923984</v>
      </c>
      <c r="E16" s="39">
        <f t="shared" si="1"/>
        <v>694626733.80999994</v>
      </c>
      <c r="F16" s="61">
        <f t="shared" si="1"/>
        <v>0</v>
      </c>
      <c r="G16" s="39">
        <f t="shared" si="1"/>
        <v>-9354753.8000000007</v>
      </c>
      <c r="H16" s="61">
        <f t="shared" si="1"/>
        <v>270067953</v>
      </c>
      <c r="I16" s="39">
        <f t="shared" si="1"/>
        <v>689646051.90999985</v>
      </c>
      <c r="J16" s="61">
        <f t="shared" si="1"/>
        <v>-44134177</v>
      </c>
      <c r="K16" s="39">
        <f t="shared" si="1"/>
        <v>-112012692.73</v>
      </c>
      <c r="L16" s="61">
        <f t="shared" si="1"/>
        <v>-5496032</v>
      </c>
      <c r="M16" s="39">
        <f t="shared" si="1"/>
        <v>-10288034.9</v>
      </c>
      <c r="N16" s="61">
        <f>SUM(N11:N15)</f>
        <v>1554719</v>
      </c>
      <c r="O16" s="39">
        <f>SUM(O11:O15)</f>
        <v>3929078.3299999996</v>
      </c>
      <c r="P16" s="61">
        <f>SUM(P11:P15)</f>
        <v>-3241300</v>
      </c>
      <c r="Q16" s="39">
        <f>SUM(Q11:Q15)</f>
        <v>-4198933.42</v>
      </c>
      <c r="R16" s="61">
        <f t="shared" si="1"/>
        <v>52526119</v>
      </c>
      <c r="S16" s="39">
        <f t="shared" si="1"/>
        <v>137284531.96000001</v>
      </c>
      <c r="T16" s="61">
        <f t="shared" si="1"/>
        <v>-356575</v>
      </c>
      <c r="U16" s="39">
        <f t="shared" si="1"/>
        <v>-541681.25</v>
      </c>
      <c r="V16" s="61">
        <f t="shared" si="1"/>
        <v>-12732</v>
      </c>
      <c r="W16" s="39">
        <f t="shared" si="1"/>
        <v>117662.72</v>
      </c>
      <c r="X16" s="61">
        <f t="shared" si="1"/>
        <v>16009</v>
      </c>
      <c r="Y16" s="39">
        <f t="shared" si="1"/>
        <v>45504.99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-188700383</v>
      </c>
      <c r="E19" s="38">
        <f t="shared" si="2"/>
        <v>-449784640.46999997</v>
      </c>
      <c r="F19" s="64">
        <f>('TIE-OUT'!L19+'TIE-OUT'!J19)+(RECLASS!J19+RECLASS!H19)</f>
        <v>0</v>
      </c>
      <c r="G19" s="68">
        <f>('TIE-OUT'!M19+'TIE-OUT'!K19)+(RECLASS!K19+RECLASS!I19)</f>
        <v>2615119</v>
      </c>
      <c r="H19" s="60">
        <f>'EAST-EGM-GL'!H19+'EAST-LRC-GL'!H19</f>
        <v>-190981052</v>
      </c>
      <c r="I19" s="38">
        <f>'EAST-EGM-GL'!I19+'EAST-LRC-GL'!I19</f>
        <v>-458895870.02000004</v>
      </c>
      <c r="J19" s="60">
        <f>'EAST-EGM-GL'!J19+'EAST-LRC-GL'!J19</f>
        <v>85871</v>
      </c>
      <c r="K19" s="38">
        <f>'EAST-EGM-GL'!K19+'EAST-LRC-GL'!K19</f>
        <v>-280704.13999999966</v>
      </c>
      <c r="L19" s="60">
        <f>'EAST-EGM-GL'!L19+'EAST-LRC-GL'!L19</f>
        <v>1907396</v>
      </c>
      <c r="M19" s="38">
        <f>'EAST-EGM-GL'!M19+'EAST-LRC-GL'!M19</f>
        <v>3055995.91</v>
      </c>
      <c r="N19" s="60">
        <f>'EAST-EGM-GL'!N19+'EAST-LRC-GL'!N19</f>
        <v>-1279307</v>
      </c>
      <c r="O19" s="38">
        <f>'EAST-EGM-GL'!O19+'EAST-LRC-GL'!O19</f>
        <v>3491736.1300000004</v>
      </c>
      <c r="P19" s="60">
        <f>'EAST-EGM-GL'!P19+'EAST-LRC-GL'!P19</f>
        <v>1575832</v>
      </c>
      <c r="Q19" s="38">
        <f>'EAST-EGM-GL'!Q19+'EAST-LRC-GL'!Q19</f>
        <v>-78496.100000000006</v>
      </c>
      <c r="R19" s="60">
        <f>'EAST-EGM-GL'!R19+'EAST-LRC-GL'!R19</f>
        <v>-38470</v>
      </c>
      <c r="S19" s="38">
        <f>'EAST-EGM-GL'!S19+'EAST-LRC-GL'!S19</f>
        <v>232269.41</v>
      </c>
      <c r="T19" s="60">
        <f>'EAST-EGM-GL'!T19+'EAST-LRC-GL'!T19</f>
        <v>-53686</v>
      </c>
      <c r="U19" s="38">
        <f>'EAST-EGM-GL'!U19+'EAST-LRC-GL'!U19</f>
        <v>-154221.45000000019</v>
      </c>
      <c r="V19" s="60">
        <f>'EAST-EGM-GL'!V19+'EAST-LRC-GL'!V19</f>
        <v>-164855</v>
      </c>
      <c r="W19" s="38">
        <f>'EAST-EGM-GL'!W19+'EAST-LRC-GL'!W19</f>
        <v>-342072.81</v>
      </c>
      <c r="X19" s="60">
        <f>'EAST-EGM-GL'!X19+'EAST-LRC-GL'!X19</f>
        <v>247888</v>
      </c>
      <c r="Y19" s="38">
        <f>'EAST-EGM-GL'!Y19+'EAST-LRC-GL'!Y19</f>
        <v>571603.6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-9201555.1899999995</v>
      </c>
      <c r="F20" s="60">
        <f>('TIE-OUT'!L20+'TIE-OUT'!J20)+(RECLASS!J20+RECLASS!H20)</f>
        <v>0</v>
      </c>
      <c r="G20" s="38">
        <f>('TIE-OUT'!M20+'TIE-OUT'!K20)+(RECLASS!K20+RECLASS!I20)</f>
        <v>-9176533.7799999993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-25021.41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-71003668</v>
      </c>
      <c r="E21" s="38">
        <f t="shared" si="2"/>
        <v>-187641097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-71003668</v>
      </c>
      <c r="I21" s="38">
        <f>'EAST-EGM-GL'!I21+'EAST-LRC-GL'!I21</f>
        <v>-187641099</v>
      </c>
      <c r="J21" s="60">
        <f>'EAST-EGM-GL'!J21+'EAST-LRC-GL'!J21</f>
        <v>51204961</v>
      </c>
      <c r="K21" s="38">
        <f>'EAST-EGM-GL'!K21+'EAST-LRC-GL'!K21</f>
        <v>133403760</v>
      </c>
      <c r="L21" s="60">
        <f>'EAST-EGM-GL'!L21+'EAST-LRC-GL'!L21</f>
        <v>39502</v>
      </c>
      <c r="M21" s="38">
        <f>'EAST-EGM-GL'!M21+'EAST-LRC-GL'!M21</f>
        <v>86114</v>
      </c>
      <c r="N21" s="60">
        <f>'EAST-EGM-GL'!N21+'EAST-LRC-GL'!N21</f>
        <v>2473</v>
      </c>
      <c r="O21" s="38">
        <f>'EAST-EGM-GL'!O21+'EAST-LRC-GL'!O21</f>
        <v>3233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-51246936</v>
      </c>
      <c r="S21" s="38">
        <f>'EAST-EGM-GL'!S21+'EAST-LRC-GL'!S21</f>
        <v>-133493105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468674</v>
      </c>
      <c r="E23" s="38">
        <f t="shared" si="2"/>
        <v>1102526.0039999997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1597692</v>
      </c>
      <c r="I23" s="38">
        <f>'EAST-EGM-GL'!I23+'EAST-LRC-GL'!I23</f>
        <v>3749783.1239999998</v>
      </c>
      <c r="J23" s="60">
        <f>'EAST-EGM-GL'!J23+'EAST-LRC-GL'!J23</f>
        <v>122849</v>
      </c>
      <c r="K23" s="38">
        <f>'EAST-EGM-GL'!K23+'EAST-LRC-GL'!K23</f>
        <v>290726.75599999999</v>
      </c>
      <c r="L23" s="60">
        <f>'EAST-EGM-GL'!L23+'EAST-LRC-GL'!L23</f>
        <v>13796</v>
      </c>
      <c r="M23" s="38">
        <f>'EAST-EGM-GL'!M23+'EAST-LRC-GL'!M23</f>
        <v>34779.935000000012</v>
      </c>
      <c r="N23" s="60">
        <f>'EAST-EGM-GL'!N23+'EAST-LRC-GL'!N23</f>
        <v>-322112</v>
      </c>
      <c r="O23" s="38">
        <f>'EAST-EGM-GL'!O23+'EAST-LRC-GL'!O23</f>
        <v>-848048.63899999997</v>
      </c>
      <c r="P23" s="60">
        <f>'EAST-EGM-GL'!P23+'EAST-LRC-GL'!P23</f>
        <v>-106669</v>
      </c>
      <c r="Q23" s="38">
        <f>'EAST-EGM-GL'!Q23+'EAST-LRC-GL'!Q23</f>
        <v>-67349.142999999996</v>
      </c>
      <c r="R23" s="60">
        <f>'EAST-EGM-GL'!R23+'EAST-LRC-GL'!R23</f>
        <v>-631</v>
      </c>
      <c r="S23" s="38">
        <f>'EAST-EGM-GL'!S23+'EAST-LRC-GL'!S23</f>
        <v>-3183.4290000000001</v>
      </c>
      <c r="T23" s="60">
        <f>'EAST-EGM-GL'!T23+'EAST-LRC-GL'!T23</f>
        <v>-834817</v>
      </c>
      <c r="U23" s="38">
        <f>'EAST-EGM-GL'!U23+'EAST-LRC-GL'!U23</f>
        <v>-2050817</v>
      </c>
      <c r="V23" s="60">
        <f>'EAST-EGM-GL'!V23+'EAST-LRC-GL'!V23</f>
        <v>-1438</v>
      </c>
      <c r="W23" s="38">
        <f>'EAST-EGM-GL'!W23+'EAST-LRC-GL'!W23</f>
        <v>-3374.99</v>
      </c>
      <c r="X23" s="60">
        <f>'EAST-EGM-GL'!X23+'EAST-LRC-GL'!X23</f>
        <v>4</v>
      </c>
      <c r="Y23" s="38">
        <f>'EAST-EGM-GL'!Y23+'EAST-LRC-GL'!Y23</f>
        <v>9.39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-259235377</v>
      </c>
      <c r="E24" s="39">
        <f t="shared" si="3"/>
        <v>-645524766.65600002</v>
      </c>
      <c r="F24" s="61">
        <f t="shared" si="3"/>
        <v>0</v>
      </c>
      <c r="G24" s="39">
        <f t="shared" si="3"/>
        <v>-6561414.7799999993</v>
      </c>
      <c r="H24" s="61">
        <f t="shared" si="3"/>
        <v>-260387028</v>
      </c>
      <c r="I24" s="39">
        <f t="shared" si="3"/>
        <v>-642787185.89600003</v>
      </c>
      <c r="J24" s="61">
        <f t="shared" si="3"/>
        <v>51413681</v>
      </c>
      <c r="K24" s="39">
        <f t="shared" si="3"/>
        <v>133413782.616</v>
      </c>
      <c r="L24" s="61">
        <f t="shared" si="3"/>
        <v>1960694</v>
      </c>
      <c r="M24" s="39">
        <f t="shared" si="3"/>
        <v>3151868.4350000001</v>
      </c>
      <c r="N24" s="61">
        <f>SUM(N19:N23)</f>
        <v>-1598946</v>
      </c>
      <c r="O24" s="39">
        <f>SUM(O19:O23)</f>
        <v>2646920.4910000004</v>
      </c>
      <c r="P24" s="61">
        <f>SUM(P19:P23)</f>
        <v>1469163</v>
      </c>
      <c r="Q24" s="39">
        <f>SUM(Q19:Q23)</f>
        <v>-145845.24300000002</v>
      </c>
      <c r="R24" s="61">
        <f t="shared" si="3"/>
        <v>-51286037</v>
      </c>
      <c r="S24" s="39">
        <f t="shared" si="3"/>
        <v>-133264019.01900001</v>
      </c>
      <c r="T24" s="61">
        <f t="shared" si="3"/>
        <v>-888503</v>
      </c>
      <c r="U24" s="39">
        <f t="shared" si="3"/>
        <v>-2205038.4500000002</v>
      </c>
      <c r="V24" s="61">
        <f t="shared" si="3"/>
        <v>-166293</v>
      </c>
      <c r="W24" s="39">
        <f t="shared" si="3"/>
        <v>-345447.8</v>
      </c>
      <c r="X24" s="61">
        <f t="shared" si="3"/>
        <v>247892</v>
      </c>
      <c r="Y24" s="39">
        <f t="shared" si="3"/>
        <v>571612.99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18034707</v>
      </c>
      <c r="E27" s="38">
        <f>SUM(G27,I27,K27,M27,O27,Q27,S27,U27,W27,Y27,AA27,AC27,AE27)</f>
        <v>43503004.800000004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19076248</v>
      </c>
      <c r="I27" s="38">
        <f>'EAST-EGM-GL'!I27+'EAST-LRC-GL'!I27</f>
        <v>46036743.340000004</v>
      </c>
      <c r="J27" s="60">
        <f>'EAST-EGM-GL'!J27+'EAST-LRC-GL'!J27</f>
        <v>-479710</v>
      </c>
      <c r="K27" s="38">
        <f>'EAST-EGM-GL'!K27+'EAST-LRC-GL'!K27</f>
        <v>-1167563.5</v>
      </c>
      <c r="L27" s="60">
        <f>'EAST-EGM-GL'!L27+'EAST-LRC-GL'!L27</f>
        <v>-539666</v>
      </c>
      <c r="M27" s="38">
        <f>'EAST-EGM-GL'!M27+'EAST-LRC-GL'!M27</f>
        <v>-1317368.33</v>
      </c>
      <c r="N27" s="60">
        <f>'EAST-EGM-GL'!N27+'EAST-LRC-GL'!N27</f>
        <v>13610</v>
      </c>
      <c r="O27" s="38">
        <f>'EAST-EGM-GL'!O27+'EAST-LRC-GL'!O27</f>
        <v>55479.19</v>
      </c>
      <c r="P27" s="60">
        <f>'EAST-EGM-GL'!P27+'EAST-LRC-GL'!P27</f>
        <v>-35775</v>
      </c>
      <c r="Q27" s="38">
        <f>'EAST-EGM-GL'!Q27+'EAST-LRC-GL'!Q27</f>
        <v>-104285.90000000001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-19425130</v>
      </c>
      <c r="E28" s="38">
        <f>SUM(G28,I28,K28,M28,O28,Q28,S28,U28,W28,Y28,AA28,AC28,AE28)</f>
        <v>-47064442.580000013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-20245583</v>
      </c>
      <c r="I28" s="38">
        <f>'EAST-EGM-GL'!I28+'EAST-LRC-GL'!I28</f>
        <v>-49103068.719999999</v>
      </c>
      <c r="J28" s="60">
        <f>'EAST-EGM-GL'!J28+'EAST-LRC-GL'!J28</f>
        <v>240720</v>
      </c>
      <c r="K28" s="38">
        <f>'EAST-EGM-GL'!K28+'EAST-LRC-GL'!K28</f>
        <v>638284.23</v>
      </c>
      <c r="L28" s="60">
        <f>'EAST-EGM-GL'!L28+'EAST-LRC-GL'!L28</f>
        <v>534026</v>
      </c>
      <c r="M28" s="38">
        <f>'EAST-EGM-GL'!M28+'EAST-LRC-GL'!M28</f>
        <v>1323684.5899999999</v>
      </c>
      <c r="N28" s="60">
        <f>'EAST-EGM-GL'!N28+'EAST-LRC-GL'!N28</f>
        <v>28793</v>
      </c>
      <c r="O28" s="38">
        <f>'EAST-EGM-GL'!O28+'EAST-LRC-GL'!O28</f>
        <v>53518.98</v>
      </c>
      <c r="P28" s="60">
        <f>'EAST-EGM-GL'!P28+'EAST-LRC-GL'!P28</f>
        <v>4771</v>
      </c>
      <c r="Q28" s="38">
        <f>'EAST-EGM-GL'!Q28+'EAST-LRC-GL'!Q28</f>
        <v>-6682.8799999999992</v>
      </c>
      <c r="R28" s="60">
        <f>'EAST-EGM-GL'!R28+'EAST-LRC-GL'!R28</f>
        <v>5000</v>
      </c>
      <c r="S28" s="38">
        <f>'EAST-EGM-GL'!S28+'EAST-LRC-GL'!S28</f>
        <v>11350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7143</v>
      </c>
      <c r="W28" s="38">
        <f>'EAST-EGM-GL'!W28+'EAST-LRC-GL'!W28</f>
        <v>18471.22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-1390423</v>
      </c>
      <c r="E29" s="39">
        <f t="shared" si="4"/>
        <v>-3561437.7800000086</v>
      </c>
      <c r="F29" s="61">
        <f t="shared" si="4"/>
        <v>0</v>
      </c>
      <c r="G29" s="39">
        <f t="shared" si="4"/>
        <v>0</v>
      </c>
      <c r="H29" s="61">
        <f t="shared" si="4"/>
        <v>-1169335</v>
      </c>
      <c r="I29" s="39">
        <f t="shared" si="4"/>
        <v>-3066325.3799999952</v>
      </c>
      <c r="J29" s="61">
        <f t="shared" si="4"/>
        <v>-238990</v>
      </c>
      <c r="K29" s="39">
        <f t="shared" si="4"/>
        <v>-529279.27</v>
      </c>
      <c r="L29" s="61">
        <f t="shared" si="4"/>
        <v>-5640</v>
      </c>
      <c r="M29" s="39">
        <f t="shared" si="4"/>
        <v>6316.2599999997765</v>
      </c>
      <c r="N29" s="61">
        <f>SUM(N27:N28)</f>
        <v>42403</v>
      </c>
      <c r="O29" s="39">
        <f>SUM(O27:O28)</f>
        <v>108998.17000000001</v>
      </c>
      <c r="P29" s="61">
        <f>SUM(P27:P28)</f>
        <v>-31004</v>
      </c>
      <c r="Q29" s="39">
        <f>SUM(Q27:Q28)</f>
        <v>-110968.78000000001</v>
      </c>
      <c r="R29" s="61">
        <f t="shared" si="4"/>
        <v>5000</v>
      </c>
      <c r="S29" s="39">
        <f t="shared" si="4"/>
        <v>11350</v>
      </c>
      <c r="T29" s="61">
        <f t="shared" si="4"/>
        <v>0</v>
      </c>
      <c r="U29" s="39">
        <f t="shared" si="4"/>
        <v>0</v>
      </c>
      <c r="V29" s="61">
        <f t="shared" si="4"/>
        <v>7143</v>
      </c>
      <c r="W29" s="39">
        <f t="shared" si="4"/>
        <v>18471.22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3491241</v>
      </c>
      <c r="E32" s="38">
        <f t="shared" si="5"/>
        <v>8193942.6260000002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-947426</v>
      </c>
      <c r="I32" s="38">
        <f>'EAST-EGM-GL'!I32+'EAST-LRC-GL'!I32</f>
        <v>-2223608.8220000002</v>
      </c>
      <c r="J32" s="60">
        <f>'EAST-EGM-GL'!J32+'EAST-LRC-GL'!J32</f>
        <v>1397357</v>
      </c>
      <c r="K32" s="38">
        <f>'EAST-EGM-GL'!K32+'EAST-LRC-GL'!K32</f>
        <v>3279596.8819999998</v>
      </c>
      <c r="L32" s="60">
        <f>'EAST-EGM-GL'!L32+'EAST-LRC-GL'!L32</f>
        <v>-3939041</v>
      </c>
      <c r="M32" s="38">
        <f>'EAST-EGM-GL'!M32+'EAST-LRC-GL'!M32</f>
        <v>-9244929.227</v>
      </c>
      <c r="N32" s="60">
        <f>'EAST-EGM-GL'!N32+'EAST-LRC-GL'!N32</f>
        <v>1628167</v>
      </c>
      <c r="O32" s="38">
        <f>'EAST-EGM-GL'!O32+'EAST-LRC-GL'!O32</f>
        <v>3821307.9509999999</v>
      </c>
      <c r="P32" s="60">
        <f>'EAST-EGM-GL'!P32+'EAST-LRC-GL'!P32</f>
        <v>7278</v>
      </c>
      <c r="Q32" s="38">
        <f>'EAST-EGM-GL'!Q32+'EAST-LRC-GL'!Q32</f>
        <v>17081.466</v>
      </c>
      <c r="R32" s="60">
        <f>'EAST-EGM-GL'!R32+'EAST-LRC-GL'!R32</f>
        <v>958558</v>
      </c>
      <c r="S32" s="38">
        <f>'EAST-EGM-GL'!S32+'EAST-LRC-GL'!S32</f>
        <v>2249735.6260000002</v>
      </c>
      <c r="T32" s="60">
        <f>'EAST-EGM-GL'!T32+'EAST-LRC-GL'!T32</f>
        <v>825412</v>
      </c>
      <c r="U32" s="38">
        <f>'EAST-EGM-GL'!U32+'EAST-LRC-GL'!U32</f>
        <v>1937241.96</v>
      </c>
      <c r="V32" s="60">
        <f>'EAST-EGM-GL'!V32+'EAST-LRC-GL'!V32</f>
        <v>1479222</v>
      </c>
      <c r="W32" s="38">
        <f>'EAST-EGM-GL'!W32+'EAST-LRC-GL'!W32</f>
        <v>3471734.03</v>
      </c>
      <c r="X32" s="60">
        <f>'EAST-EGM-GL'!X32+'EAST-LRC-GL'!X32</f>
        <v>2081714</v>
      </c>
      <c r="Y32" s="38">
        <f>'EAST-EGM-GL'!Y32+'EAST-LRC-GL'!Y32</f>
        <v>4885782.76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-3982133</v>
      </c>
      <c r="E33" s="38">
        <f t="shared" si="5"/>
        <v>-3647546.21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-554147</v>
      </c>
      <c r="K33" s="38">
        <f>'EAST-EGM-GL'!K33+'EAST-LRC-GL'!K33</f>
        <v>-1606345.77</v>
      </c>
      <c r="L33" s="60">
        <f>'EAST-EGM-GL'!L33+'EAST-LRC-GL'!L33</f>
        <v>-2315616</v>
      </c>
      <c r="M33" s="38">
        <f>'EAST-EGM-GL'!M33+'EAST-LRC-GL'!M33</f>
        <v>-5865.47</v>
      </c>
      <c r="N33" s="60">
        <f>'EAST-EGM-GL'!N33+'EAST-LRC-GL'!N33</f>
        <v>-236259</v>
      </c>
      <c r="O33" s="38">
        <f>'EAST-EGM-GL'!O33+'EAST-LRC-GL'!O33</f>
        <v>-595026.32999999996</v>
      </c>
      <c r="P33" s="60">
        <f>'EAST-EGM-GL'!P33+'EAST-LRC-GL'!P33</f>
        <v>-401356</v>
      </c>
      <c r="Q33" s="38">
        <f>'EAST-EGM-GL'!Q33+'EAST-LRC-GL'!Q33</f>
        <v>-947314.64</v>
      </c>
      <c r="R33" s="60">
        <f>'EAST-EGM-GL'!R33+'EAST-LRC-GL'!R33</f>
        <v>-710737</v>
      </c>
      <c r="S33" s="38">
        <f>'EAST-EGM-GL'!S33+'EAST-LRC-GL'!S33</f>
        <v>-169560.55</v>
      </c>
      <c r="T33" s="60">
        <f>'EAST-EGM-GL'!T33+'EAST-LRC-GL'!T33</f>
        <v>545521</v>
      </c>
      <c r="U33" s="38">
        <f>'EAST-EGM-GL'!U33+'EAST-LRC-GL'!U33</f>
        <v>-239668.39</v>
      </c>
      <c r="V33" s="60">
        <f>'EAST-EGM-GL'!V33+'EAST-LRC-GL'!V33</f>
        <v>-287492</v>
      </c>
      <c r="W33" s="38">
        <f>'EAST-EGM-GL'!W33+'EAST-LRC-GL'!W33</f>
        <v>-30777.75</v>
      </c>
      <c r="X33" s="60">
        <f>'EAST-EGM-GL'!X33+'EAST-LRC-GL'!X33</f>
        <v>-22047</v>
      </c>
      <c r="Y33" s="38">
        <f>'EAST-EGM-GL'!Y33+'EAST-LRC-GL'!Y33</f>
        <v>-52987.31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4166263</v>
      </c>
      <c r="E34" s="38">
        <f t="shared" si="5"/>
        <v>1651104.15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45566</v>
      </c>
      <c r="K34" s="38">
        <f>'EAST-EGM-GL'!K34+'EAST-LRC-GL'!K34</f>
        <v>159040.41</v>
      </c>
      <c r="L34" s="60">
        <f>'EAST-EGM-GL'!L34+'EAST-LRC-GL'!L34</f>
        <v>2392518</v>
      </c>
      <c r="M34" s="38">
        <f>'EAST-EGM-GL'!M34+'EAST-LRC-GL'!M34</f>
        <v>151691.6</v>
      </c>
      <c r="N34" s="60">
        <f>'EAST-EGM-GL'!N34+'EAST-LRC-GL'!N34</f>
        <v>95225</v>
      </c>
      <c r="O34" s="38">
        <f>'EAST-EGM-GL'!O34+'EAST-LRC-GL'!O34</f>
        <v>729145.83</v>
      </c>
      <c r="P34" s="60">
        <f>'EAST-EGM-GL'!P34+'EAST-LRC-GL'!P34</f>
        <v>346609</v>
      </c>
      <c r="Q34" s="38">
        <f>'EAST-EGM-GL'!Q34+'EAST-LRC-GL'!Q34</f>
        <v>216730.58</v>
      </c>
      <c r="R34" s="60">
        <f>'EAST-EGM-GL'!R34+'EAST-LRC-GL'!R34</f>
        <v>9436</v>
      </c>
      <c r="S34" s="38">
        <f>'EAST-EGM-GL'!S34+'EAST-LRC-GL'!S34</f>
        <v>23544.49</v>
      </c>
      <c r="T34" s="60">
        <f>'EAST-EGM-GL'!T34+'EAST-LRC-GL'!T34</f>
        <v>276906</v>
      </c>
      <c r="U34" s="38">
        <f>'EAST-EGM-GL'!U34+'EAST-LRC-GL'!U34</f>
        <v>241796</v>
      </c>
      <c r="V34" s="60">
        <f>'EAST-EGM-GL'!V34+'EAST-LRC-GL'!V34</f>
        <v>1000002</v>
      </c>
      <c r="W34" s="38">
        <f>'EAST-EGM-GL'!W34+'EAST-LRC-GL'!W34</f>
        <v>5.54</v>
      </c>
      <c r="X34" s="60">
        <f>'EAST-EGM-GL'!X34+'EAST-LRC-GL'!X34</f>
        <v>1</v>
      </c>
      <c r="Y34" s="38">
        <f>'EAST-EGM-GL'!Y34+'EAST-LRC-GL'!Y34</f>
        <v>129149.7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-1460039</v>
      </c>
      <c r="E35" s="38">
        <f t="shared" si="5"/>
        <v>-2665655.0199999996</v>
      </c>
      <c r="F35" s="81">
        <f>('TIE-OUT'!L35+'TIE-OUT'!J35)+(RECLASS!J35+RECLASS!H35)</f>
        <v>0</v>
      </c>
      <c r="G35" s="82">
        <f>('TIE-OUT'!M35+'TIE-OUT'!K35)+(RECLASS!K35+RECLASS!I35)</f>
        <v>-2137655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-730000</v>
      </c>
      <c r="M35" s="38">
        <f>'EAST-EGM-GL'!M35+'EAST-LRC-GL'!M35</f>
        <v>-0.01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-528000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-230039</v>
      </c>
      <c r="U35" s="38">
        <f>'EAST-EGM-GL'!U35+'EAST-LRC-GL'!U35</f>
        <v>0</v>
      </c>
      <c r="V35" s="60">
        <f>'EAST-EGM-GL'!V35+'EAST-LRC-GL'!V35</f>
        <v>-500000</v>
      </c>
      <c r="W35" s="38">
        <f>'EAST-EGM-GL'!W35+'EAST-LRC-GL'!W35</f>
        <v>-0.01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2215332</v>
      </c>
      <c r="E36" s="39">
        <f t="shared" si="6"/>
        <v>3531845.5460000001</v>
      </c>
      <c r="F36" s="61">
        <f t="shared" si="6"/>
        <v>0</v>
      </c>
      <c r="G36" s="39">
        <f t="shared" si="6"/>
        <v>-2137655</v>
      </c>
      <c r="H36" s="61">
        <f t="shared" si="6"/>
        <v>-947426</v>
      </c>
      <c r="I36" s="39">
        <f t="shared" si="6"/>
        <v>-2223608.8220000002</v>
      </c>
      <c r="J36" s="61">
        <f t="shared" si="6"/>
        <v>888776</v>
      </c>
      <c r="K36" s="39">
        <f t="shared" si="6"/>
        <v>1832291.5219999996</v>
      </c>
      <c r="L36" s="61">
        <f t="shared" si="6"/>
        <v>-4592139</v>
      </c>
      <c r="M36" s="39">
        <f t="shared" si="6"/>
        <v>-9099103.1070000008</v>
      </c>
      <c r="N36" s="61">
        <f>SUM(N32:N35)</f>
        <v>1487133</v>
      </c>
      <c r="O36" s="39">
        <f>SUM(O32:O35)</f>
        <v>3955427.4509999999</v>
      </c>
      <c r="P36" s="61">
        <f>SUM(P32:P35)</f>
        <v>-47469</v>
      </c>
      <c r="Q36" s="39">
        <f>SUM(Q32:Q35)</f>
        <v>-1241502.594</v>
      </c>
      <c r="R36" s="61">
        <f t="shared" si="6"/>
        <v>257257</v>
      </c>
      <c r="S36" s="39">
        <f t="shared" si="6"/>
        <v>2103719.5660000001</v>
      </c>
      <c r="T36" s="61">
        <f t="shared" si="6"/>
        <v>1417800</v>
      </c>
      <c r="U36" s="39">
        <f t="shared" si="6"/>
        <v>1939369.5699999998</v>
      </c>
      <c r="V36" s="61">
        <f t="shared" si="6"/>
        <v>1691732</v>
      </c>
      <c r="W36" s="39">
        <f t="shared" si="6"/>
        <v>3440961.81</v>
      </c>
      <c r="X36" s="61">
        <f t="shared" si="6"/>
        <v>2059668</v>
      </c>
      <c r="Y36" s="39">
        <f t="shared" si="6"/>
        <v>4961945.1500000004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750232</v>
      </c>
      <c r="E39" s="38">
        <f t="shared" si="7"/>
        <v>1519293.5199999998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4</v>
      </c>
      <c r="I39" s="38">
        <f>'EAST-EGM-GL'!I39+'EAST-LRC-GL'!I39</f>
        <v>9.39</v>
      </c>
      <c r="J39" s="60">
        <f>'EAST-EGM-GL'!J39+'EAST-LRC-GL'!J39</f>
        <v>770309</v>
      </c>
      <c r="K39" s="38">
        <f>'EAST-EGM-GL'!K39+'EAST-LRC-GL'!K39</f>
        <v>1566414.25</v>
      </c>
      <c r="L39" s="60">
        <f>'EAST-EGM-GL'!L39+'EAST-LRC-GL'!L39</f>
        <v>-20081</v>
      </c>
      <c r="M39" s="38">
        <f>'EAST-EGM-GL'!M39+'EAST-LRC-GL'!M39</f>
        <v>-47130.12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-10963988</v>
      </c>
      <c r="E40" s="38">
        <f t="shared" si="7"/>
        <v>-23625197.640000001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-3453689</v>
      </c>
      <c r="I40" s="38">
        <f>'EAST-EGM-GL'!I40+'EAST-LRC-GL'!I40</f>
        <v>-8713594.5299999993</v>
      </c>
      <c r="J40" s="60">
        <f>'EAST-EGM-GL'!J40+'EAST-LRC-GL'!J40</f>
        <v>-3118320</v>
      </c>
      <c r="K40" s="38">
        <f>'EAST-EGM-GL'!K40+'EAST-LRC-GL'!K40</f>
        <v>-6271264.9199999999</v>
      </c>
      <c r="L40" s="60">
        <f>'EAST-EGM-GL'!L40+'EAST-LRC-GL'!L40</f>
        <v>-473240</v>
      </c>
      <c r="M40" s="38">
        <f>'EAST-EGM-GL'!M40+'EAST-LRC-GL'!M40</f>
        <v>-761624.74</v>
      </c>
      <c r="N40" s="60">
        <f>'EAST-EGM-GL'!N40+'EAST-LRC-GL'!N40</f>
        <v>-304099</v>
      </c>
      <c r="O40" s="38">
        <f>'EAST-EGM-GL'!O40+'EAST-LRC-GL'!O40</f>
        <v>-755367.55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-244612</v>
      </c>
      <c r="S40" s="38">
        <f>'EAST-EGM-GL'!S40+'EAST-LRC-GL'!S40</f>
        <v>-582332.89</v>
      </c>
      <c r="T40" s="60">
        <f>'EAST-EGM-GL'!T40+'EAST-LRC-GL'!T40</f>
        <v>-308071</v>
      </c>
      <c r="U40" s="38">
        <f>'EAST-EGM-GL'!U40+'EAST-LRC-GL'!U40</f>
        <v>-554701.93999999994</v>
      </c>
      <c r="V40" s="60">
        <f>'EAST-EGM-GL'!V40+'EAST-LRC-GL'!V40</f>
        <v>-1186605</v>
      </c>
      <c r="W40" s="38">
        <f>'EAST-EGM-GL'!W40+'EAST-LRC-GL'!W40</f>
        <v>-2991342.47</v>
      </c>
      <c r="X40" s="60">
        <f>'EAST-EGM-GL'!X40+'EAST-LRC-GL'!X40</f>
        <v>-1875352</v>
      </c>
      <c r="Y40" s="38">
        <f>'EAST-EGM-GL'!Y40+'EAST-LRC-GL'!Y40</f>
        <v>-2994968.6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-10963988</v>
      </c>
      <c r="E42" s="39">
        <f t="shared" si="8"/>
        <v>-23625197.640000001</v>
      </c>
      <c r="F42" s="61">
        <f t="shared" si="8"/>
        <v>0</v>
      </c>
      <c r="G42" s="39">
        <f t="shared" si="8"/>
        <v>0</v>
      </c>
      <c r="H42" s="61">
        <f t="shared" si="8"/>
        <v>-3453689</v>
      </c>
      <c r="I42" s="39">
        <f t="shared" si="8"/>
        <v>-8713594.5299999993</v>
      </c>
      <c r="J42" s="61">
        <f t="shared" si="8"/>
        <v>-3118320</v>
      </c>
      <c r="K42" s="39">
        <f t="shared" si="8"/>
        <v>-6271264.9199999999</v>
      </c>
      <c r="L42" s="61">
        <f t="shared" si="8"/>
        <v>-473240</v>
      </c>
      <c r="M42" s="39">
        <f t="shared" si="8"/>
        <v>-761624.74</v>
      </c>
      <c r="N42" s="61">
        <f>SUM(N40:N41)</f>
        <v>-304099</v>
      </c>
      <c r="O42" s="39">
        <f>SUM(O40:O41)</f>
        <v>-755367.55</v>
      </c>
      <c r="P42" s="61">
        <f>SUM(P40:P41)</f>
        <v>0</v>
      </c>
      <c r="Q42" s="39">
        <f>SUM(Q40:Q41)</f>
        <v>0</v>
      </c>
      <c r="R42" s="61">
        <f t="shared" si="8"/>
        <v>-244612</v>
      </c>
      <c r="S42" s="39">
        <f t="shared" si="8"/>
        <v>-582332.89</v>
      </c>
      <c r="T42" s="61">
        <f t="shared" si="8"/>
        <v>-308071</v>
      </c>
      <c r="U42" s="39">
        <f t="shared" si="8"/>
        <v>-554701.93999999994</v>
      </c>
      <c r="V42" s="61">
        <f t="shared" si="8"/>
        <v>-1186605</v>
      </c>
      <c r="W42" s="39">
        <f t="shared" si="8"/>
        <v>-2991342.47</v>
      </c>
      <c r="X42" s="61">
        <f t="shared" si="8"/>
        <v>-1875352</v>
      </c>
      <c r="Y42" s="39">
        <f t="shared" si="8"/>
        <v>-2994968.6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-10213756</v>
      </c>
      <c r="E43" s="39">
        <f t="shared" si="9"/>
        <v>-22105904.120000001</v>
      </c>
      <c r="F43" s="61">
        <f t="shared" si="9"/>
        <v>0</v>
      </c>
      <c r="G43" s="39">
        <f t="shared" si="9"/>
        <v>0</v>
      </c>
      <c r="H43" s="61">
        <f t="shared" si="9"/>
        <v>-3453685</v>
      </c>
      <c r="I43" s="39">
        <f t="shared" si="9"/>
        <v>-8713585.1399999987</v>
      </c>
      <c r="J43" s="61">
        <f t="shared" si="9"/>
        <v>-2348011</v>
      </c>
      <c r="K43" s="39">
        <f t="shared" si="9"/>
        <v>-4704850.67</v>
      </c>
      <c r="L43" s="61">
        <f t="shared" si="9"/>
        <v>-493321</v>
      </c>
      <c r="M43" s="39">
        <f t="shared" si="9"/>
        <v>-808754.86</v>
      </c>
      <c r="N43" s="61">
        <f>N42+N39</f>
        <v>-304099</v>
      </c>
      <c r="O43" s="39">
        <f>O42+O39</f>
        <v>-755367.55</v>
      </c>
      <c r="P43" s="61">
        <f>P42+P39</f>
        <v>0</v>
      </c>
      <c r="Q43" s="39">
        <f>Q42+Q39</f>
        <v>0</v>
      </c>
      <c r="R43" s="61">
        <f t="shared" si="9"/>
        <v>-244612</v>
      </c>
      <c r="S43" s="39">
        <f t="shared" si="9"/>
        <v>-582332.89</v>
      </c>
      <c r="T43" s="61">
        <f t="shared" si="9"/>
        <v>-308071</v>
      </c>
      <c r="U43" s="39">
        <f t="shared" si="9"/>
        <v>-554701.93999999994</v>
      </c>
      <c r="V43" s="61">
        <f t="shared" si="9"/>
        <v>-1186605</v>
      </c>
      <c r="W43" s="39">
        <f t="shared" si="9"/>
        <v>-2991342.47</v>
      </c>
      <c r="X43" s="61">
        <f t="shared" si="9"/>
        <v>-1875352</v>
      </c>
      <c r="Y43" s="39">
        <f t="shared" si="9"/>
        <v>-2994968.6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4326</v>
      </c>
      <c r="E45" s="38">
        <f>SUM(G45,I45,K45,M45,O45,Q45,S45,U45,W45,Y45,AA45,AC45,AE45)</f>
        <v>17.010000000000002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4326</v>
      </c>
      <c r="K45" s="38">
        <f>'EAST-EGM-GL'!K45+'EAST-LRC-GL'!K45</f>
        <v>17.010000000000002</v>
      </c>
      <c r="L45" s="60">
        <f>'EAST-EGM-GL'!L45+'EAST-LRC-GL'!L45</f>
        <v>4326</v>
      </c>
      <c r="M45" s="38">
        <f>'EAST-EGM-GL'!M45+'EAST-LRC-GL'!M45</f>
        <v>17.010000000000002</v>
      </c>
      <c r="N45" s="60">
        <f>'EAST-EGM-GL'!N45+'EAST-LRC-GL'!N45</f>
        <v>-4326</v>
      </c>
      <c r="O45" s="38">
        <f>'EAST-EGM-GL'!O45+'EAST-LRC-GL'!O45</f>
        <v>-17.010000000000002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-2304086</v>
      </c>
      <c r="E49" s="38">
        <f>SUM(G49,I49,K49,M49,O49,Q49,S49,U49,W49,Y49,AA49,AC49,AE49)</f>
        <v>-5407689.850999997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-4110479</v>
      </c>
      <c r="I49" s="38">
        <f>'EAST-EGM-GL'!I49+'EAST-LRC-GL'!I49</f>
        <v>-9647294.2130000014</v>
      </c>
      <c r="J49" s="60">
        <f>'EAST-EGM-GL'!J49+'EAST-LRC-GL'!J49</f>
        <v>-5585605</v>
      </c>
      <c r="K49" s="38">
        <f>'EAST-EGM-GL'!K49+'EAST-LRC-GL'!K49</f>
        <v>-13109414.934999997</v>
      </c>
      <c r="L49" s="60">
        <f>'EAST-EGM-GL'!L49+'EAST-LRC-GL'!L49</f>
        <v>8622112</v>
      </c>
      <c r="M49" s="38">
        <f>'EAST-EGM-GL'!M49+'EAST-LRC-GL'!M49</f>
        <v>20236096.864</v>
      </c>
      <c r="N49" s="60">
        <f>'EAST-EGM-GL'!N49+'EAST-LRC-GL'!N49</f>
        <v>-1176884</v>
      </c>
      <c r="O49" s="38">
        <f>'EAST-EGM-GL'!O49+'EAST-LRC-GL'!O49</f>
        <v>-2762146.7480000001</v>
      </c>
      <c r="P49" s="60">
        <f>'EAST-EGM-GL'!P49+'EAST-LRC-GL'!P49</f>
        <v>1850610</v>
      </c>
      <c r="Q49" s="38">
        <f>'EAST-EGM-GL'!Q49+'EAST-LRC-GL'!Q49</f>
        <v>4343381.67</v>
      </c>
      <c r="R49" s="60">
        <f>'EAST-EGM-GL'!R49+'EAST-LRC-GL'!R49</f>
        <v>-1257727</v>
      </c>
      <c r="S49" s="38">
        <f>'EAST-EGM-GL'!S49+'EAST-LRC-GL'!S49</f>
        <v>-2951885.2689999999</v>
      </c>
      <c r="T49" s="60">
        <f>'EAST-EGM-GL'!T49+'EAST-LRC-GL'!T49</f>
        <v>135349</v>
      </c>
      <c r="U49" s="38">
        <f>'EAST-EGM-GL'!U49+'EAST-LRC-GL'!U49</f>
        <v>317664.09999999998</v>
      </c>
      <c r="V49" s="60">
        <f>'EAST-EGM-GL'!V49+'EAST-LRC-GL'!V49</f>
        <v>-333245</v>
      </c>
      <c r="W49" s="38">
        <f>'EAST-EGM-GL'!W49+'EAST-LRC-GL'!W49</f>
        <v>-782126.02</v>
      </c>
      <c r="X49" s="60">
        <f>'EAST-EGM-GL'!X49+'EAST-LRC-GL'!X49</f>
        <v>-448217</v>
      </c>
      <c r="Y49" s="38">
        <f>'EAST-EGM-GL'!Y49+'EAST-LRC-GL'!Y49</f>
        <v>-1051965.3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-556712</v>
      </c>
      <c r="E51" s="38">
        <f>SUM(G51,I51,K51,M51,O51,Q51,S51,U51,W51,Y51,AA51,AC51,AE51)</f>
        <v>-1293498.9800000002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-1597692</v>
      </c>
      <c r="I51" s="38">
        <f>'EAST-EGM-GL'!I51+'EAST-LRC-GL'!I51</f>
        <v>-3749783.1239999998</v>
      </c>
      <c r="J51" s="60">
        <f>'EAST-EGM-GL'!J51+'EAST-LRC-GL'!J51</f>
        <v>-129549</v>
      </c>
      <c r="K51" s="38">
        <f>'EAST-EGM-GL'!K51+'EAST-LRC-GL'!K51</f>
        <v>-306671.75599999999</v>
      </c>
      <c r="L51" s="60">
        <f>'EAST-EGM-GL'!L51+'EAST-LRC-GL'!L51</f>
        <v>-20496</v>
      </c>
      <c r="M51" s="38">
        <f>'EAST-EGM-GL'!M51+'EAST-LRC-GL'!M51</f>
        <v>-50725.935000000012</v>
      </c>
      <c r="N51" s="60">
        <f>'EAST-EGM-GL'!N51+'EAST-LRC-GL'!N51</f>
        <v>-478414</v>
      </c>
      <c r="O51" s="38">
        <f>'EAST-EGM-GL'!O51+'EAST-LRC-GL'!O51</f>
        <v>-1104491.5049999999</v>
      </c>
      <c r="P51" s="60">
        <f>'EAST-EGM-GL'!P51+'EAST-LRC-GL'!P51</f>
        <v>1570693</v>
      </c>
      <c r="Q51" s="38">
        <f>'EAST-EGM-GL'!Q51+'EAST-LRC-GL'!Q51</f>
        <v>3686416.4709999999</v>
      </c>
      <c r="R51" s="60">
        <f>'EAST-EGM-GL'!R51+'EAST-LRC-GL'!R51</f>
        <v>-5493</v>
      </c>
      <c r="S51" s="38">
        <f>'EAST-EGM-GL'!S51+'EAST-LRC-GL'!S51</f>
        <v>-12892.071</v>
      </c>
      <c r="T51" s="60">
        <f>'EAST-EGM-GL'!T51+'EAST-LRC-GL'!T51</f>
        <v>102805</v>
      </c>
      <c r="U51" s="38">
        <f>'EAST-EGM-GL'!U51+'EAST-LRC-GL'!U51</f>
        <v>241283.34</v>
      </c>
      <c r="V51" s="60">
        <f>'EAST-EGM-GL'!V51+'EAST-LRC-GL'!V51</f>
        <v>1438</v>
      </c>
      <c r="W51" s="38">
        <f>'EAST-EGM-GL'!W51+'EAST-LRC-GL'!W51</f>
        <v>3374.99</v>
      </c>
      <c r="X51" s="60">
        <f>'EAST-EGM-GL'!X51+'EAST-LRC-GL'!X51</f>
        <v>-4</v>
      </c>
      <c r="Y51" s="38">
        <f>'EAST-EGM-GL'!Y51+'EAST-LRC-GL'!Y51</f>
        <v>-9.39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-142094227</v>
      </c>
      <c r="E54" s="38">
        <f>SUM(G54,I54,K54,M54,O54,Q54,S54,U54,W54,Y54,AA54,AC54,AE54)</f>
        <v>-2295126.4500000002</v>
      </c>
      <c r="F54" s="64">
        <f>('TIE-OUT'!L54+'TIE-OUT'!J54)+(RECLASS!J54+RECLASS!H54)</f>
        <v>0</v>
      </c>
      <c r="G54" s="68">
        <f>('TIE-OUT'!M54+'TIE-OUT'!K54)+(RECLASS!K54+RECLASS!I54)</f>
        <v>108584</v>
      </c>
      <c r="H54" s="60">
        <f>'EAST-EGM-GL'!H54+'EAST-LRC-GL'!H54</f>
        <v>-157687723</v>
      </c>
      <c r="I54" s="38">
        <f>'EAST-EGM-GL'!I54+'EAST-LRC-GL'!I54</f>
        <v>-2362930</v>
      </c>
      <c r="J54" s="60">
        <f>'EAST-EGM-GL'!J54+'EAST-LRC-GL'!J54</f>
        <v>28139750</v>
      </c>
      <c r="K54" s="38">
        <f>'EAST-EGM-GL'!K54+'EAST-LRC-GL'!K54</f>
        <v>1049202.02</v>
      </c>
      <c r="L54" s="60">
        <f>'EAST-EGM-GL'!L54+'EAST-LRC-GL'!L54</f>
        <v>-1173052</v>
      </c>
      <c r="M54" s="38">
        <f>'EAST-EGM-GL'!M54+'EAST-LRC-GL'!M54</f>
        <v>-1656853.35</v>
      </c>
      <c r="N54" s="60">
        <f>'EAST-EGM-GL'!N54+'EAST-LRC-GL'!N54</f>
        <v>-1856445</v>
      </c>
      <c r="O54" s="38">
        <f>'EAST-EGM-GL'!O54+'EAST-LRC-GL'!O54</f>
        <v>-80614.790000000008</v>
      </c>
      <c r="P54" s="60">
        <f>'EAST-EGM-GL'!P54+'EAST-LRC-GL'!P54</f>
        <v>-8398484</v>
      </c>
      <c r="Q54" s="38">
        <f>'EAST-EGM-GL'!Q54+'EAST-LRC-GL'!Q54</f>
        <v>-218497.97</v>
      </c>
      <c r="R54" s="60">
        <f>'EAST-EGM-GL'!R54+'EAST-LRC-GL'!R54</f>
        <v>-175837</v>
      </c>
      <c r="S54" s="38">
        <f>'EAST-EGM-GL'!S54+'EAST-LRC-GL'!S54</f>
        <v>941283.21</v>
      </c>
      <c r="T54" s="60">
        <f>'EAST-EGM-GL'!T54+'EAST-LRC-GL'!T54</f>
        <v>-158738</v>
      </c>
      <c r="U54" s="38">
        <f>'EAST-EGM-GL'!U54+'EAST-LRC-GL'!U54</f>
        <v>-85145.37</v>
      </c>
      <c r="V54" s="60">
        <f>'EAST-EGM-GL'!V54+'EAST-LRC-GL'!V54</f>
        <v>-213720</v>
      </c>
      <c r="W54" s="38">
        <f>'EAST-EGM-GL'!W54+'EAST-LRC-GL'!W54</f>
        <v>12721.68</v>
      </c>
      <c r="X54" s="60">
        <f>'EAST-EGM-GL'!X54+'EAST-LRC-GL'!X54</f>
        <v>-569978</v>
      </c>
      <c r="Y54" s="38">
        <f>'EAST-EGM-GL'!Y54+'EAST-LRC-GL'!Y54</f>
        <v>-2875.88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-7173409.660000002</v>
      </c>
      <c r="F55" s="81">
        <f>('TIE-OUT'!L55+'TIE-OUT'!J55)+(RECLASS!J55+RECLASS!H55)</f>
        <v>0</v>
      </c>
      <c r="G55" s="82">
        <f>('TIE-OUT'!M55+'TIE-OUT'!K55)+(RECLASS!K55+RECLASS!I55)</f>
        <v>37782</v>
      </c>
      <c r="H55" s="60">
        <f>'EAST-EGM-GL'!H55+'EAST-LRC-GL'!H55</f>
        <v>0</v>
      </c>
      <c r="I55" s="38">
        <f>'EAST-EGM-GL'!I55+'EAST-LRC-GL'!I55</f>
        <v>-6131068.8900000006</v>
      </c>
      <c r="J55" s="60">
        <f>'EAST-EGM-GL'!J55+'EAST-LRC-GL'!J55</f>
        <v>0</v>
      </c>
      <c r="K55" s="38">
        <f>'EAST-EGM-GL'!K55+'EAST-LRC-GL'!K55</f>
        <v>-608301.96</v>
      </c>
      <c r="L55" s="60">
        <f>'EAST-EGM-GL'!L55+'EAST-LRC-GL'!L55</f>
        <v>0</v>
      </c>
      <c r="M55" s="38">
        <f>'EAST-EGM-GL'!M55+'EAST-LRC-GL'!M55</f>
        <v>-265948.82</v>
      </c>
      <c r="N55" s="60">
        <f>'EAST-EGM-GL'!N55+'EAST-LRC-GL'!N55</f>
        <v>0</v>
      </c>
      <c r="O55" s="38">
        <f>'EAST-EGM-GL'!O55+'EAST-LRC-GL'!O55</f>
        <v>5495.45</v>
      </c>
      <c r="P55" s="60">
        <f>'EAST-EGM-GL'!P55+'EAST-LRC-GL'!P55</f>
        <v>0</v>
      </c>
      <c r="Q55" s="38">
        <f>'EAST-EGM-GL'!Q55+'EAST-LRC-GL'!Q55</f>
        <v>-5072.4399999999996</v>
      </c>
      <c r="R55" s="60">
        <f>'EAST-EGM-GL'!R55+'EAST-LRC-GL'!R55</f>
        <v>0</v>
      </c>
      <c r="S55" s="38">
        <f>'EAST-EGM-GL'!S55+'EAST-LRC-GL'!S55</f>
        <v>-206592.48</v>
      </c>
      <c r="T55" s="60">
        <f>'EAST-EGM-GL'!T55+'EAST-LRC-GL'!T55</f>
        <v>0</v>
      </c>
      <c r="U55" s="38">
        <f>'EAST-EGM-GL'!U55+'EAST-LRC-GL'!U55</f>
        <v>687.88</v>
      </c>
      <c r="V55" s="60">
        <f>'EAST-EGM-GL'!V55+'EAST-LRC-GL'!V55</f>
        <v>0</v>
      </c>
      <c r="W55" s="38">
        <f>'EAST-EGM-GL'!W55+'EAST-LRC-GL'!W55</f>
        <v>-50</v>
      </c>
      <c r="X55" s="60">
        <f>'EAST-EGM-GL'!X55+'EAST-LRC-GL'!X55</f>
        <v>0</v>
      </c>
      <c r="Y55" s="38">
        <f>'EAST-EGM-GL'!Y55+'EAST-LRC-GL'!Y55</f>
        <v>-340.4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-142094227</v>
      </c>
      <c r="E56" s="39">
        <f t="shared" si="10"/>
        <v>-9468536.1100000031</v>
      </c>
      <c r="F56" s="61">
        <f t="shared" si="10"/>
        <v>0</v>
      </c>
      <c r="G56" s="39">
        <f t="shared" si="10"/>
        <v>146366</v>
      </c>
      <c r="H56" s="61">
        <f t="shared" si="10"/>
        <v>-157687723</v>
      </c>
      <c r="I56" s="39">
        <f t="shared" si="10"/>
        <v>-8493998.8900000006</v>
      </c>
      <c r="J56" s="61">
        <f t="shared" si="10"/>
        <v>28139750</v>
      </c>
      <c r="K56" s="39">
        <f t="shared" si="10"/>
        <v>440900.06000000006</v>
      </c>
      <c r="L56" s="61">
        <f t="shared" si="10"/>
        <v>-1173052</v>
      </c>
      <c r="M56" s="39">
        <f t="shared" si="10"/>
        <v>-1922802.1700000002</v>
      </c>
      <c r="N56" s="61">
        <f>SUM(N54:N55)</f>
        <v>-1856445</v>
      </c>
      <c r="O56" s="39">
        <f>SUM(O54:O55)</f>
        <v>-75119.340000000011</v>
      </c>
      <c r="P56" s="61">
        <f>SUM(P54:P55)</f>
        <v>-8398484</v>
      </c>
      <c r="Q56" s="39">
        <f>SUM(Q54:Q55)</f>
        <v>-223570.41</v>
      </c>
      <c r="R56" s="61">
        <f t="shared" si="10"/>
        <v>-175837</v>
      </c>
      <c r="S56" s="39">
        <f t="shared" si="10"/>
        <v>734690.73</v>
      </c>
      <c r="T56" s="61">
        <f t="shared" si="10"/>
        <v>-158738</v>
      </c>
      <c r="U56" s="39">
        <f t="shared" si="10"/>
        <v>-84457.489999999991</v>
      </c>
      <c r="V56" s="61">
        <f t="shared" si="10"/>
        <v>-213720</v>
      </c>
      <c r="W56" s="39">
        <f t="shared" si="10"/>
        <v>12671.68</v>
      </c>
      <c r="X56" s="61">
        <f t="shared" si="10"/>
        <v>-569978</v>
      </c>
      <c r="Y56" s="39">
        <f t="shared" si="10"/>
        <v>-3216.28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2844445</v>
      </c>
      <c r="E59" s="38">
        <f>SUM(G59,I59,K59,M59,O59,Q59,S59,U59,W59,Y59,AA59,AC59,AE59)</f>
        <v>-65989.34</v>
      </c>
      <c r="F59" s="64">
        <f>('TIE-OUT'!L59+'TIE-OUT'!J59)+(RECLASS!J59+RECLASS!H59)</f>
        <v>0</v>
      </c>
      <c r="G59" s="68">
        <f>('TIE-OUT'!M59+'TIE-OUT'!K59)+(RECLASS!K59+RECLASS!I59)</f>
        <v>-170000</v>
      </c>
      <c r="H59" s="60">
        <f>'EAST-EGM-GL'!H59+'EAST-LRC-GL'!H59</f>
        <v>2702272</v>
      </c>
      <c r="I59" s="38">
        <f>'EAST-EGM-GL'!I59+'EAST-LRC-GL'!I59</f>
        <v>105021.34</v>
      </c>
      <c r="J59" s="60">
        <f>'EAST-EGM-GL'!J59+'EAST-LRC-GL'!J59</f>
        <v>447564</v>
      </c>
      <c r="K59" s="38">
        <f>'EAST-EGM-GL'!K59+'EAST-LRC-GL'!K59</f>
        <v>-19336.399999999998</v>
      </c>
      <c r="L59" s="60">
        <f>'EAST-EGM-GL'!L59+'EAST-LRC-GL'!L59</f>
        <v>-311441</v>
      </c>
      <c r="M59" s="38">
        <f>'EAST-EGM-GL'!M59+'EAST-LRC-GL'!M59</f>
        <v>18325.72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6050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954</v>
      </c>
      <c r="E60" s="38">
        <f>SUM(G60,I60,K60,M60,O60,Q60,S60,U60,W60,Y60,AA60,AC60,AE60)</f>
        <v>170000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954</v>
      </c>
      <c r="I60" s="38">
        <f>'EAST-EGM-GL'!I60+'EAST-LRC-GL'!I60</f>
        <v>170000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2845399</v>
      </c>
      <c r="E61" s="39">
        <f t="shared" si="11"/>
        <v>104010.66</v>
      </c>
      <c r="F61" s="61">
        <f t="shared" si="11"/>
        <v>0</v>
      </c>
      <c r="G61" s="39">
        <f t="shared" si="11"/>
        <v>-170000</v>
      </c>
      <c r="H61" s="61">
        <f t="shared" si="11"/>
        <v>2703226</v>
      </c>
      <c r="I61" s="39">
        <f t="shared" si="11"/>
        <v>275021.33999999997</v>
      </c>
      <c r="J61" s="61">
        <f t="shared" si="11"/>
        <v>447564</v>
      </c>
      <c r="K61" s="39">
        <f t="shared" si="11"/>
        <v>-19336.399999999998</v>
      </c>
      <c r="L61" s="61">
        <f t="shared" si="11"/>
        <v>-311441</v>
      </c>
      <c r="M61" s="39">
        <f t="shared" si="11"/>
        <v>18325.72</v>
      </c>
      <c r="N61" s="61">
        <f>SUM(N59:N60)</f>
        <v>0</v>
      </c>
      <c r="O61" s="39">
        <f>SUM(O59:O60)</f>
        <v>0</v>
      </c>
      <c r="P61" s="61">
        <f>SUM(P59:P60)</f>
        <v>6050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-24123340</v>
      </c>
      <c r="E64" s="38">
        <f>SUM(G64,I64,K64,M64,O64,Q64,S64,U64,W64,Y64,AA64,AC64,AE64)</f>
        <v>-2913459.31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-16988349</v>
      </c>
      <c r="I64" s="38">
        <f>'EAST-EGM-GL'!I64+'EAST-LRC-GL'!I64</f>
        <v>-2723749.53</v>
      </c>
      <c r="J64" s="60">
        <f>'EAST-EGM-GL'!J64+'EAST-LRC-GL'!J64</f>
        <v>-7410016</v>
      </c>
      <c r="K64" s="38">
        <f>'EAST-EGM-GL'!K64+'EAST-LRC-GL'!K64</f>
        <v>-215659.62</v>
      </c>
      <c r="L64" s="60">
        <f>'EAST-EGM-GL'!L64+'EAST-LRC-GL'!L64</f>
        <v>278840</v>
      </c>
      <c r="M64" s="38">
        <f>'EAST-EGM-GL'!M64+'EAST-LRC-GL'!M64</f>
        <v>27884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-3815</v>
      </c>
      <c r="Q64" s="38">
        <f>'EAST-EGM-GL'!Q64+'EAST-LRC-GL'!Q64</f>
        <v>-1934.16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24123340</v>
      </c>
      <c r="E65" s="38">
        <f>SUM(G65,I65,K65,M65,O65,Q65,S65,U65,W65,Y65,AA65,AC65,AE65)</f>
        <v>2913459.31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16987318</v>
      </c>
      <c r="I65" s="38">
        <f>'EAST-EGM-GL'!I65+'EAST-LRC-GL'!I65</f>
        <v>2724036.52</v>
      </c>
      <c r="J65" s="60">
        <f>'EAST-EGM-GL'!J65+'EAST-LRC-GL'!J65</f>
        <v>7411047</v>
      </c>
      <c r="K65" s="38">
        <f>'EAST-EGM-GL'!K65+'EAST-LRC-GL'!K65</f>
        <v>215372.62</v>
      </c>
      <c r="L65" s="60">
        <f>'EAST-EGM-GL'!L65+'EAST-LRC-GL'!L65</f>
        <v>-278840</v>
      </c>
      <c r="M65" s="38">
        <f>'EAST-EGM-GL'!M65+'EAST-LRC-GL'!M65</f>
        <v>-27883.99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3815</v>
      </c>
      <c r="S65" s="38">
        <f>'EAST-EGM-GL'!S65+'EAST-LRC-GL'!S65</f>
        <v>1934.16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-1031</v>
      </c>
      <c r="I66" s="39">
        <f t="shared" si="12"/>
        <v>286.99000000022352</v>
      </c>
      <c r="J66" s="61">
        <f t="shared" si="12"/>
        <v>1031</v>
      </c>
      <c r="K66" s="39">
        <f t="shared" si="12"/>
        <v>-287</v>
      </c>
      <c r="L66" s="61">
        <f t="shared" si="12"/>
        <v>0</v>
      </c>
      <c r="M66" s="39">
        <f t="shared" si="12"/>
        <v>9.9999999983992893E-3</v>
      </c>
      <c r="N66" s="61">
        <f>SUM(N64:N65)</f>
        <v>0</v>
      </c>
      <c r="O66" s="39">
        <f>SUM(O64:O65)</f>
        <v>0</v>
      </c>
      <c r="P66" s="61">
        <f>SUM(P64:P65)</f>
        <v>-3815</v>
      </c>
      <c r="Q66" s="39">
        <f>SUM(Q64:Q65)</f>
        <v>-1934.16</v>
      </c>
      <c r="R66" s="61">
        <f t="shared" si="12"/>
        <v>3815</v>
      </c>
      <c r="S66" s="39">
        <f t="shared" si="12"/>
        <v>1934.16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13133657.73</v>
      </c>
      <c r="F70" s="64">
        <f>('TIE-OUT'!L70+'TIE-OUT'!J70)+(RECLASS!J70+RECLASS!H70)</f>
        <v>0</v>
      </c>
      <c r="G70" s="68">
        <f>('TIE-OUT'!M70+'TIE-OUT'!K70)+(RECLASS!K70+RECLASS!I70)</f>
        <v>13133657.73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-5194257</v>
      </c>
      <c r="F71" s="81">
        <f>('TIE-OUT'!L71+'TIE-OUT'!J71)+(RECLASS!J71+RECLASS!H71)</f>
        <v>0</v>
      </c>
      <c r="G71" s="82">
        <f>('TIE-OUT'!M71+'TIE-OUT'!K71)+(RECLASS!K71+RECLASS!I71)</f>
        <v>-5194257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7939400.7300000004</v>
      </c>
      <c r="F72" s="61">
        <f t="shared" si="13"/>
        <v>0</v>
      </c>
      <c r="G72" s="39">
        <f t="shared" si="13"/>
        <v>7939400.7300000004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-6714622.4600000009</v>
      </c>
      <c r="F74" s="60">
        <f>('TIE-OUT'!L74+'TIE-OUT'!J74)+(RECLASS!J74+RECLASS!H74)</f>
        <v>0</v>
      </c>
      <c r="G74" s="60">
        <f>('TIE-OUT'!M74+'TIE-OUT'!K74)+(RECLASS!K74+RECLASS!I74)</f>
        <v>-25237118.350000001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18522495.890000001</v>
      </c>
      <c r="N74" s="60">
        <f>'EAST-EGM-GL'!N74+'EAST-LRC-GL'!N74</f>
        <v>0</v>
      </c>
      <c r="O74" s="38"/>
      <c r="P74" s="60">
        <f>'EAST-EGM-GL'!P74+'EAST-LRC-GL'!P74</f>
        <v>0</v>
      </c>
      <c r="Q74" s="38"/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323400</v>
      </c>
      <c r="F75" s="60">
        <f>('TIE-OUT'!L75+'TIE-OUT'!J75)+(RECLASS!J75+RECLASS!H75)</f>
        <v>0</v>
      </c>
      <c r="G75" s="60">
        <f>('TIE-OUT'!M75+'TIE-OUT'!K75)+(RECLASS!K75+RECLASS!I75)</f>
        <v>323400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435.78999999999996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-8979.5400000000009</v>
      </c>
      <c r="J76" s="60">
        <f>'EAST-EGM-GL'!J76+'EAST-LRC-GL'!J76</f>
        <v>0</v>
      </c>
      <c r="K76" s="38">
        <f>'EAST-EGM-GL'!K76+'EAST-LRC-GL'!K76</f>
        <v>-3678.71</v>
      </c>
      <c r="L76" s="60">
        <f>'EAST-EGM-GL'!L76+'EAST-LRC-GL'!L76</f>
        <v>0</v>
      </c>
      <c r="M76" s="38">
        <f>'EAST-EGM-GL'!M76+'EAST-LRC-GL'!M76</f>
        <v>7129.76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5964.28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-2658334</v>
      </c>
      <c r="F77" s="60">
        <f>('TIE-OUT'!L77+'TIE-OUT'!J77)+(RECLASS!J77+RECLASS!H77)</f>
        <v>0</v>
      </c>
      <c r="G77" s="60">
        <f>('TIE-OUT'!M77+'TIE-OUT'!K77)+(RECLASS!K77+RECLASS!I77)</f>
        <v>-2658334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25279</v>
      </c>
      <c r="F78" s="60">
        <f>('TIE-OUT'!L78+'TIE-OUT'!J78)+(RECLASS!J78+RECLASS!H78)</f>
        <v>0</v>
      </c>
      <c r="G78" s="60">
        <f>('TIE-OUT'!M78+'TIE-OUT'!K78)+(RECLASS!K78+RECLASS!I78)</f>
        <v>25279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-0.41000000000349246</v>
      </c>
      <c r="F81" s="60">
        <f>('TIE-OUT'!L81+'TIE-OUT'!J81)+(RECLASS!J81+RECLASS!H81)</f>
        <v>0</v>
      </c>
      <c r="G81" s="60">
        <f>('TIE-OUT'!M81+'TIE-OUT'!K81)+(RECLASS!K81+RECLASS!I81)</f>
        <v>-226414</v>
      </c>
      <c r="H81" s="60">
        <f>'EAST-EGM-GL'!H81+'EAST-LRC-GL'!H81</f>
        <v>0</v>
      </c>
      <c r="I81" s="38">
        <f>'EAST-EGM-GL'!I81+'EAST-LRC-GL'!I81</f>
        <v>201134.56</v>
      </c>
      <c r="J81" s="60">
        <f>'EAST-EGM-GL'!J81+'EAST-LRC-GL'!J81</f>
        <v>0</v>
      </c>
      <c r="K81" s="38">
        <f>'EAST-EGM-GL'!K81+'EAST-LRC-GL'!K81</f>
        <v>25279.03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9816332.1789998896</v>
      </c>
      <c r="F82" s="91">
        <f>F16+F24+F29+F36+F43+F45+F47+F49</f>
        <v>0</v>
      </c>
      <c r="G82" s="92">
        <f>SUM(G72:G81)+G16+G24+G29+G36+G43+G45+G47+G49+G51+G56+G61+G66</f>
        <v>-37911244.200000003</v>
      </c>
      <c r="H82" s="91">
        <f>H16+H24+H29+H36+H43+H45+H47+H49</f>
        <v>0</v>
      </c>
      <c r="I82" s="92">
        <f>SUM(I72:I81)+I16+I24+I29+I36+I43+I45+I47+I49+I51+I56+I61+I66</f>
        <v>11431733.79499981</v>
      </c>
      <c r="J82" s="91">
        <f>J16+J24+J29+J36+J43+J45+J47+J49</f>
        <v>0</v>
      </c>
      <c r="K82" s="92">
        <f>SUM(K72:K81)+K16+K24+K29+K36+K43+K45+K47+K49+K51+K56+K61+K66</f>
        <v>5026058.7669999916</v>
      </c>
      <c r="L82" s="91">
        <f>L16+L24+L29+L36+L43+L45+L47+L49</f>
        <v>0</v>
      </c>
      <c r="M82" s="92">
        <f>SUM(M72:M81)+M16+M24+M29+M36+M43+M45+M47+M49+M51+M56+M61+M66</f>
        <v>19772828.977000002</v>
      </c>
      <c r="N82" s="91">
        <f>N16+N24+N29+N36+N43+N45+N47+N49</f>
        <v>0</v>
      </c>
      <c r="O82" s="92">
        <f>SUM(O72:O81)+O16+O24+O29+O36+O43+O45+O47+O49+O51+O56+O61+O66</f>
        <v>5943282.2889999999</v>
      </c>
      <c r="P82" s="91">
        <f>P16+P24+P29+P36+P43+P45+P47+P49</f>
        <v>0</v>
      </c>
      <c r="Q82" s="92">
        <f>SUM(Q72:Q81)+Q16+Q24+Q29+Q36+Q43+Q45+Q47+Q49+Q51+Q56+Q61+Q66</f>
        <v>2113007.8139999984</v>
      </c>
      <c r="R82" s="91">
        <f>R16+R24+R29+R36+R43+R45+R47+R49</f>
        <v>0</v>
      </c>
      <c r="S82" s="92">
        <f>SUM(S72:S81)+S16+S24+S29+S36+S43+S45+S47+S49+S51+S56+S61+S66</f>
        <v>3325097.1669999999</v>
      </c>
      <c r="T82" s="91">
        <f>T16+T24+T29+T36+T43+T45+T47+T49</f>
        <v>0</v>
      </c>
      <c r="U82" s="92">
        <f>SUM(U72:U81)+U16+U24+U29+U36+U43+U45+U47+U49+U51+U56+U61+U66</f>
        <v>-887562.12000000034</v>
      </c>
      <c r="V82" s="91">
        <f>V16+V24+V29+V36+V43+V45+V47+V49</f>
        <v>0</v>
      </c>
      <c r="W82" s="92">
        <f>SUM(W72:W81)+W16+W24+W29+W36+W43+W45+W47+W49+W51+W56+W61+W66</f>
        <v>-525773.87</v>
      </c>
      <c r="X82" s="91">
        <f>X16+X24+X29+X36+X43+X45+X47+X49</f>
        <v>0</v>
      </c>
      <c r="Y82" s="92">
        <f>SUM(Y72:Y81)+Y16+Y24+Y29+Y36+Y43+Y45+Y47+Y49+Y51+Y56+Y61+Y66</f>
        <v>1528903.5600000008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9752123.0189999975</v>
      </c>
      <c r="G84" s="14">
        <f>+'EAST-LRC-GL'!G82+'EAST-EGM-GL'!G82</f>
        <v>-37911244.199999996</v>
      </c>
      <c r="I84" s="14">
        <f>+'EAST-LRC-GL'!I82+'EAST-EGM-GL'!I82</f>
        <v>11431733.794999858</v>
      </c>
      <c r="K84" s="14">
        <f>+'EAST-LRC-GL'!K82+'EAST-EGM-GL'!K82</f>
        <v>5026058.766999986</v>
      </c>
    </row>
    <row r="85" spans="1:77" x14ac:dyDescent="0.25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477103</v>
      </c>
      <c r="F86" s="145">
        <f>'EAST-EGM-GL'!F86+'EAST-LRC-GL'!F86</f>
        <v>0</v>
      </c>
      <c r="G86" s="145">
        <f>'EAST-EGM-GL'!G86+'EAST-LRC-GL'!G86</f>
        <v>477103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477103</v>
      </c>
      <c r="F89" s="155">
        <f t="shared" si="16"/>
        <v>0</v>
      </c>
      <c r="G89" s="155">
        <f t="shared" si="16"/>
        <v>477103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10293435.17899989</v>
      </c>
      <c r="F91" s="160">
        <f t="shared" si="19"/>
        <v>0</v>
      </c>
      <c r="G91" s="160">
        <f t="shared" si="19"/>
        <v>-37434141.200000003</v>
      </c>
      <c r="H91" s="160">
        <f t="shared" si="19"/>
        <v>0</v>
      </c>
      <c r="I91" s="160">
        <f t="shared" si="19"/>
        <v>11431733.79499981</v>
      </c>
      <c r="J91" s="160">
        <f t="shared" si="19"/>
        <v>0</v>
      </c>
      <c r="K91" s="160">
        <f t="shared" si="19"/>
        <v>5026058.7669999916</v>
      </c>
      <c r="L91" s="160">
        <f t="shared" si="19"/>
        <v>0</v>
      </c>
      <c r="M91" s="160">
        <f t="shared" si="19"/>
        <v>19772828.977000002</v>
      </c>
      <c r="N91" s="160">
        <f t="shared" ref="N91:AE91" si="20">+N82+N89</f>
        <v>0</v>
      </c>
      <c r="O91" s="160">
        <f t="shared" si="20"/>
        <v>5943282.2889999999</v>
      </c>
      <c r="P91" s="160">
        <f t="shared" si="20"/>
        <v>0</v>
      </c>
      <c r="Q91" s="160">
        <f t="shared" si="20"/>
        <v>2113007.8139999984</v>
      </c>
      <c r="R91" s="160">
        <f t="shared" si="20"/>
        <v>0</v>
      </c>
      <c r="S91" s="160">
        <f t="shared" si="20"/>
        <v>3325097.1669999999</v>
      </c>
      <c r="T91" s="160">
        <f t="shared" si="20"/>
        <v>0</v>
      </c>
      <c r="U91" s="160">
        <f t="shared" si="20"/>
        <v>-887562.12000000034</v>
      </c>
      <c r="V91" s="160">
        <f t="shared" si="20"/>
        <v>0</v>
      </c>
      <c r="W91" s="160">
        <f t="shared" si="20"/>
        <v>-525773.87</v>
      </c>
      <c r="X91" s="160">
        <f t="shared" si="20"/>
        <v>0</v>
      </c>
      <c r="Y91" s="160">
        <f t="shared" si="20"/>
        <v>1528903.5600000008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T44" activePane="bottomRight" state="frozen"/>
      <selection activeCell="X9" sqref="X9"/>
      <selection pane="topRight" activeCell="X9" sqref="X9"/>
      <selection pane="bottomLeft" activeCell="X9" sqref="X9"/>
      <selection pane="bottomRight" activeCell="X9" sqref="X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>SUM(N11:N15)</f>
        <v>0</v>
      </c>
      <c r="O16" s="61">
        <f>SUM(O11:O15)</f>
        <v>0</v>
      </c>
      <c r="P16" s="61">
        <f>SUM(P11:P15)</f>
        <v>0</v>
      </c>
      <c r="Q16" s="61">
        <f>SUM(Q11:Q15)</f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>SUM(N19:N23)</f>
        <v>0</v>
      </c>
      <c r="O24" s="61">
        <f>SUM(O19:O23)</f>
        <v>0</v>
      </c>
      <c r="P24" s="61">
        <f>SUM(P19:P23)</f>
        <v>0</v>
      </c>
      <c r="Q24" s="61">
        <f>SUM(Q19:Q23)</f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>SUM(N27:N28)</f>
        <v>0</v>
      </c>
      <c r="O29" s="61">
        <f>SUM(O27:O28)</f>
        <v>0</v>
      </c>
      <c r="P29" s="61">
        <f>SUM(P27:P28)</f>
        <v>0</v>
      </c>
      <c r="Q29" s="61">
        <f>SUM(Q27:Q28)</f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>SUM(N32:N35)</f>
        <v>0</v>
      </c>
      <c r="O36" s="61">
        <f>SUM(O32:O35)</f>
        <v>0</v>
      </c>
      <c r="P36" s="61">
        <f>SUM(P32:P35)</f>
        <v>0</v>
      </c>
      <c r="Q36" s="61">
        <f>SUM(Q32:Q35)</f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>SUM(N40:N41)</f>
        <v>0</v>
      </c>
      <c r="O42" s="61">
        <f>SUM(O40:O41)</f>
        <v>0</v>
      </c>
      <c r="P42" s="61">
        <f>SUM(P40:P41)</f>
        <v>0</v>
      </c>
      <c r="Q42" s="61">
        <f>SUM(Q40:Q41)</f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>N42+N39</f>
        <v>0</v>
      </c>
      <c r="O43" s="61">
        <f>O42+O39</f>
        <v>0</v>
      </c>
      <c r="P43" s="61">
        <f>P42+P39</f>
        <v>0</v>
      </c>
      <c r="Q43" s="61">
        <f>Q42+Q39</f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>SUM(N54:N55)</f>
        <v>0</v>
      </c>
      <c r="O56" s="61">
        <f>SUM(O54:O55)</f>
        <v>0</v>
      </c>
      <c r="P56" s="61">
        <f>SUM(P54:P55)</f>
        <v>0</v>
      </c>
      <c r="Q56" s="61">
        <f>SUM(Q54:Q55)</f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>SUM(N59:N60)</f>
        <v>0</v>
      </c>
      <c r="O61" s="61">
        <f>SUM(O59:O60)</f>
        <v>0</v>
      </c>
      <c r="P61" s="61">
        <f>SUM(P59:P60)</f>
        <v>0</v>
      </c>
      <c r="Q61" s="61">
        <f>SUM(Q59:Q60)</f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>SUM(N64:N65)</f>
        <v>0</v>
      </c>
      <c r="O66" s="61">
        <f>SUM(O64:O65)</f>
        <v>0</v>
      </c>
      <c r="P66" s="61">
        <f>SUM(P64:P65)</f>
        <v>0</v>
      </c>
      <c r="Q66" s="61">
        <f>SUM(Q64:Q65)</f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>SUM(N70:N71)</f>
        <v>0</v>
      </c>
      <c r="O72" s="61">
        <f>SUM(O70:O71)</f>
        <v>0</v>
      </c>
      <c r="P72" s="61">
        <f>SUM(P70:P71)</f>
        <v>0</v>
      </c>
      <c r="Q72" s="61">
        <f>SUM(Q70:Q71)</f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4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Q60" activePane="bottomRight" state="frozen"/>
      <selection activeCell="X9" sqref="X9"/>
      <selection pane="topRight" activeCell="X9" sqref="X9"/>
      <selection pane="bottomLeft" activeCell="X9" sqref="X9"/>
      <selection pane="bottomRight" activeCell="Y89" sqref="Y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17360484</v>
      </c>
      <c r="E11" s="38">
        <f>SUM(G11,I11,K11,M11,O11,Q11,S11,U11,W11,Y11,AA11,AC11,AE11)</f>
        <v>44676104.640000001</v>
      </c>
      <c r="F11" s="60">
        <f>'TIE-OUT'!V11+RECLASS!T11</f>
        <v>0</v>
      </c>
      <c r="G11" s="38">
        <f>'TIE-OUT'!W11+RECLASS!U11</f>
        <v>0</v>
      </c>
      <c r="H11" s="118">
        <f>+Actuals!E444</f>
        <v>17351815</v>
      </c>
      <c r="I11" s="119">
        <f>+Actuals!F444</f>
        <v>44535953.909999996</v>
      </c>
      <c r="J11" s="118">
        <f>+Actuals!G444</f>
        <v>34669</v>
      </c>
      <c r="K11" s="119">
        <f>+Actuals!H444</f>
        <v>59569.52</v>
      </c>
      <c r="L11" s="118">
        <f>+Actuals!I444</f>
        <v>-20609</v>
      </c>
      <c r="M11" s="119">
        <f>+Actuals!J444</f>
        <v>1517667.59</v>
      </c>
      <c r="N11" s="118">
        <f>+Actuals!K444</f>
        <v>70287</v>
      </c>
      <c r="O11" s="119">
        <f>+Actuals!L444</f>
        <v>148735.93</v>
      </c>
      <c r="P11" s="118">
        <f>+Actuals!M444</f>
        <v>-108935</v>
      </c>
      <c r="Q11" s="119">
        <f>+Actuals!N444</f>
        <v>-1637356.03</v>
      </c>
      <c r="R11" s="118">
        <f>+Actuals!O444</f>
        <v>30583</v>
      </c>
      <c r="S11" s="119">
        <f>+Actuals!P444</f>
        <v>75963.460000000006</v>
      </c>
      <c r="T11" s="118">
        <f>+Actuals!Q444</f>
        <v>0</v>
      </c>
      <c r="U11" s="119">
        <v>-28079.64</v>
      </c>
      <c r="V11" s="118">
        <v>2674</v>
      </c>
      <c r="W11" s="119">
        <v>3649.9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-6244446.9299999997</v>
      </c>
      <c r="F12" s="60">
        <f>'TIE-OUT'!V12+RECLASS!T12</f>
        <v>0</v>
      </c>
      <c r="G12" s="38">
        <f>'TIE-OUT'!W12+RECLASS!U12</f>
        <v>-6216367.9299999997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+Actuals!H445-28079</f>
        <v>-28079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11332509</v>
      </c>
      <c r="E13" s="38">
        <f t="shared" si="0"/>
        <v>26371436</v>
      </c>
      <c r="F13" s="60">
        <f>'TIE-OUT'!V13+RECLASS!T13</f>
        <v>0</v>
      </c>
      <c r="G13" s="38">
        <f>'TIE-OUT'!W13+RECLASS!U13</f>
        <v>0</v>
      </c>
      <c r="H13" s="118">
        <f>+Actuals!E446</f>
        <v>11332509</v>
      </c>
      <c r="I13" s="119">
        <f>+Actuals!F446</f>
        <v>26371437</v>
      </c>
      <c r="J13" s="118">
        <f>+Actuals!G446</f>
        <v>-9857227</v>
      </c>
      <c r="K13" s="119">
        <f>+Actuals!H446</f>
        <v>-22968890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9857227</v>
      </c>
      <c r="S13" s="119">
        <f>+Actuals!P446</f>
        <v>22968889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2491160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2498660</v>
      </c>
      <c r="J15" s="118">
        <f>+Actuals!G448</f>
        <v>0</v>
      </c>
      <c r="K15" s="119">
        <f>+Actuals!H448</f>
        <v>-7500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28692993</v>
      </c>
      <c r="E16" s="39">
        <f t="shared" si="1"/>
        <v>67294253.710000008</v>
      </c>
      <c r="F16" s="61">
        <f t="shared" si="1"/>
        <v>0</v>
      </c>
      <c r="G16" s="39">
        <f t="shared" si="1"/>
        <v>-6216367.9299999997</v>
      </c>
      <c r="H16" s="61">
        <f t="shared" si="1"/>
        <v>28684324</v>
      </c>
      <c r="I16" s="39">
        <f t="shared" si="1"/>
        <v>73406050.909999996</v>
      </c>
      <c r="J16" s="61">
        <f t="shared" ref="J16:AO16" si="2">SUM(J11:J15)</f>
        <v>-9822558</v>
      </c>
      <c r="K16" s="39">
        <f t="shared" si="2"/>
        <v>-22944899.48</v>
      </c>
      <c r="L16" s="61">
        <f t="shared" si="2"/>
        <v>-20609</v>
      </c>
      <c r="M16" s="39">
        <f t="shared" si="2"/>
        <v>1517667.59</v>
      </c>
      <c r="N16" s="61">
        <f>SUM(N11:N15)</f>
        <v>70287</v>
      </c>
      <c r="O16" s="39">
        <f>SUM(O11:O15)</f>
        <v>148735.93</v>
      </c>
      <c r="P16" s="61">
        <f>SUM(P11:P15)</f>
        <v>-108935</v>
      </c>
      <c r="Q16" s="39">
        <f>SUM(Q11:Q15)</f>
        <v>-1637356.03</v>
      </c>
      <c r="R16" s="61">
        <f t="shared" si="2"/>
        <v>9887810</v>
      </c>
      <c r="S16" s="39">
        <f t="shared" si="2"/>
        <v>23044852.460000001</v>
      </c>
      <c r="T16" s="61">
        <f t="shared" si="2"/>
        <v>0</v>
      </c>
      <c r="U16" s="39">
        <f t="shared" si="2"/>
        <v>-28079.64</v>
      </c>
      <c r="V16" s="61">
        <f t="shared" si="2"/>
        <v>2674</v>
      </c>
      <c r="W16" s="39">
        <f t="shared" si="2"/>
        <v>3649.9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-4458864</v>
      </c>
      <c r="E19" s="38">
        <f t="shared" si="3"/>
        <v>-10062061.159999998</v>
      </c>
      <c r="F19" s="64">
        <f>'TIE-OUT'!V19+RECLASS!T19</f>
        <v>0</v>
      </c>
      <c r="G19" s="68">
        <f>'TIE-OUT'!W19+RECLASS!U19</f>
        <v>0</v>
      </c>
      <c r="H19" s="118">
        <f>+Actuals!E449</f>
        <v>-4128498</v>
      </c>
      <c r="I19" s="119">
        <f>+Actuals!F449</f>
        <v>-9292599.4399999995</v>
      </c>
      <c r="J19" s="118">
        <f>+Actuals!G449</f>
        <v>-215827</v>
      </c>
      <c r="K19" s="119">
        <f>+Actuals!H449</f>
        <v>-509657.66</v>
      </c>
      <c r="L19" s="118">
        <f>+Actuals!I449</f>
        <v>-111862</v>
      </c>
      <c r="M19" s="119">
        <f>+Actuals!J449</f>
        <v>-233753.79</v>
      </c>
      <c r="N19" s="118">
        <f>+Actuals!K449</f>
        <v>-107217</v>
      </c>
      <c r="O19" s="119">
        <f>+Actuals!L449</f>
        <v>-248712.41</v>
      </c>
      <c r="P19" s="118">
        <f>+Actuals!M449</f>
        <v>44433</v>
      </c>
      <c r="Q19" s="119">
        <f>+Actuals!N449</f>
        <v>83218.19</v>
      </c>
      <c r="R19" s="118">
        <f>+Actuals!O449</f>
        <v>64539</v>
      </c>
      <c r="S19" s="119">
        <f>+Actuals!P449</f>
        <v>124668.5</v>
      </c>
      <c r="T19" s="118">
        <f>+Actuals!Q449</f>
        <v>0</v>
      </c>
      <c r="U19" s="119">
        <v>24596.81</v>
      </c>
      <c r="V19" s="118">
        <v>-2674</v>
      </c>
      <c r="W19" s="119">
        <v>-5971.34</v>
      </c>
      <c r="X19" s="118">
        <v>-1758</v>
      </c>
      <c r="Y19" s="119">
        <v>-3850.02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1843371.23</v>
      </c>
      <c r="F20" s="60">
        <f>'TIE-OUT'!V20+RECLASS!T20</f>
        <v>0</v>
      </c>
      <c r="G20" s="38">
        <f>'TIE-OUT'!W20+RECLASS!U20</f>
        <v>1882156.23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0</v>
      </c>
      <c r="L20" s="118">
        <f>+Actuals!I450</f>
        <v>0</v>
      </c>
      <c r="M20" s="215">
        <f>+Actuals!J450-38785</f>
        <v>-38785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-9997007</v>
      </c>
      <c r="E21" s="38">
        <f t="shared" si="3"/>
        <v>-23266574</v>
      </c>
      <c r="F21" s="60">
        <f>'TIE-OUT'!V21+RECLASS!T21</f>
        <v>0</v>
      </c>
      <c r="G21" s="38">
        <f>'TIE-OUT'!W21+RECLASS!U21</f>
        <v>0</v>
      </c>
      <c r="H21" s="118">
        <f>+Actuals!E451</f>
        <v>-9997007</v>
      </c>
      <c r="I21" s="119">
        <f>+Actuals!F451</f>
        <v>-23266574</v>
      </c>
      <c r="J21" s="118">
        <f>+Actuals!G451</f>
        <v>9857938</v>
      </c>
      <c r="K21" s="119">
        <f>+Actuals!H451</f>
        <v>22970457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-9857938</v>
      </c>
      <c r="S21" s="119">
        <f>+Actuals!P451</f>
        <v>-22970457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13806</v>
      </c>
      <c r="E23" s="38">
        <f t="shared" si="3"/>
        <v>31381.038</v>
      </c>
      <c r="F23" s="81">
        <f>'TIE-OUT'!V23+RECLASS!T23</f>
        <v>0</v>
      </c>
      <c r="G23" s="82">
        <f>'TIE-OUT'!W23+RECLASS!U23</f>
        <v>0</v>
      </c>
      <c r="H23" s="118">
        <f>+Actuals!E453</f>
        <v>12946</v>
      </c>
      <c r="I23" s="119">
        <f>+Actuals!F453</f>
        <v>29426.258000000002</v>
      </c>
      <c r="J23" s="118">
        <f>+Actuals!G453</f>
        <v>860</v>
      </c>
      <c r="K23" s="119">
        <f>+Actuals!H453</f>
        <v>1954.78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-14442065</v>
      </c>
      <c r="E24" s="39">
        <f t="shared" si="4"/>
        <v>-31453882.892000001</v>
      </c>
      <c r="F24" s="61">
        <f t="shared" si="4"/>
        <v>0</v>
      </c>
      <c r="G24" s="39">
        <f t="shared" si="4"/>
        <v>1882156.23</v>
      </c>
      <c r="H24" s="61">
        <f t="shared" si="4"/>
        <v>-14112559</v>
      </c>
      <c r="I24" s="39">
        <f t="shared" si="4"/>
        <v>-32529747.181999996</v>
      </c>
      <c r="J24" s="61">
        <f t="shared" ref="J24:AO24" si="5">SUM(J19:J23)</f>
        <v>9642971</v>
      </c>
      <c r="K24" s="39">
        <f t="shared" si="5"/>
        <v>22462754.120000001</v>
      </c>
      <c r="L24" s="61">
        <f t="shared" si="5"/>
        <v>-111862</v>
      </c>
      <c r="M24" s="39">
        <f t="shared" si="5"/>
        <v>-272538.79000000004</v>
      </c>
      <c r="N24" s="61">
        <f>SUM(N19:N23)</f>
        <v>-107217</v>
      </c>
      <c r="O24" s="39">
        <f>SUM(O19:O23)</f>
        <v>-248712.41</v>
      </c>
      <c r="P24" s="61">
        <f>SUM(P19:P23)</f>
        <v>44433</v>
      </c>
      <c r="Q24" s="39">
        <f>SUM(Q19:Q23)</f>
        <v>83218.19</v>
      </c>
      <c r="R24" s="61">
        <f t="shared" si="5"/>
        <v>-9793399</v>
      </c>
      <c r="S24" s="39">
        <f t="shared" si="5"/>
        <v>-22845788.5</v>
      </c>
      <c r="T24" s="61">
        <f t="shared" si="5"/>
        <v>0</v>
      </c>
      <c r="U24" s="39">
        <f t="shared" si="5"/>
        <v>24596.81</v>
      </c>
      <c r="V24" s="61">
        <f t="shared" si="5"/>
        <v>-2674</v>
      </c>
      <c r="W24" s="39">
        <f t="shared" si="5"/>
        <v>-5971.34</v>
      </c>
      <c r="X24" s="61">
        <f t="shared" si="5"/>
        <v>-1758</v>
      </c>
      <c r="Y24" s="39">
        <f t="shared" si="5"/>
        <v>-3850.02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6526017</v>
      </c>
      <c r="E27" s="38">
        <f>SUM(G27,I27,K27,M27,O27,Q27,S27,U27,W27,Y27,AA27,AC27,AE27)</f>
        <v>15569315.129999999</v>
      </c>
      <c r="F27" s="64">
        <f>'TIE-OUT'!V27+RECLASS!T27</f>
        <v>0</v>
      </c>
      <c r="G27" s="68">
        <f>'TIE-OUT'!W27+RECLASS!U27</f>
        <v>0</v>
      </c>
      <c r="H27" s="118">
        <f>+Actuals!E454</f>
        <v>6450055</v>
      </c>
      <c r="I27" s="119">
        <f>+Actuals!F454</f>
        <v>16394383.42</v>
      </c>
      <c r="J27" s="118">
        <f>+Actuals!G454</f>
        <v>16073</v>
      </c>
      <c r="K27" s="119">
        <f>+Actuals!H454</f>
        <v>-976463.09</v>
      </c>
      <c r="L27" s="118">
        <f>+Actuals!I454</f>
        <v>70908</v>
      </c>
      <c r="M27" s="119">
        <f>+Actuals!J454</f>
        <v>177502.15</v>
      </c>
      <c r="N27" s="118">
        <f>+Actuals!K454</f>
        <v>62478</v>
      </c>
      <c r="O27" s="119">
        <f>+Actuals!L454</f>
        <v>148856.54</v>
      </c>
      <c r="P27" s="118">
        <f>+Actuals!M454</f>
        <v>-12474</v>
      </c>
      <c r="Q27" s="119">
        <f>+Actuals!N454</f>
        <v>-32317.8</v>
      </c>
      <c r="R27" s="118">
        <f>+Actuals!O454</f>
        <v>-64539</v>
      </c>
      <c r="S27" s="119">
        <f>+Actuals!P454</f>
        <v>-151021.26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v>3516</v>
      </c>
      <c r="Y27" s="119">
        <v>8375.17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-19758191</v>
      </c>
      <c r="E28" s="38">
        <f>SUM(G28,I28,K28,M28,O28,Q28,S28,U28,W28,Y28,AA28,AC28,AE28)</f>
        <v>-45170875.189999998</v>
      </c>
      <c r="F28" s="81">
        <f>'TIE-OUT'!V28+RECLASS!T28</f>
        <v>0</v>
      </c>
      <c r="G28" s="82">
        <f>'TIE-OUT'!W28+RECLASS!U28</f>
        <v>0</v>
      </c>
      <c r="H28" s="118">
        <f>+Actuals!E455</f>
        <v>-11229972</v>
      </c>
      <c r="I28" s="119">
        <f>+Actuals!F455</f>
        <v>-24334015.760000002</v>
      </c>
      <c r="J28" s="118">
        <f>+Actuals!G455</f>
        <v>-8916073</v>
      </c>
      <c r="K28" s="119">
        <f>+Actuals!H455</f>
        <v>-21661192.199999999</v>
      </c>
      <c r="L28" s="118">
        <f>+Actuals!I455</f>
        <v>329988</v>
      </c>
      <c r="M28" s="119">
        <f>+Actuals!J455</f>
        <v>778867.19</v>
      </c>
      <c r="N28" s="118">
        <f>+Actuals!K455</f>
        <v>11697</v>
      </c>
      <c r="O28" s="119">
        <f>+Actuals!L455</f>
        <v>29348.9</v>
      </c>
      <c r="P28" s="118">
        <f>+Actuals!M455</f>
        <v>38893</v>
      </c>
      <c r="Q28" s="119">
        <f>+Actuals!N455</f>
        <v>92806.52</v>
      </c>
      <c r="R28" s="118">
        <f>+Actuals!O455</f>
        <v>9034</v>
      </c>
      <c r="S28" s="119">
        <f>+Actuals!P455</f>
        <v>-72504.149999999994</v>
      </c>
      <c r="T28" s="118">
        <v>383</v>
      </c>
      <c r="U28" s="119">
        <v>912.59</v>
      </c>
      <c r="V28" s="118">
        <v>-383</v>
      </c>
      <c r="W28" s="119">
        <v>-912.59</v>
      </c>
      <c r="X28" s="118">
        <v>-1758</v>
      </c>
      <c r="Y28" s="119">
        <v>-4185.6899999999996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-13232174</v>
      </c>
      <c r="E29" s="39">
        <f t="shared" si="6"/>
        <v>-29601560.059999999</v>
      </c>
      <c r="F29" s="61">
        <f t="shared" si="6"/>
        <v>0</v>
      </c>
      <c r="G29" s="39">
        <f t="shared" si="6"/>
        <v>0</v>
      </c>
      <c r="H29" s="61">
        <f t="shared" si="6"/>
        <v>-4779917</v>
      </c>
      <c r="I29" s="39">
        <f t="shared" si="6"/>
        <v>-7939632.3400000017</v>
      </c>
      <c r="J29" s="61">
        <f t="shared" ref="J29:AO29" si="7">SUM(J27:J28)</f>
        <v>-8900000</v>
      </c>
      <c r="K29" s="39">
        <f t="shared" si="7"/>
        <v>-22637655.289999999</v>
      </c>
      <c r="L29" s="61">
        <f t="shared" si="7"/>
        <v>400896</v>
      </c>
      <c r="M29" s="39">
        <f t="shared" si="7"/>
        <v>956369.34</v>
      </c>
      <c r="N29" s="61">
        <f>SUM(N27:N28)</f>
        <v>74175</v>
      </c>
      <c r="O29" s="39">
        <f>SUM(O27:O28)</f>
        <v>178205.44</v>
      </c>
      <c r="P29" s="61">
        <f>SUM(P27:P28)</f>
        <v>26419</v>
      </c>
      <c r="Q29" s="39">
        <f>SUM(Q27:Q28)</f>
        <v>60488.72</v>
      </c>
      <c r="R29" s="61">
        <f t="shared" si="7"/>
        <v>-55505</v>
      </c>
      <c r="S29" s="39">
        <f t="shared" si="7"/>
        <v>-223525.41</v>
      </c>
      <c r="T29" s="61">
        <f t="shared" si="7"/>
        <v>383</v>
      </c>
      <c r="U29" s="39">
        <f t="shared" si="7"/>
        <v>912.59</v>
      </c>
      <c r="V29" s="61">
        <f t="shared" si="7"/>
        <v>-383</v>
      </c>
      <c r="W29" s="39">
        <f t="shared" si="7"/>
        <v>-912.59</v>
      </c>
      <c r="X29" s="61">
        <f t="shared" si="7"/>
        <v>1758</v>
      </c>
      <c r="Y29" s="39">
        <f t="shared" si="7"/>
        <v>4189.4800000000005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-22693</v>
      </c>
      <c r="E32" s="38">
        <f t="shared" si="8"/>
        <v>-51581.189999998147</v>
      </c>
      <c r="F32" s="64">
        <f>'TIE-OUT'!V32+RECLASS!T32</f>
        <v>0</v>
      </c>
      <c r="G32" s="68">
        <f>'TIE-OUT'!W32+RECLASS!U32</f>
        <v>0</v>
      </c>
      <c r="H32" s="118">
        <f>+Actuals!E456</f>
        <v>-9731818</v>
      </c>
      <c r="I32" s="119">
        <f>+Actuals!F456</f>
        <v>-22120422.313999999</v>
      </c>
      <c r="J32" s="118">
        <f>+Actuals!G456</f>
        <v>9729276</v>
      </c>
      <c r="K32" s="119">
        <f>+Actuals!H456</f>
        <v>22114644.348000001</v>
      </c>
      <c r="L32" s="118">
        <f>+Actuals!I456</f>
        <v>-20151</v>
      </c>
      <c r="M32" s="119">
        <f>+Actuals!J456</f>
        <v>-45803.222999999998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383</v>
      </c>
      <c r="S32" s="119">
        <f>+Actuals!P456</f>
        <v>870.55899999999997</v>
      </c>
      <c r="T32" s="118">
        <v>-383</v>
      </c>
      <c r="U32" s="119">
        <v>-870.56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-22693</v>
      </c>
      <c r="E36" s="39">
        <f t="shared" si="9"/>
        <v>-51581.189999998147</v>
      </c>
      <c r="F36" s="61">
        <f t="shared" si="9"/>
        <v>0</v>
      </c>
      <c r="G36" s="39">
        <f t="shared" si="9"/>
        <v>0</v>
      </c>
      <c r="H36" s="61">
        <f t="shared" si="9"/>
        <v>-9731818</v>
      </c>
      <c r="I36" s="39">
        <f t="shared" si="9"/>
        <v>-22120422.313999999</v>
      </c>
      <c r="J36" s="61">
        <f t="shared" ref="J36:AO36" si="10">SUM(J32:J35)</f>
        <v>9729276</v>
      </c>
      <c r="K36" s="39">
        <f t="shared" si="10"/>
        <v>22114644.348000001</v>
      </c>
      <c r="L36" s="61">
        <f t="shared" si="10"/>
        <v>-20151</v>
      </c>
      <c r="M36" s="39">
        <f t="shared" si="10"/>
        <v>-45803.222999999998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383</v>
      </c>
      <c r="S36" s="39">
        <f t="shared" si="10"/>
        <v>870.55899999999997</v>
      </c>
      <c r="T36" s="61">
        <f t="shared" si="10"/>
        <v>-383</v>
      </c>
      <c r="U36" s="39">
        <f t="shared" si="10"/>
        <v>-870.56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-969922</v>
      </c>
      <c r="E40" s="38">
        <f t="shared" si="11"/>
        <v>-2267325.1500000004</v>
      </c>
      <c r="F40" s="60">
        <f>'TIE-OUT'!V40+RECLASS!T40</f>
        <v>0</v>
      </c>
      <c r="G40" s="38">
        <f>'TIE-OUT'!W40+RECLASS!U40</f>
        <v>0</v>
      </c>
      <c r="H40" s="118">
        <f>+Actuals!E461</f>
        <v>-140000</v>
      </c>
      <c r="I40" s="119">
        <f>+Actuals!F461</f>
        <v>-299275.48</v>
      </c>
      <c r="J40" s="118">
        <f>+Actuals!G461</f>
        <v>-624794</v>
      </c>
      <c r="K40" s="119">
        <f>+Actuals!H461</f>
        <v>-2870676.72</v>
      </c>
      <c r="L40" s="118">
        <f>+Actuals!I461</f>
        <v>-205128</v>
      </c>
      <c r="M40" s="119">
        <f>+Actuals!J461</f>
        <v>-940484.69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1843111.74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-969922</v>
      </c>
      <c r="E42" s="39">
        <f t="shared" si="12"/>
        <v>-2267325.1500000004</v>
      </c>
      <c r="F42" s="61">
        <f t="shared" si="12"/>
        <v>0</v>
      </c>
      <c r="G42" s="39">
        <f t="shared" si="12"/>
        <v>0</v>
      </c>
      <c r="H42" s="61">
        <f t="shared" si="12"/>
        <v>-140000</v>
      </c>
      <c r="I42" s="39">
        <f t="shared" si="12"/>
        <v>-299275.48</v>
      </c>
      <c r="J42" s="61">
        <f t="shared" ref="J42:AO42" si="13">SUM(J40:J41)</f>
        <v>-624794</v>
      </c>
      <c r="K42" s="39">
        <f t="shared" si="13"/>
        <v>-2870676.72</v>
      </c>
      <c r="L42" s="61">
        <f t="shared" si="13"/>
        <v>-205128</v>
      </c>
      <c r="M42" s="39">
        <f t="shared" si="13"/>
        <v>-940484.69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1843111.74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-969922</v>
      </c>
      <c r="E43" s="39">
        <f t="shared" si="14"/>
        <v>-2267325.1500000004</v>
      </c>
      <c r="F43" s="61">
        <f t="shared" si="14"/>
        <v>0</v>
      </c>
      <c r="G43" s="39">
        <f t="shared" si="14"/>
        <v>0</v>
      </c>
      <c r="H43" s="61">
        <f t="shared" si="14"/>
        <v>-140000</v>
      </c>
      <c r="I43" s="39">
        <f t="shared" si="14"/>
        <v>-299275.48</v>
      </c>
      <c r="J43" s="61">
        <f t="shared" ref="J43:AO43" si="15">J42+J39</f>
        <v>-624794</v>
      </c>
      <c r="K43" s="39">
        <f t="shared" si="15"/>
        <v>-2870676.72</v>
      </c>
      <c r="L43" s="61">
        <f t="shared" si="15"/>
        <v>-205128</v>
      </c>
      <c r="M43" s="39">
        <f t="shared" si="15"/>
        <v>-940484.69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1843111.74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-26139</v>
      </c>
      <c r="E49" s="38">
        <f>SUM(G49,I49,K49,M49,O49,Q49,S49,U49,W49,Y49,AA49,AC49,AE49)</f>
        <v>-59413.945999999982</v>
      </c>
      <c r="F49" s="60">
        <f>'TIE-OUT'!V49+RECLASS!T49</f>
        <v>0</v>
      </c>
      <c r="G49" s="38">
        <f>'TIE-OUT'!W49+RECLASS!U49</f>
        <v>0</v>
      </c>
      <c r="H49" s="118">
        <f>+Actuals!E465</f>
        <v>79970</v>
      </c>
      <c r="I49" s="119">
        <f>+Actuals!F465</f>
        <v>181771.81</v>
      </c>
      <c r="J49" s="118">
        <f>+Actuals!G465</f>
        <v>-24895</v>
      </c>
      <c r="K49" s="119">
        <f>+Actuals!H465</f>
        <v>-56586.334999999992</v>
      </c>
      <c r="L49" s="118">
        <f>+Actuals!I465</f>
        <v>-43146</v>
      </c>
      <c r="M49" s="119">
        <f>+Actuals!J465</f>
        <v>-98070.857999999993</v>
      </c>
      <c r="N49" s="118">
        <f>+Actuals!K465</f>
        <v>-37245</v>
      </c>
      <c r="O49" s="119">
        <f>+Actuals!L465</f>
        <v>-84657.884999999995</v>
      </c>
      <c r="P49" s="118">
        <f>+Actuals!M465</f>
        <v>38083</v>
      </c>
      <c r="Q49" s="119">
        <f>+Actuals!N465</f>
        <v>86562.659</v>
      </c>
      <c r="R49" s="118">
        <f>+Actuals!O465</f>
        <v>-39289</v>
      </c>
      <c r="S49" s="119">
        <f>+Actuals!P465</f>
        <v>-89303.896999999997</v>
      </c>
      <c r="T49" s="118">
        <f>+Actuals!Q465</f>
        <v>0</v>
      </c>
      <c r="U49" s="119">
        <f>+Actuals!R465</f>
        <v>0</v>
      </c>
      <c r="V49" s="118">
        <v>383</v>
      </c>
      <c r="W49" s="119">
        <v>870.56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-13806</v>
      </c>
      <c r="E51" s="38">
        <f>SUM(G51,I51,K51,M51,O51,Q51,S51,U51,W51,Y51,AA51,AC51,AE51)</f>
        <v>-31381.038</v>
      </c>
      <c r="F51" s="60">
        <f>'TIE-OUT'!V51+RECLASS!T51</f>
        <v>0</v>
      </c>
      <c r="G51" s="38">
        <f>'TIE-OUT'!W51+RECLASS!U51</f>
        <v>0</v>
      </c>
      <c r="H51" s="118">
        <f>+Actuals!E466</f>
        <v>-12946</v>
      </c>
      <c r="I51" s="119">
        <f>+Actuals!F466</f>
        <v>-29426.258000000002</v>
      </c>
      <c r="J51" s="118">
        <f>+Actuals!G466</f>
        <v>-860</v>
      </c>
      <c r="K51" s="119">
        <f>+Actuals!H466</f>
        <v>-1954.78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-16447218</v>
      </c>
      <c r="E54" s="38">
        <f>SUM(G54,I54,K54,M54,O54,Q54,S54,U54,W54,Y54,AA54,AC54,AE54)</f>
        <v>-408955.20999999996</v>
      </c>
      <c r="F54" s="64">
        <f>'TIE-OUT'!V54+RECLASS!T54</f>
        <v>0</v>
      </c>
      <c r="G54" s="68">
        <f>'TIE-OUT'!W54+RECLASS!U54</f>
        <v>0</v>
      </c>
      <c r="H54" s="118">
        <f>+Actuals!E467</f>
        <v>-6709702</v>
      </c>
      <c r="I54" s="119">
        <f>+Actuals!F467</f>
        <v>-213269.27</v>
      </c>
      <c r="J54" s="118">
        <f>+Actuals!G467</f>
        <v>-9720573</v>
      </c>
      <c r="K54" s="119">
        <f>+Actuals!H467</f>
        <v>-205871.48</v>
      </c>
      <c r="L54" s="118">
        <f>+Actuals!I467</f>
        <v>-27495</v>
      </c>
      <c r="M54" s="119">
        <f>+Actuals!J467</f>
        <v>10606.04</v>
      </c>
      <c r="N54" s="118">
        <f>+Actuals!K467</f>
        <v>8748</v>
      </c>
      <c r="O54" s="119">
        <f>+Actuals!L467</f>
        <v>6199.75</v>
      </c>
      <c r="P54" s="118">
        <f>+Actuals!M467</f>
        <v>110946</v>
      </c>
      <c r="Q54" s="119">
        <f>+Actuals!N467</f>
        <v>4833.1899999999996</v>
      </c>
      <c r="R54" s="118">
        <f>+Actuals!O467</f>
        <v>19565</v>
      </c>
      <c r="S54" s="119">
        <f>+Actuals!P467</f>
        <v>-2880.11</v>
      </c>
      <c r="T54" s="118">
        <v>-114707</v>
      </c>
      <c r="U54" s="119">
        <v>-7384.68</v>
      </c>
      <c r="V54" s="118">
        <v>-14000</v>
      </c>
      <c r="W54" s="119">
        <v>-1154.6600000000001</v>
      </c>
      <c r="X54" s="118">
        <f>+Actuals!U467</f>
        <v>0</v>
      </c>
      <c r="Y54" s="119">
        <v>-33.99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-143319.06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-51152</v>
      </c>
      <c r="J55" s="118">
        <f>+Actuals!G468</f>
        <v>0</v>
      </c>
      <c r="K55" s="119">
        <f>+Actuals!H468</f>
        <v>-93300</v>
      </c>
      <c r="L55" s="118">
        <f>+Actuals!I468</f>
        <v>0</v>
      </c>
      <c r="M55" s="119">
        <f>+Actuals!J468</f>
        <v>1152</v>
      </c>
      <c r="N55" s="118">
        <f>+Actuals!K468</f>
        <v>0</v>
      </c>
      <c r="O55" s="119">
        <f>+Actuals!L468</f>
        <v>-19.059999999999999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-16447218</v>
      </c>
      <c r="E56" s="39">
        <f t="shared" si="16"/>
        <v>-552274.27</v>
      </c>
      <c r="F56" s="61">
        <f t="shared" si="16"/>
        <v>0</v>
      </c>
      <c r="G56" s="39">
        <f t="shared" si="16"/>
        <v>0</v>
      </c>
      <c r="H56" s="61">
        <f t="shared" si="16"/>
        <v>-6709702</v>
      </c>
      <c r="I56" s="39">
        <f t="shared" si="16"/>
        <v>-264421.27</v>
      </c>
      <c r="J56" s="61">
        <f t="shared" ref="J56:AO56" si="17">SUM(J54:J55)</f>
        <v>-9720573</v>
      </c>
      <c r="K56" s="39">
        <f t="shared" si="17"/>
        <v>-299171.48</v>
      </c>
      <c r="L56" s="61">
        <f t="shared" si="17"/>
        <v>-27495</v>
      </c>
      <c r="M56" s="39">
        <f t="shared" si="17"/>
        <v>11758.04</v>
      </c>
      <c r="N56" s="61">
        <f>SUM(N54:N55)</f>
        <v>8748</v>
      </c>
      <c r="O56" s="39">
        <f>SUM(O54:O55)</f>
        <v>6180.69</v>
      </c>
      <c r="P56" s="61">
        <f>SUM(P54:P55)</f>
        <v>110946</v>
      </c>
      <c r="Q56" s="39">
        <f>SUM(Q54:Q55)</f>
        <v>4833.1899999999996</v>
      </c>
      <c r="R56" s="61">
        <f t="shared" si="17"/>
        <v>19565</v>
      </c>
      <c r="S56" s="39">
        <f t="shared" si="17"/>
        <v>-2880.11</v>
      </c>
      <c r="T56" s="61">
        <f t="shared" si="17"/>
        <v>-114707</v>
      </c>
      <c r="U56" s="39">
        <f t="shared" si="17"/>
        <v>-7384.68</v>
      </c>
      <c r="V56" s="61">
        <f t="shared" si="17"/>
        <v>-14000</v>
      </c>
      <c r="W56" s="39">
        <f t="shared" si="17"/>
        <v>-1154.6600000000001</v>
      </c>
      <c r="X56" s="61">
        <f t="shared" si="17"/>
        <v>0</v>
      </c>
      <c r="Y56" s="39">
        <f t="shared" si="17"/>
        <v>-33.99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-20297.379999999997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-971.85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0.14000000000000001</v>
      </c>
      <c r="R64" s="118">
        <f>+Actuals!O471</f>
        <v>0</v>
      </c>
      <c r="S64" s="119">
        <f>+Actuals!P471</f>
        <v>-19325.669999999998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-20297.379999999997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-971.85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0.14000000000000001</v>
      </c>
      <c r="R66" s="61">
        <f t="shared" si="21"/>
        <v>0</v>
      </c>
      <c r="S66" s="39">
        <f t="shared" si="21"/>
        <v>-19325.669999999998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-2639306.77</v>
      </c>
      <c r="F70" s="64">
        <f>'TIE-OUT'!V70+RECLASS!T70</f>
        <v>0</v>
      </c>
      <c r="G70" s="68">
        <f>'TIE-OUT'!W70+RECLASS!U70</f>
        <v>-2639306.77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739518.78</v>
      </c>
      <c r="F71" s="81">
        <f>'TIE-OUT'!V71+RECLASS!T71</f>
        <v>0</v>
      </c>
      <c r="G71" s="82">
        <f>'TIE-OUT'!W71+RECLASS!U71</f>
        <v>739518.78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-1899787.99</v>
      </c>
      <c r="F72" s="61">
        <f t="shared" si="22"/>
        <v>0</v>
      </c>
      <c r="G72" s="39">
        <f t="shared" si="22"/>
        <v>-1899787.99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-197969.77000000002</v>
      </c>
      <c r="F74" s="60">
        <f>'TIE-OUT'!V74+RECLASS!T74</f>
        <v>0</v>
      </c>
      <c r="G74" s="60">
        <f>'TIE-OUT'!W74+RECLASS!U74</f>
        <v>-169890.73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215">
        <f>+Actuals!J476-34309.74+6230.7</f>
        <v>-28079.039999999997</v>
      </c>
      <c r="N74" s="118">
        <f>+Actuals!K476</f>
        <v>0</v>
      </c>
      <c r="O74" s="119"/>
      <c r="P74" s="118">
        <f>+Actuals!M476</f>
        <v>0</v>
      </c>
      <c r="Q74" s="119"/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17700</v>
      </c>
      <c r="F75" s="60">
        <f>'TIE-OUT'!V75+RECLASS!T75</f>
        <v>0</v>
      </c>
      <c r="G75" s="60">
        <f>'TIE-OUT'!W75+RECLASS!U75</f>
        <v>17700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-2541.2800000000002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0</v>
      </c>
      <c r="J76" s="118">
        <f>+Actuals!G478</f>
        <v>0</v>
      </c>
      <c r="K76" s="119">
        <f>+Actuals!H478</f>
        <v>-2541.2800000000002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1173938.7440000151</v>
      </c>
      <c r="F82" s="91">
        <f>F16+F24+F29+F36+F43+F45+F47+F49</f>
        <v>0</v>
      </c>
      <c r="G82" s="92">
        <f>SUM(G72:G81)+G16+G24+G29+G36+G43+G45+G47+G49+G51+G56+G61+G66</f>
        <v>-6386190.4199999999</v>
      </c>
      <c r="H82" s="91">
        <f>H16+H24+H29+H36+H43+H45+H47+H49</f>
        <v>0</v>
      </c>
      <c r="I82" s="92">
        <f>SUM(I72:I81)+I16+I24+I29+I36+I43+I45+I47+I49+I51+I56+I61+I66</f>
        <v>10404897.875999998</v>
      </c>
      <c r="J82" s="91">
        <f>J16+J24+J29+J36+J43+J45+J47+J49</f>
        <v>0</v>
      </c>
      <c r="K82" s="140">
        <f>SUM(K72:K81)+K16+K24+K29+K36+K43+K45+K47+K49+K51+K56+K61+K66</f>
        <v>-4237058.7469999976</v>
      </c>
      <c r="L82" s="91">
        <f>L16+L24+L29+L36+L43+L45+L47+L49</f>
        <v>0</v>
      </c>
      <c r="M82" s="92">
        <f>SUM(M72:M81)+M16+M24+M29+M36+M43+M45+M47+M49+M51+M56+M61+M66</f>
        <v>1100818.3690000004</v>
      </c>
      <c r="N82" s="91">
        <f>N16+N24+N29+N36+N43+N45+N47+N49</f>
        <v>0</v>
      </c>
      <c r="O82" s="92">
        <f>SUM(O72:O81)+O16+O24+O29+O36+O43+O45+O47+O49+O51+O56+O61+O66</f>
        <v>-248.23500000000331</v>
      </c>
      <c r="P82" s="91">
        <f>P16+P24+P29+P36+P43+P45+P47+P49</f>
        <v>0</v>
      </c>
      <c r="Q82" s="92">
        <f>SUM(Q72:Q81)+Q16+Q24+Q29+Q36+Q43+Q45+Q47+Q49+Q51+Q56+Q61+Q66</f>
        <v>440858.60899999988</v>
      </c>
      <c r="R82" s="91">
        <f>R16+R24+R29+R36+R43+R45+R47+R49</f>
        <v>0</v>
      </c>
      <c r="S82" s="92">
        <f>SUM(S72:S81)+S16+S24+S29+S36+S43+S45+S47+S49+S51+S56+S61+S66</f>
        <v>-135100.5679999991</v>
      </c>
      <c r="T82" s="91">
        <f>T16+T24+T29+T36+T43+T45+T47+T49</f>
        <v>0</v>
      </c>
      <c r="U82" s="92">
        <f>SUM(U72:U81)+U16+U24+U29+U36+U43+U45+U47+U49+U51+U56+U61+U66</f>
        <v>-10825.479999999998</v>
      </c>
      <c r="V82" s="91">
        <f>V16+V24+V29+V36+V43+V45+V47+V49</f>
        <v>0</v>
      </c>
      <c r="W82" s="92">
        <f>SUM(W72:W81)+W16+W24+W29+W36+W43+W45+W47+W49+W51+W56+W61+W66</f>
        <v>-3518.13</v>
      </c>
      <c r="X82" s="91">
        <f>X16+X24+X29+X36+X43+X45+X47+X49</f>
        <v>0</v>
      </c>
      <c r="Y82" s="92">
        <f>SUM(Y72:Y81)+Y16+Y24+Y29+Y36+Y43+Y45+Y47+Y49+Y51+Y56+Y61+Y66</f>
        <v>305.47000000000048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/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1173938.7440000151</v>
      </c>
      <c r="F91" s="155">
        <f t="shared" si="29"/>
        <v>0</v>
      </c>
      <c r="G91" s="155">
        <f t="shared" si="29"/>
        <v>-6386190.4199999999</v>
      </c>
      <c r="H91" s="155">
        <f t="shared" si="29"/>
        <v>0</v>
      </c>
      <c r="I91" s="155">
        <f t="shared" si="29"/>
        <v>10404897.875999998</v>
      </c>
      <c r="J91" s="155">
        <f t="shared" si="29"/>
        <v>0</v>
      </c>
      <c r="K91" s="155">
        <f t="shared" si="29"/>
        <v>-4237058.7469999976</v>
      </c>
      <c r="L91" s="155">
        <f t="shared" si="29"/>
        <v>0</v>
      </c>
      <c r="M91" s="155">
        <f t="shared" si="29"/>
        <v>1100818.3690000004</v>
      </c>
      <c r="N91" s="155">
        <f t="shared" ref="N91:AE91" si="30">+N82+N89</f>
        <v>0</v>
      </c>
      <c r="O91" s="155">
        <f t="shared" si="30"/>
        <v>-248.23500000000331</v>
      </c>
      <c r="P91" s="155">
        <f t="shared" si="30"/>
        <v>0</v>
      </c>
      <c r="Q91" s="155">
        <f t="shared" si="30"/>
        <v>440858.60899999988</v>
      </c>
      <c r="R91" s="155">
        <f t="shared" si="30"/>
        <v>0</v>
      </c>
      <c r="S91" s="155">
        <f t="shared" si="30"/>
        <v>-135100.5679999991</v>
      </c>
      <c r="T91" s="155">
        <f t="shared" si="30"/>
        <v>0</v>
      </c>
      <c r="U91" s="155">
        <f t="shared" si="30"/>
        <v>-10825.479999999998</v>
      </c>
      <c r="V91" s="155">
        <f t="shared" si="30"/>
        <v>0</v>
      </c>
      <c r="W91" s="155">
        <f t="shared" si="30"/>
        <v>-3518.13</v>
      </c>
      <c r="X91" s="155">
        <f t="shared" si="30"/>
        <v>0</v>
      </c>
      <c r="Y91" s="155">
        <f t="shared" si="30"/>
        <v>305.47000000000048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6"/>
  <sheetViews>
    <sheetView zoomScale="75" workbookViewId="0">
      <pane xSplit="3" ySplit="9" topLeftCell="R58" activePane="bottomRight" state="frozen"/>
      <selection activeCell="X9" sqref="X9"/>
      <selection pane="topRight" activeCell="X9" sqref="X9"/>
      <selection pane="bottomLeft" activeCell="X9" sqref="X9"/>
      <selection pane="bottomRight" activeCell="Y89" sqref="Y8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38369188</v>
      </c>
      <c r="E11" s="38">
        <f>SUM(G11,I11,K11,M11,O11,Q11,S11,U11,W11,Y11,AA11,AC11,AE11)</f>
        <v>90947392.359999999</v>
      </c>
      <c r="F11" s="60">
        <f>'TIE-OUT'!X11+RECLASS!V11</f>
        <v>0</v>
      </c>
      <c r="G11" s="38">
        <f>'TIE-OUT'!Y11+RECLASS!W11</f>
        <v>265657</v>
      </c>
      <c r="H11" s="118">
        <v>38204135</v>
      </c>
      <c r="I11" s="118">
        <v>90645653</v>
      </c>
      <c r="J11" s="118">
        <v>-152838</v>
      </c>
      <c r="K11" s="119">
        <v>-848620</v>
      </c>
      <c r="L11" s="118">
        <v>268300</v>
      </c>
      <c r="M11" s="119">
        <v>789994</v>
      </c>
      <c r="N11" s="118">
        <v>92576</v>
      </c>
      <c r="O11" s="119">
        <v>207321</v>
      </c>
      <c r="P11" s="118">
        <v>21720</v>
      </c>
      <c r="Q11" s="119">
        <v>48341</v>
      </c>
      <c r="R11" s="118">
        <v>2575</v>
      </c>
      <c r="S11" s="119">
        <v>13584</v>
      </c>
      <c r="T11" s="118">
        <v>8346</v>
      </c>
      <c r="U11" s="119">
        <v>19237.53</v>
      </c>
      <c r="V11" s="118">
        <v>-4130</v>
      </c>
      <c r="W11" s="119">
        <v>-9411.19</v>
      </c>
      <c r="X11" s="118">
        <v>-71496</v>
      </c>
      <c r="Y11" s="119">
        <v>-184363.98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-1420122.48</v>
      </c>
      <c r="F12" s="60">
        <f>'TIE-OUT'!X12+RECLASS!V12</f>
        <v>0</v>
      </c>
      <c r="G12" s="38">
        <f>'TIE-OUT'!Y12+RECLASS!W12</f>
        <v>-1420122.48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/>
      <c r="O12" s="119"/>
      <c r="P12" s="118"/>
      <c r="Q12" s="119"/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-2491160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215">
        <v>-2491160</v>
      </c>
      <c r="N13" s="118"/>
      <c r="O13" s="119"/>
      <c r="P13" s="118"/>
      <c r="Q13" s="119"/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120000</v>
      </c>
      <c r="F15" s="81">
        <f>'TIE-OUT'!X15+RECLASS!V15</f>
        <v>0</v>
      </c>
      <c r="G15" s="82">
        <f>'TIE-OUT'!Y15+RECLASS!W15</f>
        <v>120000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38369188</v>
      </c>
      <c r="E16" s="39">
        <f t="shared" si="1"/>
        <v>87156109.879999995</v>
      </c>
      <c r="F16" s="61">
        <f t="shared" si="1"/>
        <v>0</v>
      </c>
      <c r="G16" s="39">
        <f t="shared" si="1"/>
        <v>-1034465.48</v>
      </c>
      <c r="H16" s="61">
        <f t="shared" si="1"/>
        <v>38204135</v>
      </c>
      <c r="I16" s="61">
        <f t="shared" si="1"/>
        <v>90645653</v>
      </c>
      <c r="J16" s="61">
        <f t="shared" si="1"/>
        <v>-152838</v>
      </c>
      <c r="K16" s="39">
        <f t="shared" si="1"/>
        <v>-848620</v>
      </c>
      <c r="L16" s="61">
        <f t="shared" si="1"/>
        <v>268300</v>
      </c>
      <c r="M16" s="39">
        <f t="shared" si="1"/>
        <v>-1701166</v>
      </c>
      <c r="N16" s="61">
        <f>SUM(N11:N15)</f>
        <v>92576</v>
      </c>
      <c r="O16" s="39">
        <f>SUM(O11:O15)</f>
        <v>207321</v>
      </c>
      <c r="P16" s="61">
        <f>SUM(P11:P15)</f>
        <v>21720</v>
      </c>
      <c r="Q16" s="39">
        <f>SUM(Q11:Q15)</f>
        <v>48341</v>
      </c>
      <c r="R16" s="61">
        <f t="shared" si="1"/>
        <v>2575</v>
      </c>
      <c r="S16" s="39">
        <f t="shared" si="1"/>
        <v>13584</v>
      </c>
      <c r="T16" s="61">
        <f t="shared" si="1"/>
        <v>8346</v>
      </c>
      <c r="U16" s="39">
        <f t="shared" si="1"/>
        <v>19237.53</v>
      </c>
      <c r="V16" s="61">
        <f t="shared" si="1"/>
        <v>-4130</v>
      </c>
      <c r="W16" s="39">
        <f t="shared" si="1"/>
        <v>-9411.19</v>
      </c>
      <c r="X16" s="61">
        <f t="shared" si="1"/>
        <v>-71496</v>
      </c>
      <c r="Y16" s="39">
        <f t="shared" si="1"/>
        <v>-184363.98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-50068501</v>
      </c>
      <c r="E19" s="38">
        <f t="shared" si="2"/>
        <v>-113425930.81</v>
      </c>
      <c r="F19" s="64">
        <f>'TIE-OUT'!X19+RECLASS!V19</f>
        <v>0</v>
      </c>
      <c r="G19" s="68">
        <f>'TIE-OUT'!Y19+RECLASS!W19</f>
        <v>-144747</v>
      </c>
      <c r="H19" s="118">
        <v>-49409342</v>
      </c>
      <c r="I19" s="118">
        <v>-111798217</v>
      </c>
      <c r="J19" s="118">
        <v>-602441</v>
      </c>
      <c r="K19" s="119">
        <v>-1376401</v>
      </c>
      <c r="L19" s="118">
        <v>-88640</v>
      </c>
      <c r="M19" s="119">
        <v>-166448</v>
      </c>
      <c r="N19" s="118">
        <v>57633</v>
      </c>
      <c r="O19" s="119">
        <v>125854</v>
      </c>
      <c r="P19" s="118">
        <v>-151566</v>
      </c>
      <c r="Q19" s="119">
        <v>-358227</v>
      </c>
      <c r="R19" s="118">
        <v>-25159</v>
      </c>
      <c r="S19" s="119">
        <v>-59995</v>
      </c>
      <c r="T19" s="118">
        <v>-6161</v>
      </c>
      <c r="U19" s="119">
        <v>-14425.21</v>
      </c>
      <c r="V19" s="118">
        <v>115325</v>
      </c>
      <c r="W19" s="119">
        <v>269614.05</v>
      </c>
      <c r="X19" s="118">
        <v>41850</v>
      </c>
      <c r="Y19" s="119">
        <v>97061.35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-258817.59</v>
      </c>
      <c r="F20" s="60">
        <f>'TIE-OUT'!X20+RECLASS!V20</f>
        <v>0</v>
      </c>
      <c r="G20" s="38">
        <f>'TIE-OUT'!Y20+RECLASS!W20</f>
        <v>-11462.19</v>
      </c>
      <c r="H20" s="118">
        <v>0</v>
      </c>
      <c r="I20" s="118">
        <v>0</v>
      </c>
      <c r="J20" s="118">
        <v>0</v>
      </c>
      <c r="K20" s="119">
        <v>0</v>
      </c>
      <c r="L20" s="118">
        <v>0</v>
      </c>
      <c r="M20" s="215">
        <v>-94240</v>
      </c>
      <c r="N20" s="118"/>
      <c r="O20" s="119"/>
      <c r="P20" s="118"/>
      <c r="Q20" s="119"/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-153115.4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/>
      <c r="O21" s="119"/>
      <c r="P21" s="118"/>
      <c r="Q21" s="119"/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-50068501</v>
      </c>
      <c r="E24" s="39">
        <f t="shared" si="3"/>
        <v>-113684748.40000001</v>
      </c>
      <c r="F24" s="61">
        <f t="shared" si="3"/>
        <v>0</v>
      </c>
      <c r="G24" s="39">
        <f t="shared" si="3"/>
        <v>-156209.19</v>
      </c>
      <c r="H24" s="61">
        <f t="shared" si="3"/>
        <v>-49409342</v>
      </c>
      <c r="I24" s="61">
        <f t="shared" si="3"/>
        <v>-111798217</v>
      </c>
      <c r="J24" s="61">
        <f t="shared" si="3"/>
        <v>-602441</v>
      </c>
      <c r="K24" s="39">
        <f t="shared" si="3"/>
        <v>-1376401</v>
      </c>
      <c r="L24" s="61">
        <f t="shared" si="3"/>
        <v>-88640</v>
      </c>
      <c r="M24" s="39">
        <f t="shared" si="3"/>
        <v>-260688</v>
      </c>
      <c r="N24" s="61">
        <f>SUM(N19:N23)</f>
        <v>57633</v>
      </c>
      <c r="O24" s="39">
        <f>SUM(O19:O23)</f>
        <v>125854</v>
      </c>
      <c r="P24" s="61">
        <f>SUM(P19:P23)</f>
        <v>-151566</v>
      </c>
      <c r="Q24" s="39">
        <f>SUM(Q19:Q23)</f>
        <v>-358227</v>
      </c>
      <c r="R24" s="61">
        <f t="shared" si="3"/>
        <v>-25159</v>
      </c>
      <c r="S24" s="39">
        <f t="shared" si="3"/>
        <v>-59995</v>
      </c>
      <c r="T24" s="61">
        <f t="shared" si="3"/>
        <v>-6161</v>
      </c>
      <c r="U24" s="39">
        <f t="shared" si="3"/>
        <v>-14425.21</v>
      </c>
      <c r="V24" s="61">
        <f t="shared" si="3"/>
        <v>115325</v>
      </c>
      <c r="W24" s="39">
        <f t="shared" si="3"/>
        <v>116498.65</v>
      </c>
      <c r="X24" s="61">
        <f t="shared" si="3"/>
        <v>41850</v>
      </c>
      <c r="Y24" s="39">
        <f t="shared" si="3"/>
        <v>97061.35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21501816</v>
      </c>
      <c r="E27" s="38">
        <f>SUM(G27,I27,K27,M27,O27,Q27,S27,U27,W27,Y27,AA27,AC27,AE27)</f>
        <v>49617583.439999998</v>
      </c>
      <c r="F27" s="64">
        <f>'TIE-OUT'!X27+RECLASS!V27</f>
        <v>0</v>
      </c>
      <c r="G27" s="68">
        <f>'TIE-OUT'!Y27+RECLASS!W27</f>
        <v>0</v>
      </c>
      <c r="H27" s="118">
        <f>12707112+118122</f>
        <v>12825234</v>
      </c>
      <c r="I27" s="118">
        <f>28478116+276172</f>
        <v>28754288</v>
      </c>
      <c r="J27" s="118">
        <f>8963154+6392</f>
        <v>8969546</v>
      </c>
      <c r="K27" s="119">
        <f>21398561+14684</f>
        <v>21413245</v>
      </c>
      <c r="L27" s="118">
        <f>-222453+2598</f>
        <v>-219855</v>
      </c>
      <c r="M27" s="119">
        <f>-466808+6170</f>
        <v>-460638</v>
      </c>
      <c r="N27" s="118">
        <v>-25544</v>
      </c>
      <c r="O27" s="119">
        <v>-76827</v>
      </c>
      <c r="P27" s="118">
        <f>-3952+-10392</f>
        <v>-14344</v>
      </c>
      <c r="Q27" s="119">
        <f>-10549+-23902</f>
        <v>-34451</v>
      </c>
      <c r="R27" s="118">
        <v>-33997</v>
      </c>
      <c r="S27" s="119">
        <v>19186</v>
      </c>
      <c r="T27" s="118">
        <v>5778</v>
      </c>
      <c r="U27" s="119">
        <v>16153.38</v>
      </c>
      <c r="V27" s="118">
        <v>-6760</v>
      </c>
      <c r="W27" s="119">
        <v>-17558.63</v>
      </c>
      <c r="X27" s="118">
        <v>1758</v>
      </c>
      <c r="Y27" s="119">
        <v>4185.6899999999996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-7628546</v>
      </c>
      <c r="E28" s="38">
        <f>SUM(G28,I28,K28,M28,O28,Q28,S28,U28,W28,Y28,AA28,AC28,AE28)</f>
        <v>-18193605.170000002</v>
      </c>
      <c r="F28" s="81">
        <f>'TIE-OUT'!X28+RECLASS!V28</f>
        <v>0</v>
      </c>
      <c r="G28" s="82">
        <f>'TIE-OUT'!Y28+RECLASS!W28</f>
        <v>0</v>
      </c>
      <c r="H28" s="118">
        <v>-7998355</v>
      </c>
      <c r="I28" s="118">
        <v>-19023411</v>
      </c>
      <c r="J28" s="118">
        <v>333383</v>
      </c>
      <c r="K28" s="119">
        <v>752184</v>
      </c>
      <c r="L28" s="118">
        <v>-33097</v>
      </c>
      <c r="M28" s="119">
        <v>-89077</v>
      </c>
      <c r="N28" s="118">
        <v>-10392</v>
      </c>
      <c r="O28" s="119">
        <f>1650-24317</f>
        <v>-22667</v>
      </c>
      <c r="P28" s="118">
        <f>73039+10392</f>
        <v>83431</v>
      </c>
      <c r="Q28" s="119">
        <f>174051+23690</f>
        <v>197741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-3516</v>
      </c>
      <c r="Y28" s="119">
        <v>-8375.17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13873270</v>
      </c>
      <c r="E29" s="39">
        <f t="shared" si="4"/>
        <v>31423978.269999996</v>
      </c>
      <c r="F29" s="61">
        <f t="shared" si="4"/>
        <v>0</v>
      </c>
      <c r="G29" s="39">
        <f t="shared" si="4"/>
        <v>0</v>
      </c>
      <c r="H29" s="61">
        <f t="shared" si="4"/>
        <v>4826879</v>
      </c>
      <c r="I29" s="61">
        <f t="shared" si="4"/>
        <v>9730877</v>
      </c>
      <c r="J29" s="61">
        <f t="shared" si="4"/>
        <v>9302929</v>
      </c>
      <c r="K29" s="39">
        <f t="shared" si="4"/>
        <v>22165429</v>
      </c>
      <c r="L29" s="61">
        <f t="shared" si="4"/>
        <v>-252952</v>
      </c>
      <c r="M29" s="39">
        <f t="shared" si="4"/>
        <v>-549715</v>
      </c>
      <c r="N29" s="61">
        <f>SUM(N27:N28)</f>
        <v>-35936</v>
      </c>
      <c r="O29" s="39">
        <f>SUM(O27:O28)</f>
        <v>-99494</v>
      </c>
      <c r="P29" s="61">
        <f>SUM(P27:P28)</f>
        <v>69087</v>
      </c>
      <c r="Q29" s="39">
        <f>SUM(Q27:Q28)</f>
        <v>163290</v>
      </c>
      <c r="R29" s="61">
        <f t="shared" si="4"/>
        <v>-33997</v>
      </c>
      <c r="S29" s="39">
        <f t="shared" si="4"/>
        <v>19186</v>
      </c>
      <c r="T29" s="61">
        <f t="shared" si="4"/>
        <v>5778</v>
      </c>
      <c r="U29" s="39">
        <f t="shared" si="4"/>
        <v>16153.38</v>
      </c>
      <c r="V29" s="61">
        <f t="shared" si="4"/>
        <v>-6760</v>
      </c>
      <c r="W29" s="39">
        <f t="shared" si="4"/>
        <v>-17558.63</v>
      </c>
      <c r="X29" s="61">
        <f t="shared" si="4"/>
        <v>-1758</v>
      </c>
      <c r="Y29" s="39">
        <f t="shared" si="4"/>
        <v>-4189.4800000000005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74812</v>
      </c>
      <c r="E32" s="38">
        <f t="shared" si="5"/>
        <v>170047.96000000002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242922</v>
      </c>
      <c r="K32" s="119">
        <v>552162</v>
      </c>
      <c r="L32" s="118">
        <v>-164385</v>
      </c>
      <c r="M32" s="119">
        <v>-373647</v>
      </c>
      <c r="N32" s="118">
        <v>96986</v>
      </c>
      <c r="O32" s="119">
        <v>220449</v>
      </c>
      <c r="P32" s="118">
        <v>-120714</v>
      </c>
      <c r="Q32" s="119">
        <v>-274383</v>
      </c>
      <c r="R32" s="118">
        <v>30461</v>
      </c>
      <c r="S32" s="119">
        <v>69238</v>
      </c>
      <c r="T32" s="118">
        <v>11057</v>
      </c>
      <c r="U32" s="119">
        <v>25132.560000000001</v>
      </c>
      <c r="V32" s="118">
        <v>2544</v>
      </c>
      <c r="W32" s="119">
        <v>5782.51</v>
      </c>
      <c r="X32" s="118">
        <v>-24059</v>
      </c>
      <c r="Y32" s="119">
        <v>-54686.11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74812</v>
      </c>
      <c r="E36" s="39">
        <f t="shared" si="6"/>
        <v>170047.96000000002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242922</v>
      </c>
      <c r="K36" s="39">
        <f t="shared" si="6"/>
        <v>552162</v>
      </c>
      <c r="L36" s="61">
        <f t="shared" si="6"/>
        <v>-164385</v>
      </c>
      <c r="M36" s="39">
        <f t="shared" si="6"/>
        <v>-373647</v>
      </c>
      <c r="N36" s="61">
        <f>SUM(N32:N35)</f>
        <v>96986</v>
      </c>
      <c r="O36" s="39">
        <f>SUM(O32:O35)</f>
        <v>220449</v>
      </c>
      <c r="P36" s="61">
        <f>SUM(P32:P35)</f>
        <v>-120714</v>
      </c>
      <c r="Q36" s="39">
        <f>SUM(Q32:Q35)</f>
        <v>-274383</v>
      </c>
      <c r="R36" s="61">
        <f t="shared" si="6"/>
        <v>30461</v>
      </c>
      <c r="S36" s="39">
        <f t="shared" si="6"/>
        <v>69238</v>
      </c>
      <c r="T36" s="61">
        <f t="shared" si="6"/>
        <v>11057</v>
      </c>
      <c r="U36" s="39">
        <f t="shared" si="6"/>
        <v>25132.560000000001</v>
      </c>
      <c r="V36" s="61">
        <f t="shared" si="6"/>
        <v>2544</v>
      </c>
      <c r="W36" s="39">
        <f t="shared" si="6"/>
        <v>5782.51</v>
      </c>
      <c r="X36" s="61">
        <f t="shared" si="6"/>
        <v>-24059</v>
      </c>
      <c r="Y36" s="39">
        <f t="shared" si="6"/>
        <v>-54686.11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-120910</v>
      </c>
      <c r="F39" s="64">
        <f>'TIE-OUT'!X39+RECLASS!V39</f>
        <v>0</v>
      </c>
      <c r="G39" s="68">
        <f>'TIE-OUT'!Y39+RECLASS!W39</f>
        <v>-120910</v>
      </c>
      <c r="H39" s="118">
        <v>0</v>
      </c>
      <c r="I39" s="118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-2562387</v>
      </c>
      <c r="E40" s="38">
        <f t="shared" si="7"/>
        <v>-5773159.5099999998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-2767625</v>
      </c>
      <c r="K40" s="119">
        <v>-6454445</v>
      </c>
      <c r="L40" s="118">
        <v>205238</v>
      </c>
      <c r="M40" s="119">
        <v>463579</v>
      </c>
      <c r="N40" s="118"/>
      <c r="O40" s="119">
        <v>1845</v>
      </c>
      <c r="P40" s="118"/>
      <c r="Q40" s="119">
        <v>15349</v>
      </c>
      <c r="R40" s="118">
        <v>-120</v>
      </c>
      <c r="S40" s="119">
        <v>-296</v>
      </c>
      <c r="T40" s="118">
        <v>120</v>
      </c>
      <c r="U40" s="119">
        <v>808.49</v>
      </c>
      <c r="V40" s="118">
        <v>0</v>
      </c>
      <c r="W40" s="119">
        <v>200000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-291950</v>
      </c>
      <c r="F41" s="81">
        <f>'TIE-OUT'!X41+RECLASS!V41</f>
        <v>0</v>
      </c>
      <c r="G41" s="82">
        <f>'TIE-OUT'!Y41+RECLASS!W41</f>
        <v>-291950</v>
      </c>
      <c r="H41" s="118">
        <v>0</v>
      </c>
      <c r="I41" s="118">
        <v>0</v>
      </c>
      <c r="J41" s="118">
        <v>0</v>
      </c>
      <c r="K41" s="119">
        <v>0</v>
      </c>
      <c r="L41" s="118">
        <v>0</v>
      </c>
      <c r="M41" s="215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-2562387</v>
      </c>
      <c r="E42" s="39">
        <f t="shared" si="8"/>
        <v>-6065109.5099999998</v>
      </c>
      <c r="F42" s="61">
        <f t="shared" si="8"/>
        <v>0</v>
      </c>
      <c r="G42" s="39">
        <f t="shared" si="8"/>
        <v>-291950</v>
      </c>
      <c r="H42" s="61">
        <f t="shared" si="8"/>
        <v>0</v>
      </c>
      <c r="I42" s="61">
        <f t="shared" si="8"/>
        <v>0</v>
      </c>
      <c r="J42" s="61">
        <f t="shared" si="8"/>
        <v>-2767625</v>
      </c>
      <c r="K42" s="39">
        <f t="shared" si="8"/>
        <v>-6454445</v>
      </c>
      <c r="L42" s="61">
        <f t="shared" si="8"/>
        <v>205238</v>
      </c>
      <c r="M42" s="39">
        <f t="shared" si="8"/>
        <v>463579</v>
      </c>
      <c r="N42" s="61">
        <f>SUM(N40:N41)</f>
        <v>0</v>
      </c>
      <c r="O42" s="39">
        <f>SUM(O40:O41)</f>
        <v>1845</v>
      </c>
      <c r="P42" s="61">
        <f>SUM(P40:P41)</f>
        <v>0</v>
      </c>
      <c r="Q42" s="39">
        <f>SUM(Q40:Q41)</f>
        <v>15349</v>
      </c>
      <c r="R42" s="61">
        <f t="shared" si="8"/>
        <v>-120</v>
      </c>
      <c r="S42" s="39">
        <f t="shared" si="8"/>
        <v>-296</v>
      </c>
      <c r="T42" s="61">
        <f t="shared" si="8"/>
        <v>120</v>
      </c>
      <c r="U42" s="39">
        <f t="shared" si="8"/>
        <v>808.49</v>
      </c>
      <c r="V42" s="61">
        <f t="shared" si="8"/>
        <v>0</v>
      </c>
      <c r="W42" s="39">
        <f t="shared" si="8"/>
        <v>200000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-2562387</v>
      </c>
      <c r="E43" s="39">
        <f t="shared" si="9"/>
        <v>-6186019.5099999998</v>
      </c>
      <c r="F43" s="61">
        <f t="shared" si="9"/>
        <v>0</v>
      </c>
      <c r="G43" s="39">
        <f t="shared" si="9"/>
        <v>-412860</v>
      </c>
      <c r="H43" s="61">
        <f t="shared" si="9"/>
        <v>0</v>
      </c>
      <c r="I43" s="61">
        <f t="shared" si="9"/>
        <v>0</v>
      </c>
      <c r="J43" s="61">
        <f t="shared" si="9"/>
        <v>-2767625</v>
      </c>
      <c r="K43" s="39">
        <f t="shared" si="9"/>
        <v>-6454445</v>
      </c>
      <c r="L43" s="61">
        <f t="shared" si="9"/>
        <v>205238</v>
      </c>
      <c r="M43" s="39">
        <f t="shared" si="9"/>
        <v>463579</v>
      </c>
      <c r="N43" s="61">
        <f>N42+N39</f>
        <v>0</v>
      </c>
      <c r="O43" s="39">
        <f>O42+O39</f>
        <v>1845</v>
      </c>
      <c r="P43" s="61">
        <f>P42+P39</f>
        <v>0</v>
      </c>
      <c r="Q43" s="39">
        <f>Q42+Q39</f>
        <v>15349</v>
      </c>
      <c r="R43" s="61">
        <f t="shared" si="9"/>
        <v>-120</v>
      </c>
      <c r="S43" s="39">
        <f t="shared" si="9"/>
        <v>-296</v>
      </c>
      <c r="T43" s="61">
        <f t="shared" si="9"/>
        <v>120</v>
      </c>
      <c r="U43" s="39">
        <f t="shared" si="9"/>
        <v>808.49</v>
      </c>
      <c r="V43" s="61">
        <f t="shared" si="9"/>
        <v>0</v>
      </c>
      <c r="W43" s="39">
        <f t="shared" si="9"/>
        <v>200000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313618</v>
      </c>
      <c r="E49" s="38">
        <f>SUM(G49,I49,K49,M49,O49,Q49,S49,U49,W49,Y49,AA49,AC49,AE49)</f>
        <v>712853.91</v>
      </c>
      <c r="F49" s="60">
        <f>'TIE-OUT'!X49+RECLASS!V49</f>
        <v>0</v>
      </c>
      <c r="G49" s="38">
        <f>'TIE-OUT'!Y49+RECLASS!W49</f>
        <v>0</v>
      </c>
      <c r="H49" s="118">
        <v>6378328</v>
      </c>
      <c r="I49" s="118">
        <v>14497940</v>
      </c>
      <c r="J49" s="118">
        <v>-6022947</v>
      </c>
      <c r="K49" s="119">
        <v>-13690159</v>
      </c>
      <c r="L49" s="118">
        <v>32439</v>
      </c>
      <c r="M49" s="119">
        <v>73734</v>
      </c>
      <c r="N49" s="118">
        <v>-211259</v>
      </c>
      <c r="O49" s="119">
        <v>-480192</v>
      </c>
      <c r="P49" s="118">
        <v>181473</v>
      </c>
      <c r="Q49" s="119">
        <v>412488</v>
      </c>
      <c r="R49" s="118">
        <v>26240</v>
      </c>
      <c r="S49" s="119">
        <v>59644</v>
      </c>
      <c r="T49" s="118">
        <v>-19140</v>
      </c>
      <c r="U49" s="119">
        <v>-43505.22</v>
      </c>
      <c r="V49" s="118">
        <v>-106979</v>
      </c>
      <c r="W49" s="119">
        <v>-243163.27</v>
      </c>
      <c r="X49" s="118">
        <v>55463</v>
      </c>
      <c r="Y49" s="119">
        <v>126067.4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-233778</v>
      </c>
      <c r="E54" s="38">
        <f>SUM(G54,I54,K54,M54,O54,Q54,S54,U54,W54,Y54,AA54,AC54,AE54)</f>
        <v>-1368143.22</v>
      </c>
      <c r="F54" s="64">
        <f>'TIE-OUT'!X54+RECLASS!V54</f>
        <v>0</v>
      </c>
      <c r="G54" s="68">
        <f>'TIE-OUT'!Y54+RECLASS!W54</f>
        <v>-1365278</v>
      </c>
      <c r="H54" s="118">
        <v>0</v>
      </c>
      <c r="I54" s="118">
        <v>0</v>
      </c>
      <c r="J54" s="118">
        <v>0</v>
      </c>
      <c r="K54" s="119">
        <v>0</v>
      </c>
      <c r="L54" s="118">
        <v>0</v>
      </c>
      <c r="M54" s="215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-218275</v>
      </c>
      <c r="U54" s="119">
        <v>-2509.6</v>
      </c>
      <c r="V54" s="118">
        <v>-22593</v>
      </c>
      <c r="W54" s="119">
        <v>-479.95</v>
      </c>
      <c r="X54" s="118">
        <v>7090</v>
      </c>
      <c r="Y54" s="119">
        <v>124.33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146298.89000000001</v>
      </c>
      <c r="F55" s="81">
        <f>'TIE-OUT'!X55+RECLASS!V55</f>
        <v>0</v>
      </c>
      <c r="G55" s="82">
        <f>'TIE-OUT'!Y55+RECLASS!W55</f>
        <v>93300</v>
      </c>
      <c r="H55" s="118">
        <v>0</v>
      </c>
      <c r="I55" s="118">
        <v>60000</v>
      </c>
      <c r="J55" s="118">
        <v>0</v>
      </c>
      <c r="K55" s="119">
        <v>-10000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2998.89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-233778</v>
      </c>
      <c r="E56" s="39">
        <f t="shared" si="10"/>
        <v>-1221844.33</v>
      </c>
      <c r="F56" s="61">
        <f t="shared" si="10"/>
        <v>0</v>
      </c>
      <c r="G56" s="39">
        <f t="shared" si="10"/>
        <v>-1271978</v>
      </c>
      <c r="H56" s="61">
        <f t="shared" si="10"/>
        <v>0</v>
      </c>
      <c r="I56" s="61">
        <f t="shared" si="10"/>
        <v>60000</v>
      </c>
      <c r="J56" s="61">
        <f t="shared" si="10"/>
        <v>0</v>
      </c>
      <c r="K56" s="39">
        <f t="shared" si="10"/>
        <v>-10000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-218275</v>
      </c>
      <c r="U56" s="39">
        <f t="shared" si="10"/>
        <v>489.28999999999996</v>
      </c>
      <c r="V56" s="61">
        <f t="shared" si="10"/>
        <v>-22593</v>
      </c>
      <c r="W56" s="39">
        <f t="shared" si="10"/>
        <v>-479.95</v>
      </c>
      <c r="X56" s="61">
        <f t="shared" si="10"/>
        <v>7090</v>
      </c>
      <c r="Y56" s="39">
        <f t="shared" si="10"/>
        <v>124.33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33526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215">
        <f>-148750+93191</f>
        <v>-55559</v>
      </c>
      <c r="P60" s="118">
        <v>0</v>
      </c>
      <c r="Q60" s="215">
        <v>89085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33526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-55559</v>
      </c>
      <c r="P61" s="61">
        <f>SUM(P59:P60)</f>
        <v>0</v>
      </c>
      <c r="Q61" s="39">
        <f>SUM(Q59:Q60)</f>
        <v>89085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1960449.6800000002</v>
      </c>
      <c r="F74" s="60">
        <f>'TIE-OUT'!X74+RECLASS!V74</f>
        <v>0</v>
      </c>
      <c r="G74" s="60">
        <f>'TIE-OUT'!Y74+RECLASS!W74</f>
        <v>-760086.32</v>
      </c>
      <c r="H74" s="118">
        <v>0</v>
      </c>
      <c r="I74" s="118">
        <v>0</v>
      </c>
      <c r="J74" s="118">
        <v>0</v>
      </c>
      <c r="K74" s="119">
        <v>0</v>
      </c>
      <c r="L74" s="118">
        <v>0</v>
      </c>
      <c r="M74" s="215">
        <v>720750</v>
      </c>
      <c r="N74" s="118">
        <v>0</v>
      </c>
      <c r="O74" s="139">
        <f>-7905+2007691</f>
        <v>1999786</v>
      </c>
      <c r="P74" s="118">
        <v>0</v>
      </c>
      <c r="Q74" s="139"/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-61128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0</v>
      </c>
      <c r="J81" s="118">
        <v>0</v>
      </c>
      <c r="K81" s="119">
        <v>0</v>
      </c>
      <c r="L81" s="118">
        <v>0</v>
      </c>
      <c r="M81" s="215">
        <v>-61128</v>
      </c>
      <c r="N81" s="118">
        <v>0</v>
      </c>
      <c r="O81" s="119"/>
      <c r="P81" s="118">
        <v>0</v>
      </c>
      <c r="Q81" s="119"/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204925.45999999251</v>
      </c>
      <c r="F82" s="91">
        <f>F16+F24+F29+F36+F43+F45+F47+F49</f>
        <v>0</v>
      </c>
      <c r="G82" s="92">
        <f>SUM(G72:G81)+G16+G24+G29+G36+G43+G45+G47+G49+G51+G56+G61+G66</f>
        <v>-3733898.9899999998</v>
      </c>
      <c r="H82" s="91">
        <f>H16+H24+H29+H36+H43+H45+H47+H49</f>
        <v>0</v>
      </c>
      <c r="I82" s="92">
        <f>SUM(I72:I81)+I16+I24+I29+I36+I43+I45+I47+I49+I51+I56+I61+I66</f>
        <v>3136253</v>
      </c>
      <c r="J82" s="91">
        <f>J16+J24+J29+J36+J43+J45+J47+J49</f>
        <v>0</v>
      </c>
      <c r="K82" s="110">
        <f>SUM(K72:K81)+K16+K24+K29+K36+K43+K45+K47+K49+K51+K56+K61+K66</f>
        <v>337966</v>
      </c>
      <c r="L82" s="91">
        <f>L16+L24+L29+L36+L43+L45+L47+L49</f>
        <v>0</v>
      </c>
      <c r="M82" s="92">
        <f>SUM(M72:M81)+M16+M24+M29+M36+M43+M45+M47+M49+M51+M56+M61+M66</f>
        <v>-1688281</v>
      </c>
      <c r="N82" s="91">
        <f>N16+N24+N29+N36+N43+N45+N47+N49</f>
        <v>0</v>
      </c>
      <c r="O82" s="92">
        <f>SUM(O72:O81)+O16+O24+O29+O36+O43+O45+O47+O49+O51+O56+O61+O66</f>
        <v>1920010</v>
      </c>
      <c r="P82" s="91">
        <f>P16+P24+P29+P36+P43+P45+P47+P49</f>
        <v>0</v>
      </c>
      <c r="Q82" s="92">
        <f>SUM(Q72:Q81)+Q16+Q24+Q29+Q36+Q43+Q45+Q47+Q49+Q51+Q56+Q61+Q66</f>
        <v>95943</v>
      </c>
      <c r="R82" s="91">
        <f>R16+R24+R29+R36+R43+R45+R47+R49</f>
        <v>0</v>
      </c>
      <c r="S82" s="92">
        <f>SUM(S72:S81)+S16+S24+S29+S36+S43+S45+S47+S49+S51+S56+S61+S66</f>
        <v>101361</v>
      </c>
      <c r="T82" s="91">
        <f>T16+T24+T29+T36+T43+T45+T47+T49</f>
        <v>0</v>
      </c>
      <c r="U82" s="92">
        <f>SUM(U72:U81)+U16+U24+U29+U36+U43+U45+U47+U49+U51+U56+U61+U66</f>
        <v>3890.8199999999915</v>
      </c>
      <c r="V82" s="91">
        <f>V16+V24+V29+V36+V43+V45+V47+V49</f>
        <v>0</v>
      </c>
      <c r="W82" s="92">
        <f>SUM(W72:W81)+W16+W24+W29+W36+W43+W45+W47+W49+W51+W56+W61+W66</f>
        <v>51668.119999999981</v>
      </c>
      <c r="X82" s="91">
        <f>X16+X24+X29+X36+X43+X45+X47+X49</f>
        <v>0</v>
      </c>
      <c r="Y82" s="92">
        <f>SUM(Y72:Y81)+Y16+Y24+Y29+Y36+Y43+Y45+Y47+Y49+Y51+Y56+Y61+Y66</f>
        <v>-19986.490000000005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170</v>
      </c>
      <c r="B85" s="3"/>
      <c r="F85" s="31"/>
      <c r="G85" s="31"/>
      <c r="H85" s="31"/>
      <c r="I85" s="31"/>
      <c r="K85"/>
    </row>
    <row r="86" spans="1:41" x14ac:dyDescent="0.25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2679418.91</v>
      </c>
      <c r="F86" s="145">
        <f>'TIE-OUT'!X86+RECLASS!V86</f>
        <v>0</v>
      </c>
      <c r="G86" s="146">
        <f>'TIE-OUT'!Y86+RECLASS!W86</f>
        <v>2598320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f>779530.91-57416</f>
        <v>722114.91</v>
      </c>
      <c r="N86" s="145">
        <v>0</v>
      </c>
      <c r="O86" s="145">
        <v>-641016</v>
      </c>
    </row>
    <row r="87" spans="1:41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</row>
    <row r="88" spans="1:41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-2147419</v>
      </c>
      <c r="F88" s="147">
        <f>'TIE-OUT'!X88+RECLASS!V88</f>
        <v>0</v>
      </c>
      <c r="G88" s="147">
        <f>'TIE-OUT'!Y88+RECLASS!W88</f>
        <v>-2057500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-89919</v>
      </c>
      <c r="N88" s="147">
        <v>0</v>
      </c>
      <c r="O88" s="147">
        <v>0</v>
      </c>
    </row>
    <row r="89" spans="1:41" ht="15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531999.91000000015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632195.91</v>
      </c>
      <c r="N89" s="155">
        <f>SUM(N86:N88)</f>
        <v>0</v>
      </c>
      <c r="O89" s="155">
        <f>SUM(O86:O88)</f>
        <v>-641016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ht="15" x14ac:dyDescent="0.25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736925.36999999266</v>
      </c>
      <c r="F91" s="155">
        <f t="shared" si="17"/>
        <v>0</v>
      </c>
      <c r="G91" s="155">
        <f t="shared" si="17"/>
        <v>-3193078.9899999998</v>
      </c>
      <c r="H91" s="155">
        <f t="shared" si="17"/>
        <v>0</v>
      </c>
      <c r="I91" s="155">
        <f t="shared" si="17"/>
        <v>3136253</v>
      </c>
      <c r="J91" s="155">
        <f t="shared" si="17"/>
        <v>0</v>
      </c>
      <c r="K91" s="155">
        <f t="shared" si="17"/>
        <v>337966</v>
      </c>
      <c r="L91" s="155">
        <f>+L82+L89</f>
        <v>0</v>
      </c>
      <c r="M91" s="155">
        <f>+M82+M89</f>
        <v>-1056085.0899999999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Q10" activePane="bottomRight" state="frozen"/>
      <selection activeCell="X9" sqref="X9"/>
      <selection pane="topRight" activeCell="X9" sqref="X9"/>
      <selection pane="bottomLeft" activeCell="X9" sqref="X9"/>
      <selection pane="bottomRight" activeCell="X9" sqref="X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116720</v>
      </c>
      <c r="E11" s="38">
        <f>SUM(G11,I11,K11,M11,O11,Q11,S11,U11,W11,Y11,AA11,AC11,AE11)</f>
        <v>275575.92</v>
      </c>
      <c r="F11" s="60">
        <f>'TIE-OUT'!T11+RECLASS!R11</f>
        <v>0</v>
      </c>
      <c r="G11" s="38">
        <f>'TIE-OUT'!U11+RECLASS!S11</f>
        <v>0</v>
      </c>
      <c r="H11" s="118">
        <f>+Actuals!E4</f>
        <v>115828</v>
      </c>
      <c r="I11" s="119">
        <f>+Actuals!F4</f>
        <v>273469.90999999997</v>
      </c>
      <c r="J11" s="118">
        <f>+Actuals!G4</f>
        <v>892</v>
      </c>
      <c r="K11" s="119">
        <f>+Actuals!H4</f>
        <v>2106.0100000000002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-4575.6000000000004</v>
      </c>
      <c r="F12" s="60">
        <f>'TIE-OUT'!T12+RECLASS!R12</f>
        <v>0</v>
      </c>
      <c r="G12" s="38">
        <f>'TIE-OUT'!U12+RECLASS!S12</f>
        <v>-4575.6000000000004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116720</v>
      </c>
      <c r="E16" s="39">
        <f t="shared" si="1"/>
        <v>271000.32000000001</v>
      </c>
      <c r="F16" s="61">
        <f t="shared" si="1"/>
        <v>0</v>
      </c>
      <c r="G16" s="39">
        <f t="shared" si="1"/>
        <v>-4575.6000000000004</v>
      </c>
      <c r="H16" s="61">
        <f t="shared" si="1"/>
        <v>115828</v>
      </c>
      <c r="I16" s="39">
        <f t="shared" si="1"/>
        <v>273469.90999999997</v>
      </c>
      <c r="J16" s="61">
        <f t="shared" si="1"/>
        <v>892</v>
      </c>
      <c r="K16" s="39">
        <f t="shared" si="1"/>
        <v>2106.0100000000002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0</v>
      </c>
      <c r="P16" s="61">
        <f>SUM(P11:P15)</f>
        <v>0</v>
      </c>
      <c r="Q16" s="39">
        <f>SUM(Q11:Q15)</f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-121977.84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+Actuals!F9-13568</f>
        <v>-13568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215">
        <f>+Actuals!N9-113410</f>
        <v>-113410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v>-5000.16</v>
      </c>
      <c r="V19" s="118">
        <f>+Actuals!S9</f>
        <v>0</v>
      </c>
      <c r="W19" s="119">
        <v>10000.32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-121977.84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-13568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-113410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-5000.16</v>
      </c>
      <c r="V24" s="61">
        <f t="shared" si="3"/>
        <v>0</v>
      </c>
      <c r="W24" s="39">
        <f t="shared" si="3"/>
        <v>10000.32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627.67679999999746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10392</v>
      </c>
      <c r="O27" s="119">
        <f>+Actuals!L14</f>
        <v>24317.279999999999</v>
      </c>
      <c r="P27" s="118">
        <f>+Actuals!M14</f>
        <v>-10392</v>
      </c>
      <c r="Q27" s="119">
        <f>+Actuals!N14</f>
        <v>-23689.603200000001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-116720</v>
      </c>
      <c r="E28" s="38">
        <f>SUM(G28,I28,K28,M28,O28,Q28,S28,U28,W28,Y28,AA28,AC28,AE28)</f>
        <v>-273124.8</v>
      </c>
      <c r="F28" s="81">
        <f>'TIE-OUT'!T28+RECLASS!R28</f>
        <v>0</v>
      </c>
      <c r="G28" s="82">
        <f>'TIE-OUT'!U28+RECLASS!S28</f>
        <v>0</v>
      </c>
      <c r="H28" s="118">
        <f>+Actuals!E15</f>
        <v>-115828</v>
      </c>
      <c r="I28" s="119">
        <f>+Actuals!F15</f>
        <v>-5134.3100000000004</v>
      </c>
      <c r="J28" s="118">
        <f>+Actuals!G15</f>
        <v>-892</v>
      </c>
      <c r="K28" s="119">
        <f>+Actuals!H15</f>
        <v>-267990.49</v>
      </c>
      <c r="L28" s="118">
        <f>+Actuals!I15</f>
        <v>0</v>
      </c>
      <c r="M28" s="119">
        <f>+Actuals!J15</f>
        <v>0</v>
      </c>
      <c r="N28" s="118">
        <f>+Actuals!K15</f>
        <v>-10392</v>
      </c>
      <c r="O28" s="119">
        <f>+Actuals!L15</f>
        <v>-23901.599999999999</v>
      </c>
      <c r="P28" s="118">
        <f>+Actuals!M15</f>
        <v>10392</v>
      </c>
      <c r="Q28" s="119">
        <f>+Actuals!N15</f>
        <v>23901.599999999999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-116720</v>
      </c>
      <c r="E29" s="39">
        <f t="shared" si="4"/>
        <v>-272497.12319999997</v>
      </c>
      <c r="F29" s="61">
        <f t="shared" si="4"/>
        <v>0</v>
      </c>
      <c r="G29" s="39">
        <f t="shared" si="4"/>
        <v>0</v>
      </c>
      <c r="H29" s="61">
        <f t="shared" si="4"/>
        <v>-115828</v>
      </c>
      <c r="I29" s="39">
        <f t="shared" si="4"/>
        <v>-5134.3100000000004</v>
      </c>
      <c r="J29" s="61">
        <f t="shared" si="4"/>
        <v>-892</v>
      </c>
      <c r="K29" s="39">
        <f t="shared" si="4"/>
        <v>-267990.49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415.68000000000029</v>
      </c>
      <c r="P29" s="61">
        <f>SUM(P27:P28)</f>
        <v>0</v>
      </c>
      <c r="Q29" s="39">
        <f>SUM(Q27:Q28)</f>
        <v>211.99679999999717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113410.16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113410.16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-10064.483199999959</v>
      </c>
      <c r="F82" s="91">
        <f>F16+F24+F29+F36+F43+F45+F47+F49</f>
        <v>0</v>
      </c>
      <c r="G82" s="92">
        <f>SUM(G72:G81)+G16+G24+G29+G36+G43+G45+G47+G49+G51+G56+G61+G66</f>
        <v>-4575.6000000000004</v>
      </c>
      <c r="H82" s="91">
        <f>H16+H24+H29+H36+H43+H45+H47+H49</f>
        <v>0</v>
      </c>
      <c r="I82" s="92">
        <f>SUM(I72:I81)+I16+I24+I29+I36+I43+I45+I47+I49+I51+I56+I61+I66</f>
        <v>254767.59999999998</v>
      </c>
      <c r="J82" s="91">
        <f>J16+J24+J29+J36+J43+J45+J47+J49</f>
        <v>0</v>
      </c>
      <c r="K82" s="110">
        <f>SUM(K72:K81)+K16+K24+K29+K36+K43+K45+K47+K49+K51+K56+K61+K66</f>
        <v>-265884.48</v>
      </c>
      <c r="L82" s="91">
        <f>L16+L24+L29+L36+L43+L45+L47+L49</f>
        <v>0</v>
      </c>
      <c r="M82" s="92">
        <f>SUM(M72:M81)+M16+M24+M29+M36+M43+M45+M47+M49+M51+M56+M61+M66</f>
        <v>113410.16</v>
      </c>
      <c r="N82" s="91">
        <f>N16+N24+N29+N36+N43+N45+N47+N49</f>
        <v>0</v>
      </c>
      <c r="O82" s="92">
        <f>SUM(O72:O81)+O16+O24+O29+O36+O43+O45+O47+O49+O51+O56+O61+O66</f>
        <v>415.68000000000029</v>
      </c>
      <c r="P82" s="91">
        <f>P16+P24+P29+P36+P43+P45+P47+P49</f>
        <v>0</v>
      </c>
      <c r="Q82" s="92">
        <f>SUM(Q72:Q81)+Q16+Q24+Q29+Q36+Q43+Q45+Q47+Q49+Q51+Q56+Q61+Q66</f>
        <v>-113198.00320000001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-5000.16</v>
      </c>
      <c r="V82" s="91">
        <f>V16+V24+V29+V36+V43+V45+V47+V49</f>
        <v>0</v>
      </c>
      <c r="W82" s="92">
        <f>SUM(W72:W81)+W16+W24+W29+W36+W43+W45+W47+W49+W51+W56+W61+W66</f>
        <v>10000.32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Q79" activePane="bottomRight" state="frozen"/>
      <selection activeCell="X9" sqref="X9"/>
      <selection pane="topRight" activeCell="X9" sqref="X9"/>
      <selection pane="bottomLeft" activeCell="X9" sqref="X9"/>
      <selection pane="bottomRight" activeCell="AS79" sqref="AS7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55846392</v>
      </c>
      <c r="E11" s="38">
        <f>SUM(G11,I11,K11,M11,O11,Q11,S11,U11,W11,Y11,AA11,AC11,AE11)</f>
        <v>135899072.92000002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265657</v>
      </c>
      <c r="H11" s="60">
        <f>'TX-EGM-GL'!H11+'TX-HPLR-GL '!H11+'TX-HPLC-GL'!H11</f>
        <v>55671778</v>
      </c>
      <c r="I11" s="38">
        <f>'TX-EGM-GL'!I11+'TX-HPLR-GL '!I11+'TX-HPLC-GL'!I11</f>
        <v>135455076.81999999</v>
      </c>
      <c r="J11" s="60">
        <f>'TX-EGM-GL'!J11+'TX-HPLR-GL '!J11+'TX-HPLC-GL'!J11</f>
        <v>-117277</v>
      </c>
      <c r="K11" s="38">
        <f>'TX-EGM-GL'!K11+'TX-HPLR-GL '!K11+'TX-HPLC-GL'!K11</f>
        <v>-786944.47</v>
      </c>
      <c r="L11" s="60">
        <f>'TX-EGM-GL'!L11+'TX-HPLR-GL '!L11+'TX-HPLC-GL'!L11</f>
        <v>247691</v>
      </c>
      <c r="M11" s="38">
        <f>'TX-EGM-GL'!M11+'TX-HPLR-GL '!M11+'TX-HPLC-GL'!M11</f>
        <v>2307661.59</v>
      </c>
      <c r="N11" s="60">
        <f>'TX-EGM-GL'!N11+'TX-HPLR-GL '!N11+'TX-HPLC-GL'!N11</f>
        <v>162863</v>
      </c>
      <c r="O11" s="38">
        <f>'TX-EGM-GL'!O11+'TX-HPLR-GL '!O11+'TX-HPLC-GL'!O11</f>
        <v>356056.93</v>
      </c>
      <c r="P11" s="60">
        <f>'TX-EGM-GL'!P11+'TX-HPLR-GL '!P11+'TX-HPLC-GL'!P11</f>
        <v>-87215</v>
      </c>
      <c r="Q11" s="38">
        <f>'TX-EGM-GL'!Q11+'TX-HPLR-GL '!Q11+'TX-HPLC-GL'!Q11</f>
        <v>-1589015.03</v>
      </c>
      <c r="R11" s="60">
        <f>'TX-EGM-GL'!R11+'TX-HPLR-GL '!R11+'TX-HPLC-GL'!R11</f>
        <v>33158</v>
      </c>
      <c r="S11" s="38">
        <f>'TX-EGM-GL'!S11+'TX-HPLR-GL '!S11+'TX-HPLC-GL'!S11</f>
        <v>89547.46</v>
      </c>
      <c r="T11" s="60">
        <f>'TX-EGM-GL'!T11+'TX-HPLR-GL '!T11+'TX-HPLC-GL'!T11</f>
        <v>8346</v>
      </c>
      <c r="U11" s="38">
        <f>'TX-EGM-GL'!U11+'TX-HPLR-GL '!U11+'TX-HPLC-GL'!U11</f>
        <v>-8842.11</v>
      </c>
      <c r="V11" s="60">
        <f>'TX-EGM-GL'!V11+'TX-HPLR-GL '!V11+'TX-HPLC-GL'!V11</f>
        <v>-1456</v>
      </c>
      <c r="W11" s="38">
        <f>'TX-EGM-GL'!W11+'TX-HPLR-GL '!W11+'TX-HPLC-GL'!W11</f>
        <v>-5761.2900000000009</v>
      </c>
      <c r="X11" s="60">
        <f>'TX-EGM-GL'!X11+'TX-HPLR-GL '!X11+'TX-HPLC-GL'!X11</f>
        <v>-71496</v>
      </c>
      <c r="Y11" s="38">
        <f>'TX-EGM-GL'!Y11+'TX-HPLR-GL '!Y11+'TX-HPLC-GL'!Y11</f>
        <v>-184363.98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-7669145.0099999998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-7641066.0099999998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-28079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11332509</v>
      </c>
      <c r="E13" s="38">
        <f t="shared" si="0"/>
        <v>23880276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11332509</v>
      </c>
      <c r="I13" s="38">
        <f>'TX-EGM-GL'!I13+'TX-HPLR-GL '!I13+'TX-HPLC-GL'!I13</f>
        <v>26371437</v>
      </c>
      <c r="J13" s="60">
        <f>'TX-EGM-GL'!J13+'TX-HPLR-GL '!J13+'TX-HPLC-GL'!J13</f>
        <v>-9857227</v>
      </c>
      <c r="K13" s="38">
        <f>'TX-EGM-GL'!K13+'TX-HPLR-GL '!K13+'TX-HPLC-GL'!K13</f>
        <v>-22968890</v>
      </c>
      <c r="L13" s="60">
        <f>'TX-EGM-GL'!L13+'TX-HPLR-GL '!L13+'TX-HPLC-GL'!L13</f>
        <v>0</v>
      </c>
      <c r="M13" s="38">
        <f>'TX-EGM-GL'!M13+'TX-HPLR-GL '!M13+'TX-HPLC-GL'!M13</f>
        <v>-2491160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9857227</v>
      </c>
      <c r="S13" s="38">
        <f>'TX-EGM-GL'!S13+'TX-HPLR-GL '!S13+'TX-HPLC-GL'!S13</f>
        <v>22968889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2611160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120000</v>
      </c>
      <c r="H15" s="60">
        <f>'TX-EGM-GL'!H15+'TX-HPLR-GL '!H15+'TX-HPLC-GL'!H15</f>
        <v>0</v>
      </c>
      <c r="I15" s="38">
        <f>'TX-EGM-GL'!I15+'TX-HPLR-GL '!I15+'TX-HPLC-GL'!I15</f>
        <v>2498660</v>
      </c>
      <c r="J15" s="60">
        <f>'TX-EGM-GL'!J15+'TX-HPLR-GL '!J15+'TX-HPLC-GL'!J15</f>
        <v>0</v>
      </c>
      <c r="K15" s="38">
        <f>'TX-EGM-GL'!K15+'TX-HPLR-GL '!K15+'TX-HPLC-GL'!K15</f>
        <v>-7500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67178901</v>
      </c>
      <c r="E16" s="39">
        <f t="shared" si="1"/>
        <v>154721363.91000003</v>
      </c>
      <c r="F16" s="61">
        <f t="shared" si="1"/>
        <v>0</v>
      </c>
      <c r="G16" s="39">
        <f t="shared" si="1"/>
        <v>-7255409.0099999998</v>
      </c>
      <c r="H16" s="61">
        <f t="shared" si="1"/>
        <v>67004287</v>
      </c>
      <c r="I16" s="39">
        <f t="shared" si="1"/>
        <v>164325173.81999999</v>
      </c>
      <c r="J16" s="61">
        <f t="shared" si="1"/>
        <v>-9974504</v>
      </c>
      <c r="K16" s="39">
        <f t="shared" si="1"/>
        <v>-23791413.469999999</v>
      </c>
      <c r="L16" s="61">
        <f t="shared" si="1"/>
        <v>247691</v>
      </c>
      <c r="M16" s="39">
        <f t="shared" si="1"/>
        <v>-183498.41000000015</v>
      </c>
      <c r="N16" s="61">
        <f>SUM(N11:N15)</f>
        <v>162863</v>
      </c>
      <c r="O16" s="39">
        <f>SUM(O11:O15)</f>
        <v>356056.93</v>
      </c>
      <c r="P16" s="61">
        <f>SUM(P11:P15)</f>
        <v>-87215</v>
      </c>
      <c r="Q16" s="39">
        <f>SUM(Q11:Q15)</f>
        <v>-1589015.03</v>
      </c>
      <c r="R16" s="61">
        <f t="shared" si="1"/>
        <v>9890385</v>
      </c>
      <c r="S16" s="39">
        <f t="shared" si="1"/>
        <v>23058436.460000001</v>
      </c>
      <c r="T16" s="61">
        <f t="shared" si="1"/>
        <v>8346</v>
      </c>
      <c r="U16" s="39">
        <f t="shared" si="1"/>
        <v>-8842.11</v>
      </c>
      <c r="V16" s="61">
        <f t="shared" si="1"/>
        <v>-1456</v>
      </c>
      <c r="W16" s="39">
        <f t="shared" si="1"/>
        <v>-5761.2900000000009</v>
      </c>
      <c r="X16" s="61">
        <f t="shared" si="1"/>
        <v>-71496</v>
      </c>
      <c r="Y16" s="39">
        <f t="shared" si="1"/>
        <v>-184363.98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-54527365</v>
      </c>
      <c r="E19" s="38">
        <f t="shared" si="2"/>
        <v>-123609969.81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-144747</v>
      </c>
      <c r="H19" s="60">
        <f>'TX-EGM-GL'!H19+'TX-HPLR-GL '!H19+'TX-HPLC-GL'!H19</f>
        <v>-53537840</v>
      </c>
      <c r="I19" s="38">
        <f>'TX-EGM-GL'!I19+'TX-HPLR-GL '!I19+'TX-HPLC-GL'!I19</f>
        <v>-121104384.44</v>
      </c>
      <c r="J19" s="60">
        <f>'TX-EGM-GL'!J19+'TX-HPLR-GL '!J19+'TX-HPLC-GL'!J19</f>
        <v>-818268</v>
      </c>
      <c r="K19" s="38">
        <f>'TX-EGM-GL'!K19+'TX-HPLR-GL '!K19+'TX-HPLC-GL'!K19</f>
        <v>-1886058.66</v>
      </c>
      <c r="L19" s="60">
        <f>'TX-EGM-GL'!L19+'TX-HPLR-GL '!L19+'TX-HPLC-GL'!L19</f>
        <v>-200502</v>
      </c>
      <c r="M19" s="38">
        <f>'TX-EGM-GL'!M19+'TX-HPLR-GL '!M19+'TX-HPLC-GL'!M19</f>
        <v>-400201.79000000004</v>
      </c>
      <c r="N19" s="60">
        <f>'TX-EGM-GL'!N19+'TX-HPLR-GL '!N19+'TX-HPLC-GL'!N19</f>
        <v>-49584</v>
      </c>
      <c r="O19" s="38">
        <f>'TX-EGM-GL'!O19+'TX-HPLR-GL '!O19+'TX-HPLC-GL'!O19</f>
        <v>-122858.41</v>
      </c>
      <c r="P19" s="60">
        <f>'TX-EGM-GL'!P19+'TX-HPLR-GL '!P19+'TX-HPLC-GL'!P19</f>
        <v>-107133</v>
      </c>
      <c r="Q19" s="38">
        <f>'TX-EGM-GL'!Q19+'TX-HPLR-GL '!Q19+'TX-HPLC-GL'!Q19</f>
        <v>-388418.81</v>
      </c>
      <c r="R19" s="60">
        <f>'TX-EGM-GL'!R19+'TX-HPLR-GL '!R19+'TX-HPLC-GL'!R19</f>
        <v>39380</v>
      </c>
      <c r="S19" s="38">
        <f>'TX-EGM-GL'!S19+'TX-HPLR-GL '!S19+'TX-HPLC-GL'!S19</f>
        <v>64673.5</v>
      </c>
      <c r="T19" s="60">
        <f>'TX-EGM-GL'!T19+'TX-HPLR-GL '!T19+'TX-HPLC-GL'!T19</f>
        <v>-6161</v>
      </c>
      <c r="U19" s="38">
        <f>'TX-EGM-GL'!U19+'TX-HPLR-GL '!U19+'TX-HPLC-GL'!U19</f>
        <v>5171.4400000000023</v>
      </c>
      <c r="V19" s="60">
        <f>'TX-EGM-GL'!V19+'TX-HPLR-GL '!V19+'TX-HPLC-GL'!V19</f>
        <v>112651</v>
      </c>
      <c r="W19" s="38">
        <f>'TX-EGM-GL'!W19+'TX-HPLR-GL '!W19+'TX-HPLC-GL'!W19</f>
        <v>273643.02999999997</v>
      </c>
      <c r="X19" s="60">
        <f>'TX-EGM-GL'!X19+'TX-HPLR-GL '!X19+'TX-HPLC-GL'!X19</f>
        <v>40092</v>
      </c>
      <c r="Y19" s="38">
        <f>'TX-EGM-GL'!Y19+'TX-HPLR-GL '!Y19+'TX-HPLC-GL'!Y19</f>
        <v>93211.33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1584553.6400000001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1870694.04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-133025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-153115.4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-9997007</v>
      </c>
      <c r="E21" s="38">
        <f t="shared" si="2"/>
        <v>-23266574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-9997007</v>
      </c>
      <c r="I21" s="38">
        <f>'TX-EGM-GL'!I21+'TX-HPLR-GL '!I21+'TX-HPLC-GL'!I21</f>
        <v>-23266574</v>
      </c>
      <c r="J21" s="60">
        <f>'TX-EGM-GL'!J21+'TX-HPLR-GL '!J21+'TX-HPLC-GL'!J21</f>
        <v>9857938</v>
      </c>
      <c r="K21" s="38">
        <f>'TX-EGM-GL'!K21+'TX-HPLR-GL '!K21+'TX-HPLC-GL'!K21</f>
        <v>22970457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-9857938</v>
      </c>
      <c r="S21" s="38">
        <f>'TX-EGM-GL'!S21+'TX-HPLR-GL '!S21+'TX-HPLC-GL'!S21</f>
        <v>-22970457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13806</v>
      </c>
      <c r="E23" s="38">
        <f t="shared" si="2"/>
        <v>31381.038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12946</v>
      </c>
      <c r="I23" s="38">
        <f>'TX-EGM-GL'!I23+'TX-HPLR-GL '!I23+'TX-HPLC-GL'!I23</f>
        <v>29426.258000000002</v>
      </c>
      <c r="J23" s="60">
        <f>'TX-EGM-GL'!J23+'TX-HPLR-GL '!J23+'TX-HPLC-GL'!J23</f>
        <v>860</v>
      </c>
      <c r="K23" s="38">
        <f>'TX-EGM-GL'!K23+'TX-HPLR-GL '!K23+'TX-HPLC-GL'!K23</f>
        <v>1954.78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-64510566</v>
      </c>
      <c r="E24" s="39">
        <f t="shared" si="3"/>
        <v>-145260609.13200003</v>
      </c>
      <c r="F24" s="61">
        <f t="shared" si="3"/>
        <v>0</v>
      </c>
      <c r="G24" s="39">
        <f t="shared" si="3"/>
        <v>1725947.04</v>
      </c>
      <c r="H24" s="61">
        <f t="shared" si="3"/>
        <v>-63521901</v>
      </c>
      <c r="I24" s="39">
        <f t="shared" si="3"/>
        <v>-144341532.18200001</v>
      </c>
      <c r="J24" s="61">
        <f t="shared" si="3"/>
        <v>9040530</v>
      </c>
      <c r="K24" s="39">
        <f t="shared" si="3"/>
        <v>21086353.120000001</v>
      </c>
      <c r="L24" s="61">
        <f t="shared" si="3"/>
        <v>-200502</v>
      </c>
      <c r="M24" s="39">
        <f t="shared" si="3"/>
        <v>-533226.79</v>
      </c>
      <c r="N24" s="61">
        <f>SUM(N19:N23)</f>
        <v>-49584</v>
      </c>
      <c r="O24" s="39">
        <f>SUM(O19:O23)</f>
        <v>-122858.41</v>
      </c>
      <c r="P24" s="61">
        <f>SUM(P19:P23)</f>
        <v>-107133</v>
      </c>
      <c r="Q24" s="39">
        <f>SUM(Q19:Q23)</f>
        <v>-388418.81</v>
      </c>
      <c r="R24" s="61">
        <f t="shared" si="3"/>
        <v>-9818558</v>
      </c>
      <c r="S24" s="39">
        <f t="shared" si="3"/>
        <v>-22905783.5</v>
      </c>
      <c r="T24" s="61">
        <f t="shared" si="3"/>
        <v>-6161</v>
      </c>
      <c r="U24" s="39">
        <f t="shared" si="3"/>
        <v>5171.4400000000023</v>
      </c>
      <c r="V24" s="61">
        <f t="shared" si="3"/>
        <v>112651</v>
      </c>
      <c r="W24" s="39">
        <f t="shared" si="3"/>
        <v>120527.62999999998</v>
      </c>
      <c r="X24" s="61">
        <f t="shared" si="3"/>
        <v>40092</v>
      </c>
      <c r="Y24" s="39">
        <f t="shared" si="3"/>
        <v>93211.33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28027833</v>
      </c>
      <c r="E27" s="38">
        <f>SUM(G27,I27,K27,M27,O27,Q27,S27,U27,W27,Y27,AA27,AC27,AE27)</f>
        <v>65187526.246799998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19275289</v>
      </c>
      <c r="I27" s="38">
        <f>'TX-EGM-GL'!I27+'TX-HPLR-GL '!I27+'TX-HPLC-GL'!I27</f>
        <v>45148671.420000002</v>
      </c>
      <c r="J27" s="60">
        <f>'TX-EGM-GL'!J27+'TX-HPLR-GL '!J27+'TX-HPLC-GL'!J27</f>
        <v>8985619</v>
      </c>
      <c r="K27" s="38">
        <f>'TX-EGM-GL'!K27+'TX-HPLR-GL '!K27+'TX-HPLC-GL'!K27</f>
        <v>20436781.91</v>
      </c>
      <c r="L27" s="60">
        <f>'TX-EGM-GL'!L27+'TX-HPLR-GL '!L27+'TX-HPLC-GL'!L27</f>
        <v>-148947</v>
      </c>
      <c r="M27" s="38">
        <f>'TX-EGM-GL'!M27+'TX-HPLR-GL '!M27+'TX-HPLC-GL'!M27</f>
        <v>-283135.84999999998</v>
      </c>
      <c r="N27" s="60">
        <f>'TX-EGM-GL'!N27+'TX-HPLR-GL '!N27+'TX-HPLC-GL'!N27</f>
        <v>47326</v>
      </c>
      <c r="O27" s="38">
        <f>'TX-EGM-GL'!O27+'TX-HPLR-GL '!O27+'TX-HPLC-GL'!O27</f>
        <v>96346.82</v>
      </c>
      <c r="P27" s="60">
        <f>'TX-EGM-GL'!P27+'TX-HPLR-GL '!P27+'TX-HPLC-GL'!P27</f>
        <v>-37210</v>
      </c>
      <c r="Q27" s="38">
        <f>'TX-EGM-GL'!Q27+'TX-HPLR-GL '!Q27+'TX-HPLC-GL'!Q27</f>
        <v>-90458.403200000001</v>
      </c>
      <c r="R27" s="60">
        <f>'TX-EGM-GL'!R27+'TX-HPLR-GL '!R27+'TX-HPLC-GL'!R27</f>
        <v>-98536</v>
      </c>
      <c r="S27" s="38">
        <f>'TX-EGM-GL'!S27+'TX-HPLR-GL '!S27+'TX-HPLC-GL'!S27</f>
        <v>-131835.26</v>
      </c>
      <c r="T27" s="60">
        <f>'TX-EGM-GL'!T27+'TX-HPLR-GL '!T27+'TX-HPLC-GL'!T27</f>
        <v>5778</v>
      </c>
      <c r="U27" s="38">
        <f>'TX-EGM-GL'!U27+'TX-HPLR-GL '!U27+'TX-HPLC-GL'!U27</f>
        <v>16153.38</v>
      </c>
      <c r="V27" s="60">
        <f>'TX-EGM-GL'!V27+'TX-HPLR-GL '!V27+'TX-HPLC-GL'!V27</f>
        <v>-6760</v>
      </c>
      <c r="W27" s="38">
        <f>'TX-EGM-GL'!W27+'TX-HPLR-GL '!W27+'TX-HPLC-GL'!W27</f>
        <v>-17558.63</v>
      </c>
      <c r="X27" s="60">
        <f>'TX-EGM-GL'!X27+'TX-HPLR-GL '!X27+'TX-HPLC-GL'!X27</f>
        <v>5274</v>
      </c>
      <c r="Y27" s="38">
        <f>'TX-EGM-GL'!Y27+'TX-HPLR-GL '!Y27+'TX-HPLC-GL'!Y27</f>
        <v>12560.86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-27503457</v>
      </c>
      <c r="E28" s="38">
        <f>SUM(G28,I28,K28,M28,O28,Q28,S28,U28,W28,Y28,AA28,AC28,AE28)</f>
        <v>-63637605.160000004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-19344155</v>
      </c>
      <c r="I28" s="38">
        <f>'TX-EGM-GL'!I28+'TX-HPLR-GL '!I28+'TX-HPLC-GL'!I28</f>
        <v>-43362561.07</v>
      </c>
      <c r="J28" s="60">
        <f>'TX-EGM-GL'!J28+'TX-HPLR-GL '!J28+'TX-HPLC-GL'!J28</f>
        <v>-8583582</v>
      </c>
      <c r="K28" s="38">
        <f>'TX-EGM-GL'!K28+'TX-HPLR-GL '!K28+'TX-HPLC-GL'!K28</f>
        <v>-21176998.689999998</v>
      </c>
      <c r="L28" s="60">
        <f>'TX-EGM-GL'!L28+'TX-HPLR-GL '!L28+'TX-HPLC-GL'!L28</f>
        <v>296891</v>
      </c>
      <c r="M28" s="38">
        <f>'TX-EGM-GL'!M28+'TX-HPLR-GL '!M28+'TX-HPLC-GL'!M28</f>
        <v>689790.19</v>
      </c>
      <c r="N28" s="60">
        <f>'TX-EGM-GL'!N28+'TX-HPLR-GL '!N28+'TX-HPLC-GL'!N28</f>
        <v>-9087</v>
      </c>
      <c r="O28" s="38">
        <f>'TX-EGM-GL'!O28+'TX-HPLR-GL '!O28+'TX-HPLC-GL'!O28</f>
        <v>-17219.699999999997</v>
      </c>
      <c r="P28" s="60">
        <f>'TX-EGM-GL'!P28+'TX-HPLR-GL '!P28+'TX-HPLC-GL'!P28</f>
        <v>132716</v>
      </c>
      <c r="Q28" s="38">
        <f>'TX-EGM-GL'!Q28+'TX-HPLR-GL '!Q28+'TX-HPLC-GL'!Q28</f>
        <v>314449.12</v>
      </c>
      <c r="R28" s="60">
        <f>'TX-EGM-GL'!R28+'TX-HPLR-GL '!R28+'TX-HPLC-GL'!R28</f>
        <v>9034</v>
      </c>
      <c r="S28" s="38">
        <f>'TX-EGM-GL'!S28+'TX-HPLR-GL '!S28+'TX-HPLC-GL'!S28</f>
        <v>-72504.149999999994</v>
      </c>
      <c r="T28" s="60">
        <f>'TX-EGM-GL'!T28+'TX-HPLR-GL '!T28+'TX-HPLC-GL'!T28</f>
        <v>383</v>
      </c>
      <c r="U28" s="38">
        <f>'TX-EGM-GL'!U28+'TX-HPLR-GL '!U28+'TX-HPLC-GL'!U28</f>
        <v>912.59</v>
      </c>
      <c r="V28" s="60">
        <f>'TX-EGM-GL'!V28+'TX-HPLR-GL '!V28+'TX-HPLC-GL'!V28</f>
        <v>-383</v>
      </c>
      <c r="W28" s="38">
        <f>'TX-EGM-GL'!W28+'TX-HPLR-GL '!W28+'TX-HPLC-GL'!W28</f>
        <v>-912.59</v>
      </c>
      <c r="X28" s="60">
        <f>'TX-EGM-GL'!X28+'TX-HPLR-GL '!X28+'TX-HPLC-GL'!X28</f>
        <v>-5274</v>
      </c>
      <c r="Y28" s="38">
        <f>'TX-EGM-GL'!Y28+'TX-HPLR-GL '!Y28+'TX-HPLC-GL'!Y28</f>
        <v>-12560.86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524376</v>
      </c>
      <c r="E29" s="39">
        <f t="shared" si="4"/>
        <v>1549921.0867999941</v>
      </c>
      <c r="F29" s="61">
        <f t="shared" si="4"/>
        <v>0</v>
      </c>
      <c r="G29" s="39">
        <f t="shared" si="4"/>
        <v>0</v>
      </c>
      <c r="H29" s="61">
        <f t="shared" si="4"/>
        <v>-68866</v>
      </c>
      <c r="I29" s="39">
        <f t="shared" si="4"/>
        <v>1786110.3500000015</v>
      </c>
      <c r="J29" s="61">
        <f t="shared" si="4"/>
        <v>402037</v>
      </c>
      <c r="K29" s="39">
        <f t="shared" si="4"/>
        <v>-740216.77999999747</v>
      </c>
      <c r="L29" s="61">
        <f t="shared" si="4"/>
        <v>147944</v>
      </c>
      <c r="M29" s="39">
        <f t="shared" si="4"/>
        <v>406654.33999999997</v>
      </c>
      <c r="N29" s="61">
        <f>SUM(N27:N28)</f>
        <v>38239</v>
      </c>
      <c r="O29" s="39">
        <f>SUM(O27:O28)</f>
        <v>79127.12000000001</v>
      </c>
      <c r="P29" s="61">
        <f>SUM(P27:P28)</f>
        <v>95506</v>
      </c>
      <c r="Q29" s="39">
        <f>SUM(Q27:Q28)</f>
        <v>223990.71679999999</v>
      </c>
      <c r="R29" s="61">
        <f t="shared" si="4"/>
        <v>-89502</v>
      </c>
      <c r="S29" s="39">
        <f t="shared" si="4"/>
        <v>-204339.41</v>
      </c>
      <c r="T29" s="61">
        <f t="shared" si="4"/>
        <v>6161</v>
      </c>
      <c r="U29" s="39">
        <f t="shared" si="4"/>
        <v>17065.969999999998</v>
      </c>
      <c r="V29" s="61">
        <f t="shared" si="4"/>
        <v>-7143</v>
      </c>
      <c r="W29" s="39">
        <f t="shared" si="4"/>
        <v>-18471.22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52119</v>
      </c>
      <c r="E32" s="38">
        <f t="shared" si="5"/>
        <v>118466.77000000187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-9731818</v>
      </c>
      <c r="I32" s="38">
        <f>'TX-EGM-GL'!I32+'TX-HPLR-GL '!I32+'TX-HPLC-GL'!I32</f>
        <v>-22120422.313999999</v>
      </c>
      <c r="J32" s="60">
        <f>'TX-EGM-GL'!J32+'TX-HPLR-GL '!J32+'TX-HPLC-GL'!J32</f>
        <v>9972198</v>
      </c>
      <c r="K32" s="38">
        <f>'TX-EGM-GL'!K32+'TX-HPLR-GL '!K32+'TX-HPLC-GL'!K32</f>
        <v>22666806.348000001</v>
      </c>
      <c r="L32" s="60">
        <f>'TX-EGM-GL'!L32+'TX-HPLR-GL '!L32+'TX-HPLC-GL'!L32</f>
        <v>-184536</v>
      </c>
      <c r="M32" s="38">
        <f>'TX-EGM-GL'!M32+'TX-HPLR-GL '!M32+'TX-HPLC-GL'!M32</f>
        <v>-419450.223</v>
      </c>
      <c r="N32" s="60">
        <f>'TX-EGM-GL'!N32+'TX-HPLR-GL '!N32+'TX-HPLC-GL'!N32</f>
        <v>96986</v>
      </c>
      <c r="O32" s="38">
        <f>'TX-EGM-GL'!O32+'TX-HPLR-GL '!O32+'TX-HPLC-GL'!O32</f>
        <v>220449</v>
      </c>
      <c r="P32" s="60">
        <f>'TX-EGM-GL'!P32+'TX-HPLR-GL '!P32+'TX-HPLC-GL'!P32</f>
        <v>-120714</v>
      </c>
      <c r="Q32" s="38">
        <f>'TX-EGM-GL'!Q32+'TX-HPLR-GL '!Q32+'TX-HPLC-GL'!Q32</f>
        <v>-274383</v>
      </c>
      <c r="R32" s="60">
        <f>'TX-EGM-GL'!R32+'TX-HPLR-GL '!R32+'TX-HPLC-GL'!R32</f>
        <v>30844</v>
      </c>
      <c r="S32" s="38">
        <f>'TX-EGM-GL'!S32+'TX-HPLR-GL '!S32+'TX-HPLC-GL'!S32</f>
        <v>70108.558999999994</v>
      </c>
      <c r="T32" s="60">
        <f>'TX-EGM-GL'!T32+'TX-HPLR-GL '!T32+'TX-HPLC-GL'!T32</f>
        <v>10674</v>
      </c>
      <c r="U32" s="38">
        <f>'TX-EGM-GL'!U32+'TX-HPLR-GL '!U32+'TX-HPLC-GL'!U32</f>
        <v>24262</v>
      </c>
      <c r="V32" s="60">
        <f>'TX-EGM-GL'!V32+'TX-HPLR-GL '!V32+'TX-HPLC-GL'!V32</f>
        <v>2544</v>
      </c>
      <c r="W32" s="38">
        <f>'TX-EGM-GL'!W32+'TX-HPLR-GL '!W32+'TX-HPLC-GL'!W32</f>
        <v>5782.51</v>
      </c>
      <c r="X32" s="60">
        <f>'TX-EGM-GL'!X32+'TX-HPLR-GL '!X32+'TX-HPLC-GL'!X32</f>
        <v>-24059</v>
      </c>
      <c r="Y32" s="38">
        <f>'TX-EGM-GL'!Y32+'TX-HPLR-GL '!Y32+'TX-HPLC-GL'!Y32</f>
        <v>-54686.11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52119</v>
      </c>
      <c r="E36" s="39">
        <f t="shared" si="6"/>
        <v>118466.77000000187</v>
      </c>
      <c r="F36" s="61">
        <f t="shared" si="6"/>
        <v>0</v>
      </c>
      <c r="G36" s="39">
        <f t="shared" si="6"/>
        <v>0</v>
      </c>
      <c r="H36" s="61">
        <f t="shared" si="6"/>
        <v>-9731818</v>
      </c>
      <c r="I36" s="39">
        <f t="shared" si="6"/>
        <v>-22120422.313999999</v>
      </c>
      <c r="J36" s="61">
        <f t="shared" si="6"/>
        <v>9972198</v>
      </c>
      <c r="K36" s="39">
        <f t="shared" si="6"/>
        <v>22666806.348000001</v>
      </c>
      <c r="L36" s="61">
        <f t="shared" si="6"/>
        <v>-184536</v>
      </c>
      <c r="M36" s="39">
        <f t="shared" si="6"/>
        <v>-419450.223</v>
      </c>
      <c r="N36" s="61">
        <f>SUM(N32:N35)</f>
        <v>96986</v>
      </c>
      <c r="O36" s="39">
        <f>SUM(O32:O35)</f>
        <v>220449</v>
      </c>
      <c r="P36" s="61">
        <f>SUM(P32:P35)</f>
        <v>-120714</v>
      </c>
      <c r="Q36" s="39">
        <f>SUM(Q32:Q35)</f>
        <v>-274383</v>
      </c>
      <c r="R36" s="61">
        <f t="shared" si="6"/>
        <v>30844</v>
      </c>
      <c r="S36" s="39">
        <f t="shared" si="6"/>
        <v>70108.558999999994</v>
      </c>
      <c r="T36" s="61">
        <f t="shared" si="6"/>
        <v>10674</v>
      </c>
      <c r="U36" s="39">
        <f t="shared" si="6"/>
        <v>24262</v>
      </c>
      <c r="V36" s="61">
        <f t="shared" si="6"/>
        <v>2544</v>
      </c>
      <c r="W36" s="39">
        <f t="shared" si="6"/>
        <v>5782.51</v>
      </c>
      <c r="X36" s="61">
        <f t="shared" si="6"/>
        <v>-24059</v>
      </c>
      <c r="Y36" s="39">
        <f t="shared" si="6"/>
        <v>-54686.11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-120910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-120910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-3532309</v>
      </c>
      <c r="E40" s="38">
        <f t="shared" si="7"/>
        <v>-8040484.6600000001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-140000</v>
      </c>
      <c r="I40" s="38">
        <f>'TX-EGM-GL'!I40+'TX-HPLR-GL '!I40+'TX-HPLC-GL'!I40</f>
        <v>-299275.48</v>
      </c>
      <c r="J40" s="60">
        <f>'TX-EGM-GL'!J40+'TX-HPLR-GL '!J40+'TX-HPLC-GL'!J40</f>
        <v>-3392419</v>
      </c>
      <c r="K40" s="38">
        <f>'TX-EGM-GL'!K40+'TX-HPLR-GL '!K40+'TX-HPLC-GL'!K40</f>
        <v>-9325121.7200000007</v>
      </c>
      <c r="L40" s="60">
        <f>'TX-EGM-GL'!L40+'TX-HPLR-GL '!L40+'TX-HPLC-GL'!L40</f>
        <v>110</v>
      </c>
      <c r="M40" s="38">
        <f>'TX-EGM-GL'!M40+'TX-HPLR-GL '!M40+'TX-HPLC-GL'!M40</f>
        <v>-476905.68999999994</v>
      </c>
      <c r="N40" s="60">
        <f>'TX-EGM-GL'!N40+'TX-HPLR-GL '!N40+'TX-HPLC-GL'!N40</f>
        <v>0</v>
      </c>
      <c r="O40" s="38">
        <f>'TX-EGM-GL'!O40+'TX-HPLR-GL '!O40+'TX-HPLC-GL'!O40</f>
        <v>1845</v>
      </c>
      <c r="P40" s="60">
        <f>'TX-EGM-GL'!P40+'TX-HPLR-GL '!P40+'TX-HPLC-GL'!P40</f>
        <v>0</v>
      </c>
      <c r="Q40" s="38">
        <f>'TX-EGM-GL'!Q40+'TX-HPLR-GL '!Q40+'TX-HPLC-GL'!Q40</f>
        <v>1858460.74</v>
      </c>
      <c r="R40" s="60">
        <f>'TX-EGM-GL'!R40+'TX-HPLR-GL '!R40+'TX-HPLC-GL'!R40</f>
        <v>-120</v>
      </c>
      <c r="S40" s="38">
        <f>'TX-EGM-GL'!S40+'TX-HPLR-GL '!S40+'TX-HPLC-GL'!S40</f>
        <v>-296</v>
      </c>
      <c r="T40" s="60">
        <f>'TX-EGM-GL'!T40+'TX-HPLR-GL '!T40+'TX-HPLC-GL'!T40</f>
        <v>120</v>
      </c>
      <c r="U40" s="38">
        <f>'TX-EGM-GL'!U40+'TX-HPLR-GL '!U40+'TX-HPLC-GL'!U40</f>
        <v>808.49</v>
      </c>
      <c r="V40" s="60">
        <f>'TX-EGM-GL'!V40+'TX-HPLR-GL '!V40+'TX-HPLC-GL'!V40</f>
        <v>0</v>
      </c>
      <c r="W40" s="38">
        <f>'TX-EGM-GL'!W40+'TX-HPLR-GL '!W40+'TX-HPLC-GL'!W40</f>
        <v>200000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-291950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-291950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-3532309</v>
      </c>
      <c r="E42" s="39">
        <f t="shared" si="8"/>
        <v>-8332434.6600000001</v>
      </c>
      <c r="F42" s="61">
        <f t="shared" si="8"/>
        <v>0</v>
      </c>
      <c r="G42" s="39">
        <f t="shared" si="8"/>
        <v>-291950</v>
      </c>
      <c r="H42" s="61">
        <f t="shared" si="8"/>
        <v>-140000</v>
      </c>
      <c r="I42" s="39">
        <f t="shared" si="8"/>
        <v>-299275.48</v>
      </c>
      <c r="J42" s="61">
        <f t="shared" si="8"/>
        <v>-3392419</v>
      </c>
      <c r="K42" s="39">
        <f t="shared" si="8"/>
        <v>-9325121.7200000007</v>
      </c>
      <c r="L42" s="61">
        <f t="shared" si="8"/>
        <v>110</v>
      </c>
      <c r="M42" s="39">
        <f t="shared" si="8"/>
        <v>-476905.68999999994</v>
      </c>
      <c r="N42" s="61">
        <f>SUM(N40:N41)</f>
        <v>0</v>
      </c>
      <c r="O42" s="39">
        <f>SUM(O40:O41)</f>
        <v>1845</v>
      </c>
      <c r="P42" s="61">
        <f>SUM(P40:P41)</f>
        <v>0</v>
      </c>
      <c r="Q42" s="39">
        <f>SUM(Q40:Q41)</f>
        <v>1858460.74</v>
      </c>
      <c r="R42" s="61">
        <f t="shared" si="8"/>
        <v>-120</v>
      </c>
      <c r="S42" s="39">
        <f t="shared" si="8"/>
        <v>-296</v>
      </c>
      <c r="T42" s="61">
        <f t="shared" si="8"/>
        <v>120</v>
      </c>
      <c r="U42" s="39">
        <f t="shared" si="8"/>
        <v>808.49</v>
      </c>
      <c r="V42" s="61">
        <f t="shared" si="8"/>
        <v>0</v>
      </c>
      <c r="W42" s="39">
        <f t="shared" si="8"/>
        <v>200000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-3532309</v>
      </c>
      <c r="E43" s="39">
        <f t="shared" si="9"/>
        <v>-8453344.6600000001</v>
      </c>
      <c r="F43" s="61">
        <f t="shared" si="9"/>
        <v>0</v>
      </c>
      <c r="G43" s="39">
        <f t="shared" si="9"/>
        <v>-412860</v>
      </c>
      <c r="H43" s="61">
        <f t="shared" si="9"/>
        <v>-140000</v>
      </c>
      <c r="I43" s="39">
        <f t="shared" si="9"/>
        <v>-299275.48</v>
      </c>
      <c r="J43" s="61">
        <f t="shared" si="9"/>
        <v>-3392419</v>
      </c>
      <c r="K43" s="39">
        <f t="shared" si="9"/>
        <v>-9325121.7200000007</v>
      </c>
      <c r="L43" s="61">
        <f t="shared" si="9"/>
        <v>110</v>
      </c>
      <c r="M43" s="39">
        <f t="shared" si="9"/>
        <v>-476905.68999999994</v>
      </c>
      <c r="N43" s="61">
        <f>N42+N39</f>
        <v>0</v>
      </c>
      <c r="O43" s="39">
        <f>O42+O39</f>
        <v>1845</v>
      </c>
      <c r="P43" s="61">
        <f>P42+P39</f>
        <v>0</v>
      </c>
      <c r="Q43" s="39">
        <f>Q42+Q39</f>
        <v>1858460.74</v>
      </c>
      <c r="R43" s="61">
        <f t="shared" si="9"/>
        <v>-120</v>
      </c>
      <c r="S43" s="39">
        <f t="shared" si="9"/>
        <v>-296</v>
      </c>
      <c r="T43" s="61">
        <f t="shared" si="9"/>
        <v>120</v>
      </c>
      <c r="U43" s="39">
        <f t="shared" si="9"/>
        <v>808.49</v>
      </c>
      <c r="V43" s="61">
        <f t="shared" si="9"/>
        <v>0</v>
      </c>
      <c r="W43" s="39">
        <f t="shared" si="9"/>
        <v>200000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113410.16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113410.16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287479</v>
      </c>
      <c r="E49" s="38">
        <f>SUM(G49,I49,K49,M49,O49,Q49,S49,U49,W49,Y49,AA49,AC49,AE49)</f>
        <v>653439.96399999969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6458298</v>
      </c>
      <c r="I49" s="38">
        <f>'TX-EGM-GL'!I49+'TX-HPLR-GL '!I49+'TX-HPLC-GL'!I49</f>
        <v>14679711.810000001</v>
      </c>
      <c r="J49" s="60">
        <f>'TX-EGM-GL'!J49+'TX-HPLR-GL '!J49+'TX-HPLC-GL'!J49</f>
        <v>-6047842</v>
      </c>
      <c r="K49" s="38">
        <f>'TX-EGM-GL'!K49+'TX-HPLR-GL '!K49+'TX-HPLC-GL'!K49</f>
        <v>-13746745.335000001</v>
      </c>
      <c r="L49" s="60">
        <f>'TX-EGM-GL'!L49+'TX-HPLR-GL '!L49+'TX-HPLC-GL'!L49</f>
        <v>-10707</v>
      </c>
      <c r="M49" s="38">
        <f>'TX-EGM-GL'!M49+'TX-HPLR-GL '!M49+'TX-HPLC-GL'!M49</f>
        <v>-24336.857999999993</v>
      </c>
      <c r="N49" s="60">
        <f>'TX-EGM-GL'!N49+'TX-HPLR-GL '!N49+'TX-HPLC-GL'!N49</f>
        <v>-248504</v>
      </c>
      <c r="O49" s="38">
        <f>'TX-EGM-GL'!O49+'TX-HPLR-GL '!O49+'TX-HPLC-GL'!O49</f>
        <v>-564849.88500000001</v>
      </c>
      <c r="P49" s="60">
        <f>'TX-EGM-GL'!P49+'TX-HPLR-GL '!P49+'TX-HPLC-GL'!P49</f>
        <v>219556</v>
      </c>
      <c r="Q49" s="38">
        <f>'TX-EGM-GL'!Q49+'TX-HPLR-GL '!Q49+'TX-HPLC-GL'!Q49</f>
        <v>499050.65899999999</v>
      </c>
      <c r="R49" s="60">
        <f>'TX-EGM-GL'!R49+'TX-HPLR-GL '!R49+'TX-HPLC-GL'!R49</f>
        <v>-13049</v>
      </c>
      <c r="S49" s="38">
        <f>'TX-EGM-GL'!S49+'TX-HPLR-GL '!S49+'TX-HPLC-GL'!S49</f>
        <v>-29659.896999999997</v>
      </c>
      <c r="T49" s="60">
        <f>'TX-EGM-GL'!T49+'TX-HPLR-GL '!T49+'TX-HPLC-GL'!T49</f>
        <v>-19140</v>
      </c>
      <c r="U49" s="38">
        <f>'TX-EGM-GL'!U49+'TX-HPLR-GL '!U49+'TX-HPLC-GL'!U49</f>
        <v>-43505.22</v>
      </c>
      <c r="V49" s="60">
        <f>'TX-EGM-GL'!V49+'TX-HPLR-GL '!V49+'TX-HPLC-GL'!V49</f>
        <v>-106596</v>
      </c>
      <c r="W49" s="38">
        <f>'TX-EGM-GL'!W49+'TX-HPLR-GL '!W49+'TX-HPLC-GL'!W49</f>
        <v>-242292.71</v>
      </c>
      <c r="X49" s="60">
        <f>'TX-EGM-GL'!X49+'TX-HPLR-GL '!X49+'TX-HPLC-GL'!X49</f>
        <v>55463</v>
      </c>
      <c r="Y49" s="38">
        <f>'TX-EGM-GL'!Y49+'TX-HPLR-GL '!Y49+'TX-HPLC-GL'!Y49</f>
        <v>126067.4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-13806</v>
      </c>
      <c r="E51" s="38">
        <f>SUM(G51,I51,K51,M51,O51,Q51,S51,U51,W51,Y51,AA51,AC51,AE51)</f>
        <v>-31381.038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-12946</v>
      </c>
      <c r="I51" s="38">
        <f>'TX-EGM-GL'!I51+'TX-HPLR-GL '!I51+'TX-HPLC-GL'!I51</f>
        <v>-29426.258000000002</v>
      </c>
      <c r="J51" s="60">
        <f>'TX-EGM-GL'!J51+'TX-HPLR-GL '!J51+'TX-HPLC-GL'!J51</f>
        <v>-860</v>
      </c>
      <c r="K51" s="38">
        <f>'TX-EGM-GL'!K51+'TX-HPLR-GL '!K51+'TX-HPLC-GL'!K51</f>
        <v>-1954.78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-16680996</v>
      </c>
      <c r="E54" s="38">
        <f>SUM(G54,I54,K54,M54,O54,Q54,S54,U54,W54,Y54,AA54,AC54,AE54)</f>
        <v>-1777098.4300000002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-1365278</v>
      </c>
      <c r="H54" s="60">
        <f>'TX-EGM-GL'!H54+'TX-HPLR-GL '!H54+'TX-HPLC-GL'!H54</f>
        <v>-6709702</v>
      </c>
      <c r="I54" s="38">
        <f>'TX-EGM-GL'!I54+'TX-HPLR-GL '!I54+'TX-HPLC-GL'!I54</f>
        <v>-213269.27</v>
      </c>
      <c r="J54" s="60">
        <f>'TX-EGM-GL'!J54+'TX-HPLR-GL '!J54+'TX-HPLC-GL'!J54</f>
        <v>-9720573</v>
      </c>
      <c r="K54" s="38">
        <f>'TX-EGM-GL'!K54+'TX-HPLR-GL '!K54+'TX-HPLC-GL'!K54</f>
        <v>-205871.48</v>
      </c>
      <c r="L54" s="60">
        <f>'TX-EGM-GL'!L54+'TX-HPLR-GL '!L54+'TX-HPLC-GL'!L54</f>
        <v>-27495</v>
      </c>
      <c r="M54" s="38">
        <f>'TX-EGM-GL'!M54+'TX-HPLR-GL '!M54+'TX-HPLC-GL'!M54</f>
        <v>10606.04</v>
      </c>
      <c r="N54" s="60">
        <f>'TX-EGM-GL'!N54+'TX-HPLR-GL '!N54+'TX-HPLC-GL'!N54</f>
        <v>8748</v>
      </c>
      <c r="O54" s="38">
        <f>'TX-EGM-GL'!O54+'TX-HPLR-GL '!O54+'TX-HPLC-GL'!O54</f>
        <v>6199.75</v>
      </c>
      <c r="P54" s="60">
        <f>'TX-EGM-GL'!P54+'TX-HPLR-GL '!P54+'TX-HPLC-GL'!P54</f>
        <v>110946</v>
      </c>
      <c r="Q54" s="38">
        <f>'TX-EGM-GL'!Q54+'TX-HPLR-GL '!Q54+'TX-HPLC-GL'!Q54</f>
        <v>4833.1899999999996</v>
      </c>
      <c r="R54" s="60">
        <f>'TX-EGM-GL'!R54+'TX-HPLR-GL '!R54+'TX-HPLC-GL'!R54</f>
        <v>19565</v>
      </c>
      <c r="S54" s="38">
        <f>'TX-EGM-GL'!S54+'TX-HPLR-GL '!S54+'TX-HPLC-GL'!S54</f>
        <v>-2880.11</v>
      </c>
      <c r="T54" s="60">
        <f>'TX-EGM-GL'!T54+'TX-HPLR-GL '!T54+'TX-HPLC-GL'!T54</f>
        <v>-332982</v>
      </c>
      <c r="U54" s="38">
        <f>'TX-EGM-GL'!U54+'TX-HPLR-GL '!U54+'TX-HPLC-GL'!U54</f>
        <v>-9894.2800000000007</v>
      </c>
      <c r="V54" s="60">
        <f>'TX-EGM-GL'!V54+'TX-HPLR-GL '!V54+'TX-HPLC-GL'!V54</f>
        <v>-36593</v>
      </c>
      <c r="W54" s="38">
        <f>'TX-EGM-GL'!W54+'TX-HPLR-GL '!W54+'TX-HPLC-GL'!W54</f>
        <v>-1634.6100000000001</v>
      </c>
      <c r="X54" s="60">
        <f>'TX-EGM-GL'!X54+'TX-HPLR-GL '!X54+'TX-HPLC-GL'!X54</f>
        <v>7090</v>
      </c>
      <c r="Y54" s="38">
        <f>'TX-EGM-GL'!Y54+'TX-HPLR-GL '!Y54+'TX-HPLC-GL'!Y54</f>
        <v>90.34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2979.83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93300</v>
      </c>
      <c r="H55" s="60">
        <f>'TX-EGM-GL'!H55+'TX-HPLR-GL '!H55+'TX-HPLC-GL'!H55</f>
        <v>0</v>
      </c>
      <c r="I55" s="38">
        <f>'TX-EGM-GL'!I55+'TX-HPLR-GL '!I55+'TX-HPLC-GL'!I55</f>
        <v>8848</v>
      </c>
      <c r="J55" s="60">
        <f>'TX-EGM-GL'!J55+'TX-HPLR-GL '!J55+'TX-HPLC-GL'!J55</f>
        <v>0</v>
      </c>
      <c r="K55" s="38">
        <f>'TX-EGM-GL'!K55+'TX-HPLR-GL '!K55+'TX-HPLC-GL'!K55</f>
        <v>-103300</v>
      </c>
      <c r="L55" s="60">
        <f>'TX-EGM-GL'!L55+'TX-HPLR-GL '!L55+'TX-HPLC-GL'!L55</f>
        <v>0</v>
      </c>
      <c r="M55" s="38">
        <f>'TX-EGM-GL'!M55+'TX-HPLR-GL '!M55+'TX-HPLC-GL'!M55</f>
        <v>1152</v>
      </c>
      <c r="N55" s="60">
        <f>'TX-EGM-GL'!N55+'TX-HPLR-GL '!N55+'TX-HPLC-GL'!N55</f>
        <v>0</v>
      </c>
      <c r="O55" s="38">
        <f>'TX-EGM-GL'!O55+'TX-HPLR-GL '!O55+'TX-HPLC-GL'!O55</f>
        <v>-19.059999999999999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2998.89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-16680996</v>
      </c>
      <c r="E56" s="39">
        <f t="shared" si="10"/>
        <v>-1774118.6</v>
      </c>
      <c r="F56" s="61">
        <f t="shared" si="10"/>
        <v>0</v>
      </c>
      <c r="G56" s="39">
        <f t="shared" si="10"/>
        <v>-1271978</v>
      </c>
      <c r="H56" s="61">
        <f t="shared" si="10"/>
        <v>-6709702</v>
      </c>
      <c r="I56" s="39">
        <f t="shared" si="10"/>
        <v>-204421.27</v>
      </c>
      <c r="J56" s="61">
        <f t="shared" si="10"/>
        <v>-9720573</v>
      </c>
      <c r="K56" s="39">
        <f t="shared" si="10"/>
        <v>-309171.48</v>
      </c>
      <c r="L56" s="61">
        <f t="shared" si="10"/>
        <v>-27495</v>
      </c>
      <c r="M56" s="39">
        <f t="shared" si="10"/>
        <v>11758.04</v>
      </c>
      <c r="N56" s="61">
        <f>SUM(N54:N55)</f>
        <v>8748</v>
      </c>
      <c r="O56" s="39">
        <f>SUM(O54:O55)</f>
        <v>6180.69</v>
      </c>
      <c r="P56" s="61">
        <f>SUM(P54:P55)</f>
        <v>110946</v>
      </c>
      <c r="Q56" s="39">
        <f>SUM(Q54:Q55)</f>
        <v>4833.1899999999996</v>
      </c>
      <c r="R56" s="61">
        <f t="shared" si="10"/>
        <v>19565</v>
      </c>
      <c r="S56" s="39">
        <f t="shared" si="10"/>
        <v>-2880.11</v>
      </c>
      <c r="T56" s="61">
        <f t="shared" si="10"/>
        <v>-332982</v>
      </c>
      <c r="U56" s="39">
        <f t="shared" si="10"/>
        <v>-6895.3900000000012</v>
      </c>
      <c r="V56" s="61">
        <f t="shared" si="10"/>
        <v>-36593</v>
      </c>
      <c r="W56" s="39">
        <f t="shared" si="10"/>
        <v>-1634.6100000000001</v>
      </c>
      <c r="X56" s="61">
        <f t="shared" si="10"/>
        <v>7090</v>
      </c>
      <c r="Y56" s="39">
        <f t="shared" si="10"/>
        <v>90.34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33526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-55559</v>
      </c>
      <c r="P60" s="60">
        <f>'TX-EGM-GL'!P60+'TX-HPLR-GL '!P60+'TX-HPLC-GL'!P60</f>
        <v>0</v>
      </c>
      <c r="Q60" s="38">
        <f>'TX-EGM-GL'!Q60+'TX-HPLR-GL '!Q60+'TX-HPLC-GL'!Q60</f>
        <v>89085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33526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-55559</v>
      </c>
      <c r="P61" s="61">
        <f>SUM(P59:P60)</f>
        <v>0</v>
      </c>
      <c r="Q61" s="39">
        <f>SUM(Q59:Q60)</f>
        <v>89085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-20297.379999999997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-971.85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0.14000000000000001</v>
      </c>
      <c r="R64" s="60">
        <f>'TX-EGM-GL'!R64+'TX-HPLR-GL '!R64+'TX-HPLC-GL'!R64</f>
        <v>0</v>
      </c>
      <c r="S64" s="38">
        <f>'TX-EGM-GL'!S64+'TX-HPLR-GL '!S64+'TX-HPLC-GL'!S64</f>
        <v>-19325.669999999998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-20297.379999999997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-971.85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0.14000000000000001</v>
      </c>
      <c r="R66" s="61">
        <f t="shared" si="12"/>
        <v>0</v>
      </c>
      <c r="S66" s="39">
        <f t="shared" si="12"/>
        <v>-19325.669999999998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-2639306.77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-2639306.77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739518.78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739518.78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-1899787.99</v>
      </c>
      <c r="F72" s="61">
        <f t="shared" si="13"/>
        <v>0</v>
      </c>
      <c r="G72" s="39">
        <f t="shared" si="13"/>
        <v>-1899787.99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1762479.91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-929977.05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692670.96</v>
      </c>
      <c r="N74" s="60">
        <f>'TX-EGM-GL'!N74+'TX-HPLR-GL '!N74+'TX-HPLC-GL'!N74</f>
        <v>0</v>
      </c>
      <c r="O74" s="38">
        <f>'TX-EGM-GL'!O74+'TX-HPLR-GL '!O74+'TX-HPLC-GL'!O74</f>
        <v>1999786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17700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17700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-2541.2800000000002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0</v>
      </c>
      <c r="J76" s="60">
        <f>'TX-EGM-GL'!J76+'TX-HPLR-GL '!J76+'TX-HPLC-GL'!J76</f>
        <v>0</v>
      </c>
      <c r="K76" s="38">
        <f>'TX-EGM-GL'!K76+'TX-HPLR-GL '!K76+'TX-HPLC-GL'!K76</f>
        <v>-2541.2800000000002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-61128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-61128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1368799.7207999779</v>
      </c>
      <c r="F82" s="91">
        <f>F16+F24+F29+F36+F43+F45+F47+F49</f>
        <v>0</v>
      </c>
      <c r="G82" s="92">
        <f>SUM(G72:G81)+G16+G24+G29+G36+G43+G45+G47+G49+G51+G56+G61+G66</f>
        <v>-10124665.010000002</v>
      </c>
      <c r="H82" s="91">
        <f>H16+H24+H29+H36+H43+H45+H47+H49</f>
        <v>0</v>
      </c>
      <c r="I82" s="92">
        <f>SUM(I72:I81)+I16+I24+I29+I36+I43+I45+I47+I49+I51+I56+I61+I66</f>
        <v>13795918.475999985</v>
      </c>
      <c r="J82" s="91">
        <f>J16+J24+J29+J36+J43+J45+J47+J49</f>
        <v>0</v>
      </c>
      <c r="K82" s="92">
        <f>SUM(K72:K81)+K16+K24+K29+K36+K43+K45+K47+K49+K51+K56+K61+K66</f>
        <v>-4164977.2269999967</v>
      </c>
      <c r="L82" s="91">
        <f>L16+L24+L29+L36+L43+L45+L47+L49</f>
        <v>0</v>
      </c>
      <c r="M82" s="92">
        <f>SUM(M72:M81)+M16+M24+M29+M36+M43+M45+M47+M49+M51+M56+M61+M66</f>
        <v>-474052.47100000019</v>
      </c>
      <c r="N82" s="91">
        <f>N16+N24+N29+N36+N43+N45+N47+N49</f>
        <v>0</v>
      </c>
      <c r="O82" s="92">
        <f>SUM(O72:O81)+O16+O24+O29+O36+O43+O45+O47+O49+O51+O56+O61+O66</f>
        <v>1920177.4450000001</v>
      </c>
      <c r="P82" s="91">
        <f>P16+P24+P29+P36+P43+P45+P47+P49</f>
        <v>0</v>
      </c>
      <c r="Q82" s="92">
        <f>SUM(Q72:Q81)+Q16+Q24+Q29+Q36+Q43+Q45+Q47+Q49+Q51+Q56+Q61+Q66</f>
        <v>423603.60579999996</v>
      </c>
      <c r="R82" s="91">
        <f>R16+R24+R29+R36+R43+R45+R47+R49</f>
        <v>0</v>
      </c>
      <c r="S82" s="92">
        <f>SUM(S72:S81)+S16+S24+S29+S36+S43+S45+S47+S49+S51+S56+S61+S66</f>
        <v>-33739.567999999112</v>
      </c>
      <c r="T82" s="91">
        <f>T16+T24+T29+T36+T43+T45+T47+T49</f>
        <v>0</v>
      </c>
      <c r="U82" s="92">
        <f>SUM(U72:U81)+U16+U24+U29+U36+U43+U45+U47+U49+U51+U56+U61+U66</f>
        <v>-11934.820000000002</v>
      </c>
      <c r="V82" s="91">
        <f>V16+V24+V29+V36+V43+V45+V47+V49</f>
        <v>0</v>
      </c>
      <c r="W82" s="92">
        <f>SUM(W72:W81)+W16+W24+W29+W36+W43+W45+W47+W49+W51+W56+W61+W66</f>
        <v>58150.309999999954</v>
      </c>
      <c r="X82" s="91">
        <f>X16+X24+X29+X36+X43+X45+X47+X49</f>
        <v>0</v>
      </c>
      <c r="Y82" s="92">
        <f>SUM(Y72:Y81)+Y16+Y24+Y29+Y36+Y43+Y45+Y47+Y49+Y51+Y56+Y61+Y66</f>
        <v>-19681.020000000015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2598320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2598320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-2057500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-2057500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540820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1909619.7207999779</v>
      </c>
      <c r="F91" s="155">
        <f t="shared" si="19"/>
        <v>0</v>
      </c>
      <c r="G91" s="155">
        <f t="shared" si="19"/>
        <v>-9583845.0100000016</v>
      </c>
      <c r="H91" s="155">
        <f t="shared" si="19"/>
        <v>0</v>
      </c>
      <c r="I91" s="155">
        <f t="shared" si="19"/>
        <v>13795918.475999985</v>
      </c>
      <c r="J91" s="155">
        <f>+J82+J89</f>
        <v>0</v>
      </c>
      <c r="K91" s="155">
        <f>+K82+K89</f>
        <v>-4164977.2269999967</v>
      </c>
      <c r="L91" s="155">
        <f t="shared" si="19"/>
        <v>0</v>
      </c>
      <c r="M91" s="155">
        <f t="shared" si="19"/>
        <v>-474052.47100000019</v>
      </c>
      <c r="N91" s="155">
        <f t="shared" ref="N91:AE91" si="20">+N82+N89</f>
        <v>0</v>
      </c>
      <c r="O91" s="155">
        <f t="shared" si="20"/>
        <v>1920177.4450000001</v>
      </c>
      <c r="P91" s="155">
        <f t="shared" si="20"/>
        <v>0</v>
      </c>
      <c r="Q91" s="155">
        <f t="shared" si="20"/>
        <v>423603.60579999996</v>
      </c>
      <c r="R91" s="155">
        <f t="shared" si="20"/>
        <v>0</v>
      </c>
      <c r="S91" s="155">
        <f t="shared" si="20"/>
        <v>-33739.567999999112</v>
      </c>
      <c r="T91" s="155">
        <f t="shared" si="20"/>
        <v>0</v>
      </c>
      <c r="U91" s="155">
        <f t="shared" si="20"/>
        <v>-11934.820000000002</v>
      </c>
      <c r="V91" s="155">
        <f t="shared" si="20"/>
        <v>0</v>
      </c>
      <c r="W91" s="155">
        <f t="shared" si="20"/>
        <v>58150.309999999954</v>
      </c>
      <c r="X91" s="155">
        <f t="shared" si="20"/>
        <v>0</v>
      </c>
      <c r="Y91" s="155">
        <f t="shared" si="20"/>
        <v>-19681.020000000015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S59" activePane="bottomRight" state="frozen"/>
      <selection activeCell="X9" sqref="X9"/>
      <selection pane="topRight" activeCell="X9" sqref="X9"/>
      <selection pane="bottomLeft" activeCell="X9" sqref="X9"/>
      <selection pane="bottomRight" activeCell="Y93" sqref="Y9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41204505</v>
      </c>
      <c r="E11" s="38">
        <f>SUM(G11,I11,K11,M11,O11,Q11,S11,U11,W11,Y11,AA11,AC11,AE11)</f>
        <v>92438237.320000008</v>
      </c>
      <c r="F11" s="60">
        <f>'TIE-OUT'!P11+RECLASS!N11</f>
        <v>0</v>
      </c>
      <c r="G11" s="38">
        <f>'TIE-OUT'!Q11+RECLASS!O11</f>
        <v>0</v>
      </c>
      <c r="H11" s="118">
        <f>+Actuals!E484</f>
        <v>41151063</v>
      </c>
      <c r="I11" s="119">
        <f>+Actuals!F484</f>
        <v>92392968.040000007</v>
      </c>
      <c r="J11" s="118">
        <f>+Actuals!G484</f>
        <v>-87867</v>
      </c>
      <c r="K11" s="119">
        <f>+Actuals!H484</f>
        <v>-269007.28000000003</v>
      </c>
      <c r="L11" s="118">
        <f>+Actuals!I484</f>
        <v>58779</v>
      </c>
      <c r="M11" s="119">
        <f>+Actuals!J484</f>
        <v>128065.06</v>
      </c>
      <c r="N11" s="118">
        <f>+Actuals!K484</f>
        <v>-23806</v>
      </c>
      <c r="O11" s="119">
        <f>+Actuals!L484</f>
        <v>-47611.77</v>
      </c>
      <c r="P11" s="118">
        <f>+Actuals!M484</f>
        <v>105303</v>
      </c>
      <c r="Q11" s="119">
        <f>+Actuals!N484</f>
        <v>231402.44</v>
      </c>
      <c r="R11" s="118">
        <f>+Actuals!O484</f>
        <v>0</v>
      </c>
      <c r="S11" s="119">
        <f>+Actuals!P484</f>
        <v>-665061.68999999994</v>
      </c>
      <c r="T11" s="118">
        <f>+Actuals!Q484</f>
        <v>0</v>
      </c>
      <c r="U11" s="119">
        <v>665062</v>
      </c>
      <c r="V11" s="118">
        <v>1033</v>
      </c>
      <c r="W11" s="119">
        <v>2420.52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2368361.73</v>
      </c>
      <c r="F12" s="60">
        <f>'TIE-OUT'!P12+RECLASS!N12</f>
        <v>0</v>
      </c>
      <c r="G12" s="38">
        <f>'TIE-OUT'!Q12+RECLASS!O12</f>
        <v>2551788.73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f>+Actuals!H485-195152</f>
        <v>-195152</v>
      </c>
      <c r="L12" s="118">
        <f>+Actuals!I485</f>
        <v>0</v>
      </c>
      <c r="M12" s="215">
        <f>+Actuals!J485+11725</f>
        <v>11725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19208491</v>
      </c>
      <c r="E13" s="38">
        <f t="shared" si="0"/>
        <v>45307321</v>
      </c>
      <c r="F13" s="60">
        <f>'TIE-OUT'!P13+RECLASS!N13</f>
        <v>0</v>
      </c>
      <c r="G13" s="38">
        <f>'TIE-OUT'!Q13+RECLASS!O13</f>
        <v>0</v>
      </c>
      <c r="H13" s="118">
        <f>+Actuals!E486</f>
        <v>19208491</v>
      </c>
      <c r="I13" s="119">
        <f>+Actuals!F486</f>
        <v>45307321</v>
      </c>
      <c r="J13" s="118">
        <f>+Actuals!G486</f>
        <v>-19208491</v>
      </c>
      <c r="K13" s="119">
        <f>+Actuals!H486</f>
        <v>-45307321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19208491</v>
      </c>
      <c r="S13" s="119">
        <f>+Actuals!P486</f>
        <v>45307321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1148070.68</v>
      </c>
      <c r="F15" s="81">
        <f>'TIE-OUT'!P15+RECLASS!N15</f>
        <v>0</v>
      </c>
      <c r="G15" s="82">
        <f>'TIE-OUT'!Q15+RECLASS!O15</f>
        <v>0</v>
      </c>
      <c r="H15" s="118">
        <f>+Actuals!E488</f>
        <v>0</v>
      </c>
      <c r="I15" s="119">
        <f>+Actuals!F488</f>
        <v>1129129</v>
      </c>
      <c r="J15" s="118">
        <f>+Actuals!G488</f>
        <v>0</v>
      </c>
      <c r="K15" s="119">
        <f>+Actuals!H488</f>
        <v>1891.68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17050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60412996</v>
      </c>
      <c r="E16" s="39">
        <f t="shared" si="1"/>
        <v>141261990.73000002</v>
      </c>
      <c r="F16" s="61">
        <f t="shared" si="1"/>
        <v>0</v>
      </c>
      <c r="G16" s="39">
        <f t="shared" si="1"/>
        <v>2551788.73</v>
      </c>
      <c r="H16" s="61">
        <f t="shared" si="1"/>
        <v>60359554</v>
      </c>
      <c r="I16" s="39">
        <f t="shared" si="1"/>
        <v>138829418.04000002</v>
      </c>
      <c r="J16" s="61">
        <f t="shared" ref="J16:AO16" si="2">SUM(J11:J15)</f>
        <v>-19296358</v>
      </c>
      <c r="K16" s="39">
        <f t="shared" si="2"/>
        <v>-45769588.600000001</v>
      </c>
      <c r="L16" s="61">
        <f t="shared" si="2"/>
        <v>58779</v>
      </c>
      <c r="M16" s="39">
        <f t="shared" si="2"/>
        <v>139790.06</v>
      </c>
      <c r="N16" s="61">
        <f>SUM(N11:N15)</f>
        <v>-23806</v>
      </c>
      <c r="O16" s="39">
        <f>SUM(O11:O15)</f>
        <v>-47611.77</v>
      </c>
      <c r="P16" s="61">
        <f>SUM(P11:P15)</f>
        <v>105303</v>
      </c>
      <c r="Q16" s="39">
        <f>SUM(Q11:Q15)</f>
        <v>231402.44</v>
      </c>
      <c r="R16" s="61">
        <f t="shared" si="2"/>
        <v>19208491</v>
      </c>
      <c r="S16" s="39">
        <f t="shared" si="2"/>
        <v>44659309.310000002</v>
      </c>
      <c r="T16" s="61">
        <f t="shared" si="2"/>
        <v>0</v>
      </c>
      <c r="U16" s="39">
        <f t="shared" si="2"/>
        <v>665062</v>
      </c>
      <c r="V16" s="61">
        <f t="shared" si="2"/>
        <v>1033</v>
      </c>
      <c r="W16" s="39">
        <f t="shared" si="2"/>
        <v>2420.52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-42900816</v>
      </c>
      <c r="E19" s="38">
        <f t="shared" si="3"/>
        <v>-95709409.299999982</v>
      </c>
      <c r="F19" s="64">
        <f>'TIE-OUT'!P19+RECLASS!N19</f>
        <v>0</v>
      </c>
      <c r="G19" s="68">
        <f>'TIE-OUT'!Q19+RECLASS!O19</f>
        <v>0</v>
      </c>
      <c r="H19" s="118">
        <f>+Actuals!E489</f>
        <v>-42688795</v>
      </c>
      <c r="I19" s="119">
        <f>+Actuals!F489</f>
        <v>-96195381.11999999</v>
      </c>
      <c r="J19" s="118">
        <f>+Actuals!G489</f>
        <v>-229268</v>
      </c>
      <c r="K19" s="119">
        <f>+Actuals!H489</f>
        <v>-194596.82</v>
      </c>
      <c r="L19" s="118">
        <f>+Actuals!I489</f>
        <v>21407</v>
      </c>
      <c r="M19" s="119">
        <f>+Actuals!J489</f>
        <v>46190.879999999997</v>
      </c>
      <c r="N19" s="118">
        <f>+Actuals!K489</f>
        <v>-10120</v>
      </c>
      <c r="O19" s="119">
        <f>+Actuals!L489</f>
        <v>-24961.599999999999</v>
      </c>
      <c r="P19" s="118">
        <f>+Actuals!M489</f>
        <v>5960</v>
      </c>
      <c r="Q19" s="119">
        <f>+Actuals!N489</f>
        <v>660896.73</v>
      </c>
      <c r="R19" s="118">
        <f>+Actuals!O489</f>
        <v>0</v>
      </c>
      <c r="S19" s="119">
        <f>+Actuals!P489</f>
        <v>-1553.65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v>-3.72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-76977.850000000006</v>
      </c>
      <c r="F20" s="60">
        <f>'TIE-OUT'!P20+RECLASS!N20</f>
        <v>0</v>
      </c>
      <c r="G20" s="38">
        <f>'TIE-OUT'!Q20+RECLASS!O20</f>
        <v>-76977.850000000006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-19275990</v>
      </c>
      <c r="E21" s="38">
        <f t="shared" si="3"/>
        <v>-45452979</v>
      </c>
      <c r="F21" s="60">
        <f>'TIE-OUT'!P21+RECLASS!N21</f>
        <v>0</v>
      </c>
      <c r="G21" s="38">
        <f>'TIE-OUT'!Q21+RECLASS!O21</f>
        <v>0</v>
      </c>
      <c r="H21" s="118">
        <f>+Actuals!E491</f>
        <v>-19275990</v>
      </c>
      <c r="I21" s="119">
        <f>+Actuals!F491</f>
        <v>-45452981</v>
      </c>
      <c r="J21" s="118">
        <f>+Actuals!G491</f>
        <v>19208491</v>
      </c>
      <c r="K21" s="119">
        <f>+Actuals!H491</f>
        <v>45307323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-19208491</v>
      </c>
      <c r="S21" s="119">
        <f>+Actuals!P491</f>
        <v>-45307321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719123</v>
      </c>
      <c r="E23" s="38">
        <f t="shared" si="3"/>
        <v>1587104.4579999999</v>
      </c>
      <c r="F23" s="81">
        <f>'TIE-OUT'!P23+RECLASS!N23</f>
        <v>0</v>
      </c>
      <c r="G23" s="82">
        <f>'TIE-OUT'!Q23+RECLASS!O23</f>
        <v>0</v>
      </c>
      <c r="H23" s="118">
        <f>+Actuals!E493</f>
        <v>719145</v>
      </c>
      <c r="I23" s="119">
        <f>+Actuals!F493</f>
        <v>1587153.0149999999</v>
      </c>
      <c r="J23" s="118">
        <f>+Actuals!G493</f>
        <v>-21</v>
      </c>
      <c r="K23" s="119">
        <f>+Actuals!H493</f>
        <v>-46.347000000000001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v>-1</v>
      </c>
      <c r="W23" s="119">
        <v>-2.21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-61457683</v>
      </c>
      <c r="E24" s="39">
        <f t="shared" si="4"/>
        <v>-139652261.69199997</v>
      </c>
      <c r="F24" s="61">
        <f t="shared" si="4"/>
        <v>0</v>
      </c>
      <c r="G24" s="39">
        <f t="shared" si="4"/>
        <v>-76977.850000000006</v>
      </c>
      <c r="H24" s="61">
        <f t="shared" si="4"/>
        <v>-61245640</v>
      </c>
      <c r="I24" s="39">
        <f t="shared" si="4"/>
        <v>-140061209.10500002</v>
      </c>
      <c r="J24" s="61">
        <f t="shared" ref="J24:AO24" si="5">SUM(J19:J23)</f>
        <v>18979202</v>
      </c>
      <c r="K24" s="39">
        <f t="shared" si="5"/>
        <v>45112679.832999997</v>
      </c>
      <c r="L24" s="61">
        <f t="shared" si="5"/>
        <v>21407</v>
      </c>
      <c r="M24" s="39">
        <f t="shared" si="5"/>
        <v>46190.879999999997</v>
      </c>
      <c r="N24" s="61">
        <f>SUM(N19:N23)</f>
        <v>-10120</v>
      </c>
      <c r="O24" s="39">
        <f>SUM(O19:O23)</f>
        <v>-24961.599999999999</v>
      </c>
      <c r="P24" s="61">
        <f>SUM(P19:P23)</f>
        <v>5960</v>
      </c>
      <c r="Q24" s="39">
        <f>SUM(Q19:Q23)</f>
        <v>660896.73</v>
      </c>
      <c r="R24" s="61">
        <f t="shared" si="5"/>
        <v>-19208491</v>
      </c>
      <c r="S24" s="39">
        <f t="shared" si="5"/>
        <v>-45308874.649999999</v>
      </c>
      <c r="T24" s="61">
        <f t="shared" si="5"/>
        <v>0</v>
      </c>
      <c r="U24" s="39">
        <f t="shared" si="5"/>
        <v>0</v>
      </c>
      <c r="V24" s="61">
        <f t="shared" si="5"/>
        <v>-1</v>
      </c>
      <c r="W24" s="39">
        <f t="shared" si="5"/>
        <v>-2.21</v>
      </c>
      <c r="X24" s="61">
        <f t="shared" si="5"/>
        <v>0</v>
      </c>
      <c r="Y24" s="39">
        <f t="shared" si="5"/>
        <v>-3.72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857593</v>
      </c>
      <c r="E27" s="38">
        <f>SUM(G27,I27,K27,M27,O27,Q27,S27,U27,W27,Y27,AA27,AC27,AE27)</f>
        <v>2021036.0799999998</v>
      </c>
      <c r="F27" s="64">
        <f>'TIE-OUT'!P27+RECLASS!N27</f>
        <v>0</v>
      </c>
      <c r="G27" s="68">
        <f>'TIE-OUT'!Q27+RECLASS!O27</f>
        <v>0</v>
      </c>
      <c r="H27" s="118">
        <f>+Actuals!E494</f>
        <v>859628</v>
      </c>
      <c r="I27" s="119">
        <f>+Actuals!F494</f>
        <v>2026388.13</v>
      </c>
      <c r="J27" s="118">
        <f>+Actuals!G494</f>
        <v>-2035</v>
      </c>
      <c r="K27" s="119">
        <f>+Actuals!H494</f>
        <v>-5352.05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-6161</v>
      </c>
      <c r="E28" s="38">
        <f>SUM(G28,I28,K28,M28,O28,Q28,S28,U28,W28,Y28,AA28,AC28,AE28)</f>
        <v>-17065.97</v>
      </c>
      <c r="F28" s="81">
        <f>'TIE-OUT'!P28+RECLASS!N28</f>
        <v>0</v>
      </c>
      <c r="G28" s="82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v>-6161</v>
      </c>
      <c r="U28" s="119">
        <v>-17065.97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851432</v>
      </c>
      <c r="E29" s="39">
        <f t="shared" si="6"/>
        <v>2003970.1099999999</v>
      </c>
      <c r="F29" s="61">
        <f t="shared" si="6"/>
        <v>0</v>
      </c>
      <c r="G29" s="39">
        <f t="shared" si="6"/>
        <v>0</v>
      </c>
      <c r="H29" s="61">
        <f t="shared" si="6"/>
        <v>859628</v>
      </c>
      <c r="I29" s="39">
        <f t="shared" si="6"/>
        <v>2026388.13</v>
      </c>
      <c r="J29" s="61">
        <f t="shared" ref="J29:AO29" si="7">SUM(J27:J28)</f>
        <v>-2035</v>
      </c>
      <c r="K29" s="39">
        <f t="shared" si="7"/>
        <v>-5352.05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-6161</v>
      </c>
      <c r="U29" s="39">
        <f t="shared" si="7"/>
        <v>-17065.97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-60126</v>
      </c>
      <c r="E32" s="38">
        <f t="shared" si="8"/>
        <v>-132698.08199999988</v>
      </c>
      <c r="F32" s="64">
        <f>'TIE-OUT'!P32+RECLASS!N32</f>
        <v>0</v>
      </c>
      <c r="G32" s="68">
        <f>'TIE-OUT'!Q32+RECLASS!O32</f>
        <v>0</v>
      </c>
      <c r="H32" s="118">
        <f>+Actuals!E496</f>
        <v>-57911</v>
      </c>
      <c r="I32" s="119">
        <f>+Actuals!F496</f>
        <v>-127809.577</v>
      </c>
      <c r="J32" s="118">
        <f>+Actuals!G496</f>
        <v>-1702877</v>
      </c>
      <c r="K32" s="119">
        <f>+Actuals!H496</f>
        <v>-3758249.5389999999</v>
      </c>
      <c r="L32" s="118">
        <f>+Actuals!I496</f>
        <v>1708683</v>
      </c>
      <c r="M32" s="119">
        <f>+Actuals!J496</f>
        <v>3771063.3810000001</v>
      </c>
      <c r="N32" s="118">
        <f>+Actuals!K496</f>
        <v>-10401</v>
      </c>
      <c r="O32" s="119">
        <f>+Actuals!L496</f>
        <v>-22955.007000000001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v>580</v>
      </c>
      <c r="U32" s="119">
        <v>1280.06</v>
      </c>
      <c r="V32" s="118">
        <v>1</v>
      </c>
      <c r="W32" s="119">
        <v>2.21</v>
      </c>
      <c r="X32" s="118">
        <v>1799</v>
      </c>
      <c r="Y32" s="119">
        <v>3970.39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-570</v>
      </c>
      <c r="E33" s="38">
        <f t="shared" si="8"/>
        <v>-1268.22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-569</v>
      </c>
      <c r="K33" s="119">
        <f>+Actuals!H497</f>
        <v>-1266.03</v>
      </c>
      <c r="L33" s="118">
        <f>+Actuals!I497</f>
        <v>-1</v>
      </c>
      <c r="M33" s="119">
        <f>+Actuals!J497</f>
        <v>-2.19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6</v>
      </c>
      <c r="E34" s="38">
        <f t="shared" si="8"/>
        <v>12.9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0</v>
      </c>
      <c r="K34" s="119">
        <f>+Actuals!H498</f>
        <v>0</v>
      </c>
      <c r="L34" s="118">
        <f>+Actuals!I498</f>
        <v>6</v>
      </c>
      <c r="M34" s="119">
        <f>+Actuals!J498</f>
        <v>12.9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-922</v>
      </c>
      <c r="E35" s="38">
        <f t="shared" si="8"/>
        <v>-480910.27</v>
      </c>
      <c r="F35" s="81">
        <f>'TIE-OUT'!P35+RECLASS!N35</f>
        <v>0</v>
      </c>
      <c r="G35" s="82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v>-480910.27</v>
      </c>
      <c r="V35" s="118">
        <f>+Actuals!S499</f>
        <v>0</v>
      </c>
      <c r="W35" s="119">
        <f>+Actuals!T499</f>
        <v>0</v>
      </c>
      <c r="X35" s="118">
        <v>-922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-61612</v>
      </c>
      <c r="E36" s="39">
        <f t="shared" si="9"/>
        <v>-614863.6719999999</v>
      </c>
      <c r="F36" s="61">
        <f t="shared" si="9"/>
        <v>0</v>
      </c>
      <c r="G36" s="39">
        <f t="shared" si="9"/>
        <v>0</v>
      </c>
      <c r="H36" s="61">
        <f t="shared" si="9"/>
        <v>-57911</v>
      </c>
      <c r="I36" s="39">
        <f t="shared" si="9"/>
        <v>-127809.577</v>
      </c>
      <c r="J36" s="61">
        <f t="shared" ref="J36:AO36" si="10">SUM(J32:J35)</f>
        <v>-1703446</v>
      </c>
      <c r="K36" s="39">
        <f t="shared" si="10"/>
        <v>-3759515.5689999997</v>
      </c>
      <c r="L36" s="61">
        <f t="shared" si="10"/>
        <v>1708688</v>
      </c>
      <c r="M36" s="39">
        <f t="shared" si="10"/>
        <v>3771074.091</v>
      </c>
      <c r="N36" s="61">
        <f>SUM(N32:N35)</f>
        <v>-10401</v>
      </c>
      <c r="O36" s="39">
        <f>SUM(O32:O35)</f>
        <v>-22955.007000000001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580</v>
      </c>
      <c r="U36" s="39">
        <f t="shared" si="10"/>
        <v>-479630.21</v>
      </c>
      <c r="V36" s="61">
        <f t="shared" si="10"/>
        <v>1</v>
      </c>
      <c r="W36" s="39">
        <f t="shared" si="10"/>
        <v>2.21</v>
      </c>
      <c r="X36" s="61">
        <f t="shared" si="10"/>
        <v>877</v>
      </c>
      <c r="Y36" s="39">
        <f t="shared" si="10"/>
        <v>3970.39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222479</v>
      </c>
      <c r="E39" s="38">
        <f t="shared" si="11"/>
        <v>491074.64</v>
      </c>
      <c r="F39" s="64">
        <f>'TIE-OUT'!P39+RECLASS!N39</f>
        <v>0</v>
      </c>
      <c r="G39" s="68">
        <f>'TIE-OUT'!Q39+RECLASS!O39</f>
        <v>0</v>
      </c>
      <c r="H39" s="118">
        <f>+Actuals!E500</f>
        <v>3701</v>
      </c>
      <c r="I39" s="119">
        <f>+Actuals!F500</f>
        <v>8168.11</v>
      </c>
      <c r="J39" s="118">
        <f>+Actuals!G500</f>
        <v>217856</v>
      </c>
      <c r="K39" s="119">
        <f>+Actuals!H500</f>
        <v>480810.82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v>922</v>
      </c>
      <c r="Y39" s="119">
        <v>2095.71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0</v>
      </c>
      <c r="K40" s="119">
        <f>+Actuals!H501</f>
        <v>0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'TIE-OUT'!P41+RECLASS!N41</f>
        <v>0</v>
      </c>
      <c r="G41" s="82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222479</v>
      </c>
      <c r="E43" s="39">
        <f t="shared" si="14"/>
        <v>491074.64</v>
      </c>
      <c r="F43" s="61">
        <f t="shared" si="14"/>
        <v>0</v>
      </c>
      <c r="G43" s="39">
        <f t="shared" si="14"/>
        <v>0</v>
      </c>
      <c r="H43" s="61">
        <f t="shared" si="14"/>
        <v>3701</v>
      </c>
      <c r="I43" s="39">
        <f t="shared" si="14"/>
        <v>8168.11</v>
      </c>
      <c r="J43" s="61">
        <f t="shared" ref="J43:AO43" si="15">J42+J39</f>
        <v>217856</v>
      </c>
      <c r="K43" s="39">
        <f t="shared" si="15"/>
        <v>480810.82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922</v>
      </c>
      <c r="Y43" s="39">
        <f t="shared" si="15"/>
        <v>2095.71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'TIE-OUT'!P45+RECLASS!N45</f>
        <v>0</v>
      </c>
      <c r="G45" s="6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32388</v>
      </c>
      <c r="E49" s="38">
        <f>SUM(G49,I49,K49,M49,O49,Q49,S49,U49,W49,Y49,AA49,AC49,AE49)</f>
        <v>71480.322999999931</v>
      </c>
      <c r="F49" s="60">
        <f>'TIE-OUT'!P49+RECLASS!N49</f>
        <v>0</v>
      </c>
      <c r="G49" s="38">
        <f>'TIE-OUT'!Q49+RECLASS!O49</f>
        <v>0</v>
      </c>
      <c r="H49" s="118">
        <f>+Actuals!E505</f>
        <v>80668</v>
      </c>
      <c r="I49" s="119">
        <f>+Actuals!F505</f>
        <v>178034.27600000001</v>
      </c>
      <c r="J49" s="118">
        <f>+Actuals!G505</f>
        <v>1804781</v>
      </c>
      <c r="K49" s="119">
        <f>+Actuals!H505</f>
        <v>3983151.6669999999</v>
      </c>
      <c r="L49" s="118">
        <f>+Actuals!I505</f>
        <v>-1788874</v>
      </c>
      <c r="M49" s="119">
        <f>+Actuals!J505</f>
        <v>-3948044.9180000001</v>
      </c>
      <c r="N49" s="118">
        <f>+Actuals!K505</f>
        <v>44327</v>
      </c>
      <c r="O49" s="119">
        <f>+Actuals!L505</f>
        <v>97829.688999999998</v>
      </c>
      <c r="P49" s="118">
        <f>+Actuals!M505</f>
        <v>-111263</v>
      </c>
      <c r="Q49" s="119">
        <f>+Actuals!N505</f>
        <v>-245557.44099999999</v>
      </c>
      <c r="R49" s="118">
        <f>+Actuals!O505</f>
        <v>0</v>
      </c>
      <c r="S49" s="119">
        <f>+Actuals!P505</f>
        <v>0</v>
      </c>
      <c r="T49" s="118">
        <v>5581</v>
      </c>
      <c r="U49" s="119">
        <v>12317.27</v>
      </c>
      <c r="V49" s="118">
        <v>-1033</v>
      </c>
      <c r="W49" s="119">
        <v>-2279.83</v>
      </c>
      <c r="X49" s="118">
        <v>-1799</v>
      </c>
      <c r="Y49" s="119">
        <v>-3970.39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-719123</v>
      </c>
      <c r="E51" s="38">
        <f>SUM(G51,I51,K51,M51,O51,Q51,S51,U51,W51,Y51,AA51,AC51,AE51)</f>
        <v>-1587104.4579999999</v>
      </c>
      <c r="F51" s="60">
        <f>'TIE-OUT'!P51+RECLASS!N51</f>
        <v>0</v>
      </c>
      <c r="G51" s="38">
        <f>'TIE-OUT'!Q51+RECLASS!O51</f>
        <v>0</v>
      </c>
      <c r="H51" s="118">
        <f>+Actuals!E506</f>
        <v>-719145</v>
      </c>
      <c r="I51" s="119">
        <f>+Actuals!F506</f>
        <v>-1587153.0149999999</v>
      </c>
      <c r="J51" s="118">
        <f>+Actuals!G506</f>
        <v>21</v>
      </c>
      <c r="K51" s="119">
        <f>+Actuals!H506</f>
        <v>46.347000000000001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v>1</v>
      </c>
      <c r="W51" s="119">
        <v>2.21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-25490624</v>
      </c>
      <c r="E54" s="38">
        <f>SUM(G54,I54,K54,M54,O54,Q54,S54,U54,W54,Y54,AA54,AC54,AE54)</f>
        <v>-393677.43000000005</v>
      </c>
      <c r="F54" s="64">
        <f>'TIE-OUT'!P54+RECLASS!N54</f>
        <v>0</v>
      </c>
      <c r="G54" s="68">
        <f>'TIE-OUT'!Q54+RECLASS!O54</f>
        <v>0</v>
      </c>
      <c r="H54" s="118">
        <f>+Actuals!E507</f>
        <v>-24183369</v>
      </c>
      <c r="I54" s="119">
        <f>+Actuals!F507</f>
        <v>-379380.82</v>
      </c>
      <c r="J54" s="118">
        <f>+Actuals!G507</f>
        <v>-2294047</v>
      </c>
      <c r="K54" s="119">
        <f>+Actuals!H507</f>
        <v>-14240.75</v>
      </c>
      <c r="L54" s="118">
        <f>+Actuals!I507</f>
        <v>1699793</v>
      </c>
      <c r="M54" s="119">
        <f>+Actuals!J507</f>
        <v>9.9999999999980105E-3</v>
      </c>
      <c r="N54" s="118">
        <f>+Actuals!K507</f>
        <v>-766071</v>
      </c>
      <c r="O54" s="119">
        <f>+Actuals!L507</f>
        <v>1.3500311979441904E-13</v>
      </c>
      <c r="P54" s="118">
        <f>+Actuals!M507</f>
        <v>0</v>
      </c>
      <c r="Q54" s="119">
        <f>+Actuals!N507</f>
        <v>-163.5</v>
      </c>
      <c r="R54" s="118">
        <f>+Actuals!O507</f>
        <v>0</v>
      </c>
      <c r="S54" s="119">
        <f>+Actuals!P507</f>
        <v>665225.68999999994</v>
      </c>
      <c r="T54" s="118">
        <f>+Actuals!Q507</f>
        <v>0</v>
      </c>
      <c r="U54" s="119">
        <v>-665062</v>
      </c>
      <c r="V54" s="118">
        <v>-1</v>
      </c>
      <c r="W54" s="119">
        <f>+Actuals!T507</f>
        <v>0</v>
      </c>
      <c r="X54" s="118">
        <v>53071</v>
      </c>
      <c r="Y54" s="119">
        <v>-56.06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-5448664.0700000003</v>
      </c>
      <c r="F55" s="81">
        <f>'TIE-OUT'!P55+RECLASS!N55</f>
        <v>0</v>
      </c>
      <c r="G55" s="82">
        <f>'TIE-OUT'!Q55+RECLASS!O55</f>
        <v>0</v>
      </c>
      <c r="H55" s="118">
        <f>+Actuals!E508</f>
        <v>0</v>
      </c>
      <c r="I55" s="119">
        <f>+Actuals!F508</f>
        <v>-2278451.4500000002</v>
      </c>
      <c r="J55" s="118">
        <f>+Actuals!G508</f>
        <v>0</v>
      </c>
      <c r="K55" s="119">
        <f>+Actuals!H508</f>
        <v>-3170212.12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-0.5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-25490624</v>
      </c>
      <c r="E56" s="39">
        <f t="shared" si="16"/>
        <v>-5842341.5</v>
      </c>
      <c r="F56" s="61">
        <f t="shared" si="16"/>
        <v>0</v>
      </c>
      <c r="G56" s="39">
        <f t="shared" si="16"/>
        <v>0</v>
      </c>
      <c r="H56" s="61">
        <f t="shared" si="16"/>
        <v>-24183369</v>
      </c>
      <c r="I56" s="39">
        <f t="shared" si="16"/>
        <v>-2657832.27</v>
      </c>
      <c r="J56" s="61">
        <f t="shared" ref="J56:AO56" si="17">SUM(J54:J55)</f>
        <v>-2294047</v>
      </c>
      <c r="K56" s="39">
        <f t="shared" si="17"/>
        <v>-3184452.87</v>
      </c>
      <c r="L56" s="61">
        <f t="shared" si="17"/>
        <v>1699793</v>
      </c>
      <c r="M56" s="39">
        <f t="shared" si="17"/>
        <v>9.9999999999980105E-3</v>
      </c>
      <c r="N56" s="61">
        <f>SUM(N54:N55)</f>
        <v>-766071</v>
      </c>
      <c r="O56" s="39">
        <f>SUM(O54:O55)</f>
        <v>1.3500311979441904E-13</v>
      </c>
      <c r="P56" s="61">
        <f>SUM(P54:P55)</f>
        <v>0</v>
      </c>
      <c r="Q56" s="39">
        <f>SUM(Q54:Q55)</f>
        <v>-163.5</v>
      </c>
      <c r="R56" s="61">
        <f t="shared" si="17"/>
        <v>0</v>
      </c>
      <c r="S56" s="39">
        <f t="shared" si="17"/>
        <v>665225.18999999994</v>
      </c>
      <c r="T56" s="61">
        <f t="shared" si="17"/>
        <v>0</v>
      </c>
      <c r="U56" s="39">
        <f t="shared" si="17"/>
        <v>-665062</v>
      </c>
      <c r="V56" s="61">
        <f t="shared" si="17"/>
        <v>-1</v>
      </c>
      <c r="W56" s="39">
        <f t="shared" si="17"/>
        <v>0</v>
      </c>
      <c r="X56" s="61">
        <f t="shared" si="17"/>
        <v>53071</v>
      </c>
      <c r="Y56" s="39">
        <f t="shared" si="17"/>
        <v>-56.06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'TIE-OUT'!P59+RECLASS!N59</f>
        <v>0</v>
      </c>
      <c r="G59" s="6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'TIE-OUT'!P60+RECLASS!N60</f>
        <v>0</v>
      </c>
      <c r="G60" s="82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'TIE-OUT'!P64+RECLASS!N64</f>
        <v>0</v>
      </c>
      <c r="G64" s="6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'TIE-OUT'!P65+RECLASS!N65</f>
        <v>0</v>
      </c>
      <c r="G65" s="82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6953222</v>
      </c>
      <c r="F70" s="64">
        <f>'TIE-OUT'!P70+RECLASS!N70</f>
        <v>0</v>
      </c>
      <c r="G70" s="68">
        <f>'TIE-OUT'!Q70+RECLASS!O70</f>
        <v>6953222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-2053660</v>
      </c>
      <c r="F71" s="81">
        <f>'TIE-OUT'!P71+RECLASS!N71</f>
        <v>0</v>
      </c>
      <c r="G71" s="82">
        <f>'TIE-OUT'!Q71+RECLASS!O71</f>
        <v>-2053660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4899562</v>
      </c>
      <c r="F72" s="61">
        <f t="shared" si="22"/>
        <v>0</v>
      </c>
      <c r="G72" s="39">
        <f t="shared" si="22"/>
        <v>4899562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60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1250129.44</v>
      </c>
      <c r="F74" s="60">
        <f>'TIE-OUT'!P74+RECLASS!N74</f>
        <v>0</v>
      </c>
      <c r="G74" s="60">
        <f>'TIE-OUT'!Q74+RECLASS!O74</f>
        <v>1237729.44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</f>
        <v>0</v>
      </c>
      <c r="L74" s="118">
        <f>+Actuals!I516</f>
        <v>0</v>
      </c>
      <c r="M74" s="215">
        <f>+Actuals!J516+12400</f>
        <v>12400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354800</v>
      </c>
      <c r="F75" s="60">
        <f>'TIE-OUT'!P75+RECLASS!N75</f>
        <v>0</v>
      </c>
      <c r="G75" s="60">
        <f>'TIE-OUT'!Q75+RECLASS!O75</f>
        <v>354800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-10021.69</v>
      </c>
      <c r="F76" s="60">
        <f>'TIE-OUT'!P76+RECLASS!N76</f>
        <v>0</v>
      </c>
      <c r="G76" s="60">
        <f>'TIE-OUT'!Q76+RECLASS!O76</f>
        <v>0</v>
      </c>
      <c r="H76" s="118">
        <f>+Actuals!E518</f>
        <v>0</v>
      </c>
      <c r="I76" s="119">
        <f>+Actuals!F518</f>
        <v>-9739.94</v>
      </c>
      <c r="J76" s="118">
        <f>+Actuals!G518</f>
        <v>0</v>
      </c>
      <c r="K76" s="119">
        <f>+Actuals!H518</f>
        <v>-281.75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60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60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60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60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7142.86</v>
      </c>
      <c r="F81" s="60">
        <f>'TIE-OUT'!P81+RECLASS!N81</f>
        <v>0</v>
      </c>
      <c r="G81" s="60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0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2633557.0910000615</v>
      </c>
      <c r="F82" s="91">
        <f>F16+F24+F29+F36+F43+F45+F47+F49</f>
        <v>0</v>
      </c>
      <c r="G82" s="92">
        <f>SUM(G72:G81)+G16+G24+G29+G36+G43+G45+G47+G49+G51+G56+G61+G66</f>
        <v>8966902.3200000003</v>
      </c>
      <c r="H82" s="91">
        <f>H16+H24+H29+H36+H43+H45+H47+H49</f>
        <v>0</v>
      </c>
      <c r="I82" s="92">
        <f>SUM(I72:I81)+I16+I24+I29+I36+I43+I45+I47+I49+I51+I56+I61+I66</f>
        <v>-3394592.4910000106</v>
      </c>
      <c r="J82" s="91">
        <f>J16+J24+J29+J36+J43+J45+J47+J49</f>
        <v>0</v>
      </c>
      <c r="K82" s="137">
        <f>SUM(K72:K81)+K16+K24+K29+K36+K43+K45+K47+K49+K51+K56+K61+K66</f>
        <v>-3142502.1720000049</v>
      </c>
      <c r="L82" s="91">
        <f>L16+L24+L29+L36+L43+L45+L47+L49</f>
        <v>0</v>
      </c>
      <c r="M82" s="92">
        <f>SUM(M72:M81)+M16+M24+M29+M36+M43+M45+M47+M49+M51+M56+M61+M66</f>
        <v>21410.122999999894</v>
      </c>
      <c r="N82" s="91">
        <f>N16+N24+N29+N36+N43+N45+N47+N49</f>
        <v>0</v>
      </c>
      <c r="O82" s="92">
        <f>SUM(O72:O81)+O16+O24+O29+O36+O43+O45+O47+O49+O51+O56+O61+O66</f>
        <v>2301.3120000000054</v>
      </c>
      <c r="P82" s="91">
        <f>P16+P24+P29+P36+P43+P45+P47+P49</f>
        <v>0</v>
      </c>
      <c r="Q82" s="92">
        <f>SUM(Q72:Q81)+Q16+Q24+Q29+Q36+Q43+Q45+Q47+Q49+Q51+Q56+Q61+Q66</f>
        <v>646578.22899999993</v>
      </c>
      <c r="R82" s="91">
        <f>R16+R24+R29+R36+R43+R45+R47+R49</f>
        <v>0</v>
      </c>
      <c r="S82" s="92">
        <f>SUM(S72:S81)+S16+S24+S29+S36+S43+S45+S47+S49+S51+S56+S61+S66</f>
        <v>15659.850000003818</v>
      </c>
      <c r="T82" s="91">
        <f>T16+T24+T29+T36+T43+T45+T47+T49</f>
        <v>0</v>
      </c>
      <c r="U82" s="92">
        <f>SUM(U72:U81)+U16+U24+U29+U36+U43+U45+U47+U49+U51+U56+U61+U66</f>
        <v>-484378.91000000003</v>
      </c>
      <c r="V82" s="91">
        <f>V16+V24+V29+V36+V43+V45+V47+V49</f>
        <v>0</v>
      </c>
      <c r="W82" s="92">
        <f>SUM(W72:W81)+W16+W24+W29+W36+W43+W45+W47+W49+W51+W56+W61+W66</f>
        <v>142.90000000000006</v>
      </c>
      <c r="X82" s="91">
        <f>X16+X24+X29+X36+X43+X45+X47+X49</f>
        <v>0</v>
      </c>
      <c r="Y82" s="92">
        <f>SUM(Y72:Y81)+Y16+Y24+Y29+Y36+Y43+Y45+Y47+Y49+Y51+Y56+Y61+Y66</f>
        <v>2035.9300000000003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4" orientation="landscape" verticalDpi="300" r:id="rId1"/>
  <headerFooter alignWithMargins="0">
    <oddFooter>&amp;CPage &amp;P&amp;R&amp;D  &amp;T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Q64" activePane="bottomRight" state="frozen"/>
      <selection activeCell="X9" sqref="X9"/>
      <selection pane="topRight" activeCell="X9" sqref="X9"/>
      <selection pane="bottomLeft" activeCell="X9" sqref="X9"/>
      <selection pane="bottomRight" activeCell="X89" sqref="X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4109510</v>
      </c>
      <c r="E11" s="38">
        <f>SUM(G11,I11,K11,M11,O11,Q11,S11,U11,W11,Y11,AA11,AC11,AE11)</f>
        <v>8933705.290000001</v>
      </c>
      <c r="F11" s="60">
        <f>'TIE-OUT'!R11+RECLASS!P11</f>
        <v>0</v>
      </c>
      <c r="G11" s="38">
        <f>'TIE-OUT'!S11+RECLASS!Q11</f>
        <v>0</v>
      </c>
      <c r="H11" s="118">
        <f>+Actuals!E204</f>
        <v>4255797</v>
      </c>
      <c r="I11" s="119">
        <f>+Actuals!F204</f>
        <v>9230933.0700000003</v>
      </c>
      <c r="J11" s="118">
        <f>+Actuals!G204</f>
        <v>-800585</v>
      </c>
      <c r="K11" s="119">
        <f>+Actuals!H204</f>
        <v>-1724157.76</v>
      </c>
      <c r="L11" s="118">
        <f>+Actuals!I204</f>
        <v>654073</v>
      </c>
      <c r="M11" s="119">
        <f>+Actuals!J204</f>
        <v>1426449.98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v>225</v>
      </c>
      <c r="Y11" s="119">
        <v>480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-386881.57</v>
      </c>
      <c r="F12" s="60">
        <f>'TIE-OUT'!R12+RECLASS!P12</f>
        <v>0</v>
      </c>
      <c r="G12" s="38">
        <f>'TIE-OUT'!S12+RECLASS!Q12</f>
        <v>-386881.57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4105116</v>
      </c>
      <c r="E13" s="38">
        <f t="shared" si="0"/>
        <v>9214231</v>
      </c>
      <c r="F13" s="60">
        <f>'TIE-OUT'!R13+RECLASS!P13</f>
        <v>0</v>
      </c>
      <c r="G13" s="38">
        <f>'TIE-OUT'!S13+RECLASS!Q13</f>
        <v>0</v>
      </c>
      <c r="H13" s="118">
        <f>+Actuals!E206</f>
        <v>4105116</v>
      </c>
      <c r="I13" s="119">
        <f>+Actuals!F206</f>
        <v>9214231</v>
      </c>
      <c r="J13" s="118">
        <f>+Actuals!G206</f>
        <v>-3750647</v>
      </c>
      <c r="K13" s="119">
        <f>+Actuals!H206</f>
        <v>-8395295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3750647</v>
      </c>
      <c r="S13" s="119">
        <f>+Actuals!P206</f>
        <v>8395295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6132.42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8214626</v>
      </c>
      <c r="E16" s="39">
        <f t="shared" si="1"/>
        <v>17767187.140000001</v>
      </c>
      <c r="F16" s="61">
        <f t="shared" si="1"/>
        <v>0</v>
      </c>
      <c r="G16" s="39">
        <f t="shared" si="1"/>
        <v>-386881.57</v>
      </c>
      <c r="H16" s="61">
        <f t="shared" si="1"/>
        <v>8360913</v>
      </c>
      <c r="I16" s="39">
        <f t="shared" si="1"/>
        <v>18451296.490000002</v>
      </c>
      <c r="J16" s="61">
        <f t="shared" ref="J16:AO16" si="2">SUM(J11:J15)</f>
        <v>-4551232</v>
      </c>
      <c r="K16" s="39">
        <f t="shared" si="2"/>
        <v>-10119452.76</v>
      </c>
      <c r="L16" s="61">
        <f t="shared" si="2"/>
        <v>654073</v>
      </c>
      <c r="M16" s="39">
        <f t="shared" si="2"/>
        <v>1426449.98</v>
      </c>
      <c r="N16" s="61">
        <f>SUM(N11:N15)</f>
        <v>0</v>
      </c>
      <c r="O16" s="39">
        <f>SUM(O11:O15)</f>
        <v>0</v>
      </c>
      <c r="P16" s="61">
        <f>SUM(P11:P15)</f>
        <v>0</v>
      </c>
      <c r="Q16" s="39">
        <f>SUM(Q11:Q15)</f>
        <v>0</v>
      </c>
      <c r="R16" s="61">
        <f t="shared" si="2"/>
        <v>3750647</v>
      </c>
      <c r="S16" s="39">
        <f t="shared" si="2"/>
        <v>8395295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225</v>
      </c>
      <c r="Y16" s="39">
        <f t="shared" si="2"/>
        <v>480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-4881327</v>
      </c>
      <c r="E19" s="38">
        <f t="shared" si="3"/>
        <v>-10337737.24</v>
      </c>
      <c r="F19" s="64">
        <f>'TIE-OUT'!R19+RECLASS!P19</f>
        <v>0</v>
      </c>
      <c r="G19" s="68">
        <f>'TIE-OUT'!S19+RECLASS!Q19</f>
        <v>0</v>
      </c>
      <c r="H19" s="118">
        <f>+Actuals!E209</f>
        <v>-5156799</v>
      </c>
      <c r="I19" s="119">
        <f>+Actuals!F209</f>
        <v>-11003538.18</v>
      </c>
      <c r="J19" s="118">
        <f>+Actuals!G209</f>
        <v>1015831</v>
      </c>
      <c r="K19" s="119">
        <f>+Actuals!H209</f>
        <v>2401256.29</v>
      </c>
      <c r="L19" s="118">
        <f>+Actuals!I209</f>
        <v>-739759</v>
      </c>
      <c r="M19" s="119">
        <f>+Actuals!J209</f>
        <v>-1586091.69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v>-600</v>
      </c>
      <c r="Y19" s="119">
        <v>-149363.66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263447.03999999998</v>
      </c>
      <c r="F20" s="60">
        <f>'TIE-OUT'!R20+RECLASS!P20</f>
        <v>0</v>
      </c>
      <c r="G20" s="38">
        <f>'TIE-OUT'!S20+RECLASS!Q20</f>
        <v>263447.03999999998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-3759464</v>
      </c>
      <c r="E21" s="38">
        <f t="shared" si="3"/>
        <v>-8415663</v>
      </c>
      <c r="F21" s="60">
        <f>'TIE-OUT'!R21+RECLASS!P21</f>
        <v>0</v>
      </c>
      <c r="G21" s="38">
        <f>'TIE-OUT'!S21+RECLASS!Q21</f>
        <v>0</v>
      </c>
      <c r="H21" s="118">
        <f>+Actuals!E211</f>
        <v>-3759464</v>
      </c>
      <c r="I21" s="119">
        <f>+Actuals!F211</f>
        <v>-8415663</v>
      </c>
      <c r="J21" s="118">
        <f>+Actuals!G211</f>
        <v>3759371</v>
      </c>
      <c r="K21" s="119">
        <f>+Actuals!H211</f>
        <v>8415444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-3759371</v>
      </c>
      <c r="S21" s="119">
        <f>+Actuals!P211</f>
        <v>-8415444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2687</v>
      </c>
      <c r="E23" s="38">
        <f t="shared" si="3"/>
        <v>5798.5460000000003</v>
      </c>
      <c r="F23" s="81">
        <f>'TIE-OUT'!R23+RECLASS!P23</f>
        <v>0</v>
      </c>
      <c r="G23" s="82">
        <f>'TIE-OUT'!S23+RECLASS!Q23</f>
        <v>0</v>
      </c>
      <c r="H23" s="118">
        <f>+Actuals!E213</f>
        <v>2687</v>
      </c>
      <c r="I23" s="119">
        <f>+Actuals!F213</f>
        <v>5798.5460000000003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-8638104</v>
      </c>
      <c r="E24" s="39">
        <f t="shared" si="4"/>
        <v>-18484154.654000003</v>
      </c>
      <c r="F24" s="61">
        <f t="shared" si="4"/>
        <v>0</v>
      </c>
      <c r="G24" s="39">
        <f t="shared" si="4"/>
        <v>263447.03999999998</v>
      </c>
      <c r="H24" s="61">
        <f t="shared" si="4"/>
        <v>-8913576</v>
      </c>
      <c r="I24" s="39">
        <f t="shared" si="4"/>
        <v>-19413402.634</v>
      </c>
      <c r="J24" s="61">
        <f t="shared" ref="J24:AO24" si="5">SUM(J19:J23)</f>
        <v>4775202</v>
      </c>
      <c r="K24" s="39">
        <f t="shared" si="5"/>
        <v>10816700.289999999</v>
      </c>
      <c r="L24" s="61">
        <f t="shared" si="5"/>
        <v>-739759</v>
      </c>
      <c r="M24" s="39">
        <f t="shared" si="5"/>
        <v>-1586091.69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0</v>
      </c>
      <c r="R24" s="61">
        <f t="shared" si="5"/>
        <v>-3759371</v>
      </c>
      <c r="S24" s="39">
        <f t="shared" si="5"/>
        <v>-8415444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-600</v>
      </c>
      <c r="Y24" s="39">
        <f t="shared" si="5"/>
        <v>-149363.66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-3181</v>
      </c>
      <c r="E32" s="38">
        <f t="shared" si="7"/>
        <v>14910.360000000015</v>
      </c>
      <c r="F32" s="64">
        <f>'TIE-OUT'!R32+RECLASS!P32</f>
        <v>0</v>
      </c>
      <c r="G32" s="68">
        <f>'TIE-OUT'!S32+RECLASS!Q32</f>
        <v>0</v>
      </c>
      <c r="H32" s="118">
        <f>+Actuals!E216</f>
        <v>69347</v>
      </c>
      <c r="I32" s="119">
        <f>+Actuals!F216</f>
        <v>171425.78400000001</v>
      </c>
      <c r="J32" s="118">
        <f>+Actuals!G216</f>
        <v>-72528</v>
      </c>
      <c r="K32" s="119">
        <f>+Actuals!H216</f>
        <v>-156515.424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-3181</v>
      </c>
      <c r="E36" s="39">
        <f t="shared" si="8"/>
        <v>14910.360000000015</v>
      </c>
      <c r="F36" s="61">
        <f t="shared" si="8"/>
        <v>0</v>
      </c>
      <c r="G36" s="39">
        <f t="shared" si="8"/>
        <v>0</v>
      </c>
      <c r="H36" s="61">
        <f t="shared" si="8"/>
        <v>69347</v>
      </c>
      <c r="I36" s="39">
        <f t="shared" si="8"/>
        <v>171425.78400000001</v>
      </c>
      <c r="J36" s="61">
        <f t="shared" ref="J36:AO36" si="9">SUM(J32:J35)</f>
        <v>-72528</v>
      </c>
      <c r="K36" s="39">
        <f t="shared" si="9"/>
        <v>-156515.424</v>
      </c>
      <c r="L36" s="61">
        <f t="shared" si="9"/>
        <v>0</v>
      </c>
      <c r="M36" s="39">
        <f t="shared" si="9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426659</v>
      </c>
      <c r="E49" s="38">
        <f>SUM(G49,I49,K49,M49,O49,Q49,S49,U49,W49,Y49,AA49,AC49,AE49)</f>
        <v>920730.12199999997</v>
      </c>
      <c r="F49" s="60">
        <f>'TIE-OUT'!R49+RECLASS!P49</f>
        <v>0</v>
      </c>
      <c r="G49" s="38">
        <f>'TIE-OUT'!S49+RECLASS!Q49</f>
        <v>0</v>
      </c>
      <c r="H49" s="118">
        <f>+Actuals!E225</f>
        <v>483316</v>
      </c>
      <c r="I49" s="119">
        <f>+Actuals!F225</f>
        <v>1042995.928</v>
      </c>
      <c r="J49" s="118">
        <f>+Actuals!G225</f>
        <v>-151442</v>
      </c>
      <c r="K49" s="119">
        <f>+Actuals!H225</f>
        <v>-326811.83600000001</v>
      </c>
      <c r="L49" s="118">
        <f>+Actuals!I225</f>
        <v>85686</v>
      </c>
      <c r="M49" s="119">
        <f>+Actuals!J225</f>
        <v>184910.38800000001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8724</v>
      </c>
      <c r="S49" s="119">
        <f>+Actuals!P225</f>
        <v>18826.392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v>375</v>
      </c>
      <c r="Y49" s="119">
        <v>809.25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-2687</v>
      </c>
      <c r="E51" s="38">
        <f>SUM(G51,I51,K51,M51,O51,Q51,S51,U51,W51,Y51,AA51,AC51,AE51)</f>
        <v>-5798.5460000000003</v>
      </c>
      <c r="F51" s="60">
        <f>'TIE-OUT'!R51+RECLASS!P51</f>
        <v>0</v>
      </c>
      <c r="G51" s="38">
        <f>'TIE-OUT'!S51+RECLASS!Q51</f>
        <v>0</v>
      </c>
      <c r="H51" s="118">
        <f>+Actuals!E226</f>
        <v>-2687</v>
      </c>
      <c r="I51" s="119">
        <f>+Actuals!F226</f>
        <v>-5798.5460000000003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-7604972</v>
      </c>
      <c r="E54" s="38">
        <f>SUM(G54,I54,K54,M54,O54,Q54,S54,U54,W54,Y54,AA54,AC54,AE54)</f>
        <v>-548909.99</v>
      </c>
      <c r="F54" s="64">
        <f>'TIE-OUT'!R54+RECLASS!P54</f>
        <v>0</v>
      </c>
      <c r="G54" s="68">
        <f>'TIE-OUT'!S54+RECLASS!Q54</f>
        <v>0</v>
      </c>
      <c r="H54" s="118">
        <f>+Actuals!E227</f>
        <v>-7210765</v>
      </c>
      <c r="I54" s="119">
        <f>+Actuals!F227</f>
        <v>-87576.6</v>
      </c>
      <c r="J54" s="118">
        <f>+Actuals!G227</f>
        <v>1817205</v>
      </c>
      <c r="K54" s="119">
        <f>+Actuals!H227</f>
        <v>-39282.769999999997</v>
      </c>
      <c r="L54" s="118">
        <f>+Actuals!I227</f>
        <v>-2182684</v>
      </c>
      <c r="M54" s="119">
        <f>+Actuals!J227</f>
        <v>0</v>
      </c>
      <c r="N54" s="118">
        <f>+Actuals!K227</f>
        <v>72746</v>
      </c>
      <c r="O54" s="119">
        <f>+Actuals!L227</f>
        <v>18356.28</v>
      </c>
      <c r="P54" s="118">
        <f>+Actuals!M227</f>
        <v>0</v>
      </c>
      <c r="Q54" s="119">
        <f>+Actuals!N227</f>
        <v>0</v>
      </c>
      <c r="R54" s="118">
        <f>+Actuals!O227</f>
        <v>-101506</v>
      </c>
      <c r="S54" s="119">
        <f>+Actuals!P227</f>
        <v>-23914.6</v>
      </c>
      <c r="T54" s="118">
        <f>+Actuals!Q227</f>
        <v>0</v>
      </c>
      <c r="U54" s="119">
        <v>-416492.3</v>
      </c>
      <c r="V54" s="118">
        <f>+Actuals!S227</f>
        <v>0</v>
      </c>
      <c r="W54" s="119">
        <f>+Actuals!T227</f>
        <v>0</v>
      </c>
      <c r="X54" s="118">
        <v>32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-339324.11000000004</v>
      </c>
      <c r="F55" s="81">
        <f>'TIE-OUT'!R55+RECLASS!P55</f>
        <v>0</v>
      </c>
      <c r="G55" s="82">
        <f>'TIE-OUT'!S55+RECLASS!Q55</f>
        <v>362654</v>
      </c>
      <c r="H55" s="118">
        <f>+Actuals!E228</f>
        <v>0</v>
      </c>
      <c r="I55" s="119">
        <f>+Actuals!F228</f>
        <v>-718092.03</v>
      </c>
      <c r="J55" s="118">
        <f>+Actuals!G228</f>
        <v>0</v>
      </c>
      <c r="K55" s="119">
        <f>+Actuals!H228</f>
        <v>16113.92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-7604972</v>
      </c>
      <c r="E56" s="39">
        <f t="shared" si="15"/>
        <v>-888234.10000000009</v>
      </c>
      <c r="F56" s="61">
        <f t="shared" si="15"/>
        <v>0</v>
      </c>
      <c r="G56" s="39">
        <f t="shared" si="15"/>
        <v>362654</v>
      </c>
      <c r="H56" s="61">
        <f t="shared" si="15"/>
        <v>-7210765</v>
      </c>
      <c r="I56" s="39">
        <f t="shared" si="15"/>
        <v>-805668.63</v>
      </c>
      <c r="J56" s="61">
        <f t="shared" si="15"/>
        <v>1817205</v>
      </c>
      <c r="K56" s="39">
        <f t="shared" si="15"/>
        <v>-23168.85</v>
      </c>
      <c r="L56" s="61">
        <f t="shared" si="15"/>
        <v>-2182684</v>
      </c>
      <c r="M56" s="39">
        <f t="shared" si="15"/>
        <v>0</v>
      </c>
      <c r="N56" s="61">
        <f>SUM(N54:N55)</f>
        <v>72746</v>
      </c>
      <c r="O56" s="39">
        <f>SUM(O54:O55)</f>
        <v>18356.28</v>
      </c>
      <c r="P56" s="61">
        <f>SUM(P54:P55)</f>
        <v>0</v>
      </c>
      <c r="Q56" s="39">
        <f>SUM(Q54:Q55)</f>
        <v>0</v>
      </c>
      <c r="R56" s="61">
        <f t="shared" si="15"/>
        <v>-101506</v>
      </c>
      <c r="S56" s="39">
        <f t="shared" si="15"/>
        <v>-23914.6</v>
      </c>
      <c r="T56" s="61">
        <f t="shared" si="15"/>
        <v>0</v>
      </c>
      <c r="U56" s="39">
        <f t="shared" si="15"/>
        <v>-416492.3</v>
      </c>
      <c r="V56" s="61">
        <f t="shared" si="15"/>
        <v>0</v>
      </c>
      <c r="W56" s="39">
        <f t="shared" si="15"/>
        <v>0</v>
      </c>
      <c r="X56" s="61">
        <f t="shared" si="15"/>
        <v>32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0</v>
      </c>
      <c r="F72" s="61">
        <f t="shared" si="18"/>
        <v>0</v>
      </c>
      <c r="G72" s="39">
        <f t="shared" si="18"/>
        <v>0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85587</v>
      </c>
      <c r="F74" s="60">
        <f>'TIE-OUT'!R74+RECLASS!P74</f>
        <v>0</v>
      </c>
      <c r="G74" s="60">
        <f>'TIE-OUT'!S74+RECLASS!Q74</f>
        <v>104187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v>-18600</v>
      </c>
      <c r="P74" s="118">
        <f>+Actuals!M236</f>
        <v>0</v>
      </c>
      <c r="Q74" s="119"/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416492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215">
        <f>+Actuals!J243-416492</f>
        <v>-416492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-589772.6780000024</v>
      </c>
      <c r="F82" s="91">
        <f>F16+F24+F29+F36+F43+F45+F47+F49</f>
        <v>0</v>
      </c>
      <c r="G82" s="92">
        <f>SUM(G72:G81)+G16+G24+G29+G36+G43+G45+G47+G49+G51+G56+G61+G66</f>
        <v>759898.47</v>
      </c>
      <c r="H82" s="91">
        <f>H16+H24+H29+H36+H43+H45+H47+H49</f>
        <v>0</v>
      </c>
      <c r="I82" s="92">
        <f>SUM(I72:I81)+I16+I24+I29+I36+I43+I45+I47+I49+I51+I56+I61+I66</f>
        <v>-559151.60799999756</v>
      </c>
      <c r="J82" s="91">
        <f>J16+J24+J29+J36+J43+J45+J47+J49</f>
        <v>0</v>
      </c>
      <c r="K82" s="137">
        <f>SUM(K72:K81)+K16+K24+K29+K36+K43+K45+K47+K49+K51+K56+K61+K66</f>
        <v>190751.41999999931</v>
      </c>
      <c r="L82" s="91">
        <f>L16+L24+L29+L36+L43+L45+L47+L49</f>
        <v>0</v>
      </c>
      <c r="M82" s="92">
        <f>SUM(M72:M81)+M16+M24+M29+M36+M43+M45+M47+M49+M51+M56+M61+M66</f>
        <v>-391223.32199999993</v>
      </c>
      <c r="N82" s="91">
        <f>N16+N24+N29+N36+N43+N45+N47+N49</f>
        <v>0</v>
      </c>
      <c r="O82" s="92">
        <f>SUM(O72:O81)+O16+O24+O29+O36+O43+O45+O47+O49+O51+O56+O61+O66</f>
        <v>-243.72000000000116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-25237.207999999999</v>
      </c>
      <c r="T82" s="91">
        <f>T16+T24+T29+T36+T43+T45+T47+T49</f>
        <v>0</v>
      </c>
      <c r="U82" s="92">
        <f>SUM(U72:U81)+U16+U24+U29+U36+U43+U45+U47+U49+U51+U56+U61+U66</f>
        <v>-416492.3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-148074.41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215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-101722</v>
      </c>
      <c r="F86" s="145">
        <f>'TIE-OUT'!R86+RECLASS!P86</f>
        <v>0</v>
      </c>
      <c r="G86" s="184">
        <f>'TIE-OUT'!S86+RECLASS!Q86</f>
        <v>-101722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-402</v>
      </c>
      <c r="F87" s="146">
        <f>'TIE-OUT'!R87+RECLASS!P87</f>
        <v>0</v>
      </c>
      <c r="G87" s="185">
        <f>'TIE-OUT'!S87+RECLASS!Q87</f>
        <v>-402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-102124</v>
      </c>
      <c r="F89" s="155">
        <f t="shared" si="22"/>
        <v>0</v>
      </c>
      <c r="G89" s="155">
        <f t="shared" si="22"/>
        <v>-102124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-691896.6780000024</v>
      </c>
      <c r="F91" s="155">
        <f t="shared" si="23"/>
        <v>0</v>
      </c>
      <c r="G91" s="155">
        <f t="shared" si="23"/>
        <v>657774.47</v>
      </c>
      <c r="H91" s="155">
        <f t="shared" si="23"/>
        <v>0</v>
      </c>
      <c r="I91" s="155">
        <f t="shared" si="23"/>
        <v>-559151.60799999756</v>
      </c>
      <c r="J91" s="155">
        <f t="shared" si="23"/>
        <v>0</v>
      </c>
      <c r="K91" s="155">
        <f t="shared" si="23"/>
        <v>190751.41999999931</v>
      </c>
      <c r="L91" s="155">
        <f t="shared" si="23"/>
        <v>0</v>
      </c>
      <c r="M91" s="155">
        <f t="shared" si="23"/>
        <v>-391223.32199999993</v>
      </c>
      <c r="N91" s="155">
        <f t="shared" si="23"/>
        <v>0</v>
      </c>
      <c r="O91" s="155">
        <f t="shared" si="23"/>
        <v>-243.72000000000116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-25237.207999999999</v>
      </c>
      <c r="T91" s="155">
        <f t="shared" si="23"/>
        <v>0</v>
      </c>
      <c r="U91" s="155">
        <f t="shared" si="23"/>
        <v>-416492.3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-148074.41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Q44" activePane="bottomRight" state="frozen"/>
      <selection activeCell="X9" sqref="X9"/>
      <selection pane="topRight" activeCell="X9" sqref="X9"/>
      <selection pane="bottomLeft" activeCell="X9" sqref="X9"/>
      <selection pane="bottomRight" activeCell="Y55" sqref="Y5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23297830</v>
      </c>
      <c r="E11" s="38">
        <f>SUM(G11,I11,K11,M11,O11,Q11,S11,U11,W11,Y11,AA11,AC11,AE11)</f>
        <v>41094922.57</v>
      </c>
      <c r="F11" s="60">
        <f>'TIE-OUT'!AF11+RECLASS!AF11</f>
        <v>0</v>
      </c>
      <c r="G11" s="38">
        <f>'TIE-OUT'!AG11+RECLASS!AG11</f>
        <v>-24754232</v>
      </c>
      <c r="H11" s="118">
        <f>+Actuals!E124</f>
        <v>23096407</v>
      </c>
      <c r="I11" s="121">
        <f>+Actuals!F124</f>
        <v>65418776.439999998</v>
      </c>
      <c r="J11" s="118">
        <f>+Actuals!G124</f>
        <v>213423</v>
      </c>
      <c r="K11" s="121">
        <f>+Actuals!H124</f>
        <v>448095.63</v>
      </c>
      <c r="L11" s="118">
        <f>+Actuals!I124</f>
        <v>-7000</v>
      </c>
      <c r="M11" s="121">
        <f>+Actuals!J124</f>
        <v>-17304</v>
      </c>
      <c r="N11" s="118">
        <f>+Actuals!K124</f>
        <v>2000</v>
      </c>
      <c r="O11" s="121">
        <f>+Actuals!L124</f>
        <v>16890.5</v>
      </c>
      <c r="P11" s="118">
        <f>+Actuals!M124</f>
        <v>-7000</v>
      </c>
      <c r="Q11" s="121">
        <f>+Actuals!N124</f>
        <v>-17304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53673045</v>
      </c>
      <c r="E13" s="38">
        <f t="shared" si="0"/>
        <v>204754458</v>
      </c>
      <c r="F13" s="60">
        <f>'TIE-OUT'!AF13+RECLASS!AF13</f>
        <v>0</v>
      </c>
      <c r="G13" s="38">
        <f>'TIE-OUT'!AG13+RECLASS!AG13</f>
        <v>0</v>
      </c>
      <c r="H13" s="120">
        <f>+Actuals!E126</f>
        <v>53673045</v>
      </c>
      <c r="I13" s="121">
        <f>+Actuals!F126</f>
        <v>204754459</v>
      </c>
      <c r="J13" s="120">
        <f>+Actuals!G126</f>
        <v>-38317994</v>
      </c>
      <c r="K13" s="121">
        <f>+Actuals!H126</f>
        <v>-161443485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38317994</v>
      </c>
      <c r="S13" s="121">
        <f>+Actuals!P126</f>
        <v>161443484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10488652.91</v>
      </c>
      <c r="F15" s="81">
        <f>'TIE-OUT'!AF15+RECLASS!AF15</f>
        <v>0</v>
      </c>
      <c r="G15" s="82">
        <f>'TIE-OUT'!AG15+RECLASS!AG15</f>
        <v>6508442</v>
      </c>
      <c r="H15" s="120">
        <f>+Actuals!E128</f>
        <v>0</v>
      </c>
      <c r="I15" s="121">
        <f>+Actuals!F128</f>
        <v>14447150</v>
      </c>
      <c r="J15" s="120">
        <f>+Actuals!G128</f>
        <v>0</v>
      </c>
      <c r="K15" s="121">
        <f>+Actuals!H128</f>
        <v>-10449416</v>
      </c>
      <c r="L15" s="120">
        <f>+Actuals!I128</f>
        <v>0</v>
      </c>
      <c r="M15" s="121">
        <f>+Actuals!J128</f>
        <v>-17523.09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76970875</v>
      </c>
      <c r="E16" s="39">
        <f t="shared" si="1"/>
        <v>256338033.47999999</v>
      </c>
      <c r="F16" s="61">
        <f t="shared" si="1"/>
        <v>0</v>
      </c>
      <c r="G16" s="39">
        <f t="shared" si="1"/>
        <v>-18245790</v>
      </c>
      <c r="H16" s="61">
        <f t="shared" si="1"/>
        <v>76769452</v>
      </c>
      <c r="I16" s="39">
        <f t="shared" si="1"/>
        <v>284620385.44</v>
      </c>
      <c r="J16" s="61">
        <f t="shared" ref="J16:AO16" si="2">SUM(J11:J15)</f>
        <v>-38104571</v>
      </c>
      <c r="K16" s="39">
        <f t="shared" si="2"/>
        <v>-171444805.37</v>
      </c>
      <c r="L16" s="61">
        <f t="shared" si="2"/>
        <v>-7000</v>
      </c>
      <c r="M16" s="39">
        <f t="shared" si="2"/>
        <v>-34827.089999999997</v>
      </c>
      <c r="N16" s="61">
        <f>SUM(N11:N15)</f>
        <v>2000</v>
      </c>
      <c r="O16" s="39">
        <f>SUM(O11:O15)</f>
        <v>16890.5</v>
      </c>
      <c r="P16" s="61">
        <f>SUM(P11:P15)</f>
        <v>-7000</v>
      </c>
      <c r="Q16" s="39">
        <f>SUM(Q11:Q15)</f>
        <v>-17304</v>
      </c>
      <c r="R16" s="61">
        <f t="shared" si="2"/>
        <v>38317994</v>
      </c>
      <c r="S16" s="39">
        <f t="shared" si="2"/>
        <v>161443484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-7080372</v>
      </c>
      <c r="E19" s="38">
        <f t="shared" si="3"/>
        <v>-15480636.390000001</v>
      </c>
      <c r="F19" s="64">
        <f>'TIE-OUT'!AF19+RECLASS!AF19</f>
        <v>0</v>
      </c>
      <c r="G19" s="68">
        <f>'TIE-OUT'!AG19+RECLASS!AG19</f>
        <v>3924785</v>
      </c>
      <c r="H19" s="120">
        <f>+Actuals!E129</f>
        <v>-6914217</v>
      </c>
      <c r="I19" s="121">
        <f>+Actuals!F129</f>
        <v>-18314703.440000001</v>
      </c>
      <c r="J19" s="120">
        <f>+Actuals!G129</f>
        <v>-143367</v>
      </c>
      <c r="K19" s="121">
        <f>+Actuals!H129</f>
        <v>-748218.44</v>
      </c>
      <c r="L19" s="120">
        <f>+Actuals!I129</f>
        <v>2465</v>
      </c>
      <c r="M19" s="121">
        <f>+Actuals!J129</f>
        <v>2757.47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-25253</v>
      </c>
      <c r="S19" s="121">
        <f>+Actuals!P129</f>
        <v>-345256.98</v>
      </c>
      <c r="T19" s="120">
        <v>0</v>
      </c>
      <c r="U19" s="121"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-241521</v>
      </c>
      <c r="F20" s="60">
        <f>'TIE-OUT'!AF20+RECLASS!AF20</f>
        <v>0</v>
      </c>
      <c r="G20" s="38">
        <f>'TIE-OUT'!AG20+RECLASS!AG20</f>
        <v>-241521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-56862831</v>
      </c>
      <c r="E21" s="38">
        <f t="shared" si="3"/>
        <v>-209309089</v>
      </c>
      <c r="F21" s="60">
        <f>'TIE-OUT'!AF21+RECLASS!AF21</f>
        <v>0</v>
      </c>
      <c r="G21" s="38">
        <f>'TIE-OUT'!AG21+RECLASS!AG21</f>
        <v>0</v>
      </c>
      <c r="H21" s="120">
        <f>+Actuals!E131</f>
        <v>-56862831</v>
      </c>
      <c r="I21" s="121">
        <f>+Actuals!F131</f>
        <v>-209309087</v>
      </c>
      <c r="J21" s="120">
        <f>+Actuals!G131</f>
        <v>38286561</v>
      </c>
      <c r="K21" s="121">
        <f>+Actuals!H131</f>
        <v>161527669</v>
      </c>
      <c r="L21" s="120">
        <f>+Actuals!I131</f>
        <v>-24727</v>
      </c>
      <c r="M21" s="121">
        <f>+Actuals!J131</f>
        <v>-64116</v>
      </c>
      <c r="N21" s="120">
        <f>+Actuals!K131</f>
        <v>303</v>
      </c>
      <c r="O21" s="121">
        <f>+Actuals!L131</f>
        <v>761</v>
      </c>
      <c r="P21" s="120">
        <f>+Actuals!M131</f>
        <v>0</v>
      </c>
      <c r="Q21" s="121">
        <f>+Actuals!N131</f>
        <v>0</v>
      </c>
      <c r="R21" s="120">
        <f>+Actuals!O131</f>
        <v>-38262137</v>
      </c>
      <c r="S21" s="121">
        <f>+Actuals!P131</f>
        <v>-161464316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841148</v>
      </c>
      <c r="E23" s="38">
        <f t="shared" si="3"/>
        <v>2079318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v>841148</v>
      </c>
      <c r="U23" s="121">
        <v>2079318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-63102055</v>
      </c>
      <c r="E24" s="39">
        <f t="shared" si="4"/>
        <v>-222951928.38999999</v>
      </c>
      <c r="F24" s="61">
        <f t="shared" si="4"/>
        <v>0</v>
      </c>
      <c r="G24" s="39">
        <f t="shared" si="4"/>
        <v>3683264</v>
      </c>
      <c r="H24" s="61">
        <f t="shared" si="4"/>
        <v>-63777048</v>
      </c>
      <c r="I24" s="39">
        <f t="shared" si="4"/>
        <v>-227623790.44</v>
      </c>
      <c r="J24" s="61">
        <f t="shared" ref="J24:AO24" si="5">SUM(J19:J23)</f>
        <v>38143194</v>
      </c>
      <c r="K24" s="39">
        <f t="shared" si="5"/>
        <v>160779450.56</v>
      </c>
      <c r="L24" s="61">
        <f t="shared" si="5"/>
        <v>-22262</v>
      </c>
      <c r="M24" s="39">
        <f t="shared" si="5"/>
        <v>-61358.53</v>
      </c>
      <c r="N24" s="61">
        <f>SUM(N19:N23)</f>
        <v>303</v>
      </c>
      <c r="O24" s="39">
        <f>SUM(O19:O23)</f>
        <v>761</v>
      </c>
      <c r="P24" s="61">
        <f>SUM(P19:P23)</f>
        <v>0</v>
      </c>
      <c r="Q24" s="39">
        <f>SUM(Q19:Q23)</f>
        <v>0</v>
      </c>
      <c r="R24" s="61">
        <f t="shared" si="5"/>
        <v>-38287390</v>
      </c>
      <c r="S24" s="39">
        <f t="shared" si="5"/>
        <v>-161809572.97999999</v>
      </c>
      <c r="T24" s="61">
        <f t="shared" si="5"/>
        <v>841148</v>
      </c>
      <c r="U24" s="39">
        <f t="shared" si="5"/>
        <v>2079318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-60039</v>
      </c>
      <c r="E35" s="38">
        <f t="shared" si="8"/>
        <v>-315734</v>
      </c>
      <c r="F35" s="81">
        <f>'TIE-OUT'!AF35+RECLASS!AF35</f>
        <v>-60039</v>
      </c>
      <c r="G35" s="82">
        <f>'TIE-OUT'!AG35+RECLASS!AG35</f>
        <v>-315734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-60039</v>
      </c>
      <c r="E36" s="39">
        <f t="shared" si="9"/>
        <v>-315734</v>
      </c>
      <c r="F36" s="61">
        <f t="shared" si="9"/>
        <v>-60039</v>
      </c>
      <c r="G36" s="39">
        <f t="shared" si="9"/>
        <v>-315734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-14985641</v>
      </c>
      <c r="E40" s="38">
        <f t="shared" si="11"/>
        <v>-11083245.01</v>
      </c>
      <c r="F40" s="60">
        <f>'TIE-OUT'!AF40+RECLASS!AF40</f>
        <v>60039</v>
      </c>
      <c r="G40" s="38">
        <f>'TIE-OUT'!AG40+RECLASS!AG40</f>
        <v>25122846</v>
      </c>
      <c r="H40" s="120">
        <f>+Actuals!E141</f>
        <v>-15713032</v>
      </c>
      <c r="I40" s="121">
        <f>+Actuals!F141</f>
        <v>-41116357.149999999</v>
      </c>
      <c r="J40" s="120">
        <f>+Actuals!G141</f>
        <v>13877</v>
      </c>
      <c r="K40" s="121">
        <f>+Actuals!H141</f>
        <v>234820.85</v>
      </c>
      <c r="L40" s="120">
        <f>+Actuals!I141</f>
        <v>-1183</v>
      </c>
      <c r="M40" s="121">
        <f>+Actuals!J141</f>
        <v>-3266.96</v>
      </c>
      <c r="N40" s="120">
        <f>+Actuals!K141</f>
        <v>-1930</v>
      </c>
      <c r="O40" s="121">
        <f>+Actuals!L141</f>
        <v>-5280.72</v>
      </c>
      <c r="P40" s="120">
        <f>+Actuals!M141</f>
        <v>656588</v>
      </c>
      <c r="Q40" s="121">
        <f>+Actuals!N141</f>
        <v>4683993.24</v>
      </c>
      <c r="R40" s="120">
        <f>+Actuals!O141</f>
        <v>0</v>
      </c>
      <c r="S40" s="121">
        <f>+Actuals!P141</f>
        <v>-0.27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-14985641</v>
      </c>
      <c r="E42" s="39">
        <f t="shared" si="12"/>
        <v>-11083245.01</v>
      </c>
      <c r="F42" s="61">
        <f t="shared" si="12"/>
        <v>60039</v>
      </c>
      <c r="G42" s="39">
        <f t="shared" si="12"/>
        <v>25122846</v>
      </c>
      <c r="H42" s="61">
        <f t="shared" si="12"/>
        <v>-15713032</v>
      </c>
      <c r="I42" s="39">
        <f t="shared" si="12"/>
        <v>-41116357.149999999</v>
      </c>
      <c r="J42" s="61">
        <f t="shared" ref="J42:AO42" si="13">SUM(J40:J41)</f>
        <v>13877</v>
      </c>
      <c r="K42" s="39">
        <f t="shared" si="13"/>
        <v>234820.85</v>
      </c>
      <c r="L42" s="61">
        <f t="shared" si="13"/>
        <v>-1183</v>
      </c>
      <c r="M42" s="39">
        <f t="shared" si="13"/>
        <v>-3266.96</v>
      </c>
      <c r="N42" s="61">
        <f>SUM(N40:N41)</f>
        <v>-1930</v>
      </c>
      <c r="O42" s="39">
        <f>SUM(O40:O41)</f>
        <v>-5280.72</v>
      </c>
      <c r="P42" s="61">
        <f>SUM(P40:P41)</f>
        <v>656588</v>
      </c>
      <c r="Q42" s="39">
        <f>SUM(Q40:Q41)</f>
        <v>4683993.24</v>
      </c>
      <c r="R42" s="61">
        <f t="shared" si="13"/>
        <v>0</v>
      </c>
      <c r="S42" s="39">
        <f t="shared" si="13"/>
        <v>-0.27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-14985641</v>
      </c>
      <c r="E43" s="39">
        <f t="shared" si="14"/>
        <v>-11083245.01</v>
      </c>
      <c r="F43" s="61">
        <f t="shared" si="14"/>
        <v>60039</v>
      </c>
      <c r="G43" s="39">
        <f t="shared" si="14"/>
        <v>25122846</v>
      </c>
      <c r="H43" s="61">
        <f t="shared" si="14"/>
        <v>-15713032</v>
      </c>
      <c r="I43" s="39">
        <f t="shared" si="14"/>
        <v>-41116357.149999999</v>
      </c>
      <c r="J43" s="61">
        <f t="shared" ref="J43:AO43" si="15">J42+J39</f>
        <v>13877</v>
      </c>
      <c r="K43" s="39">
        <f t="shared" si="15"/>
        <v>234820.85</v>
      </c>
      <c r="L43" s="61">
        <f t="shared" si="15"/>
        <v>-1183</v>
      </c>
      <c r="M43" s="39">
        <f t="shared" si="15"/>
        <v>-3266.96</v>
      </c>
      <c r="N43" s="61">
        <f>N42+N39</f>
        <v>-1930</v>
      </c>
      <c r="O43" s="39">
        <f>O42+O39</f>
        <v>-5280.72</v>
      </c>
      <c r="P43" s="61">
        <f>P42+P39</f>
        <v>656588</v>
      </c>
      <c r="Q43" s="39">
        <f>Q42+Q39</f>
        <v>4683993.24</v>
      </c>
      <c r="R43" s="61">
        <f t="shared" si="15"/>
        <v>0</v>
      </c>
      <c r="S43" s="39">
        <f t="shared" si="15"/>
        <v>-0.27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1176860</v>
      </c>
      <c r="E49" s="38">
        <f>SUM(G49,I49,K49,M49,O49,Q49,S49,U49,W49,Y49,AA49,AC49,AE49)</f>
        <v>2909197.9159999993</v>
      </c>
      <c r="F49" s="60">
        <f>'TIE-OUT'!AF49+RECLASS!AF49</f>
        <v>0</v>
      </c>
      <c r="G49" s="38">
        <f>'TIE-OUT'!AG49+RECLASS!AG49</f>
        <v>0</v>
      </c>
      <c r="H49" s="120">
        <f>+Actuals!E145</f>
        <v>2720628</v>
      </c>
      <c r="I49" s="121">
        <f>+Actuals!F145</f>
        <v>6725392.4160000002</v>
      </c>
      <c r="J49" s="120">
        <f>+Actuals!G145</f>
        <v>-52500</v>
      </c>
      <c r="K49" s="121">
        <f>+Actuals!H145</f>
        <v>-129780</v>
      </c>
      <c r="L49" s="120">
        <f>+Actuals!I145</f>
        <v>30445</v>
      </c>
      <c r="M49" s="121">
        <f>+Actuals!J145</f>
        <v>75260.039999999994</v>
      </c>
      <c r="N49" s="120">
        <f>+Actuals!K145</f>
        <v>-373</v>
      </c>
      <c r="O49" s="121">
        <f>+Actuals!L145</f>
        <v>-922.05600000000004</v>
      </c>
      <c r="P49" s="120">
        <f>+Actuals!M145</f>
        <v>-649588</v>
      </c>
      <c r="Q49" s="121">
        <f>+Actuals!N145</f>
        <v>-1605781.5360000001</v>
      </c>
      <c r="R49" s="120">
        <f>+Actuals!O145</f>
        <v>-30604</v>
      </c>
      <c r="S49" s="121">
        <f>+Actuals!P145</f>
        <v>-75653.088000000003</v>
      </c>
      <c r="T49" s="120">
        <v>-841148</v>
      </c>
      <c r="U49" s="121">
        <v>-2079317.86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-841148</v>
      </c>
      <c r="E51" s="38">
        <f>SUM(G51,I51,K51,M51,O51,Q51,S51,U51,W51,Y51,AA51,AC51,AE51)</f>
        <v>-2079317.8540000001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732012</v>
      </c>
      <c r="O51" s="121">
        <f>+Actuals!L146</f>
        <v>1809533.6640000001</v>
      </c>
      <c r="P51" s="120">
        <f>+Actuals!M146</f>
        <v>-1464024</v>
      </c>
      <c r="Q51" s="121">
        <f>+Actuals!N146</f>
        <v>-3619067.3280000002</v>
      </c>
      <c r="R51" s="120">
        <f>+Actuals!O146</f>
        <v>0</v>
      </c>
      <c r="S51" s="121">
        <f>+Actuals!P146</f>
        <v>0</v>
      </c>
      <c r="T51" s="120">
        <v>-109136</v>
      </c>
      <c r="U51" s="121">
        <v>-269784.19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-31615048</v>
      </c>
      <c r="E54" s="38">
        <f>SUM(G54,I54,K54,M54,O54,Q54,S54,U54,W54,Y54,AA54,AC54,AE54)</f>
        <v>-1290141.0499999996</v>
      </c>
      <c r="F54" s="64">
        <f>'TIE-OUT'!AF54+RECLASS!AF54</f>
        <v>0</v>
      </c>
      <c r="G54" s="68">
        <f>'TIE-OUT'!AG54+RECLASS!AG54</f>
        <v>-57250</v>
      </c>
      <c r="H54" s="120">
        <f>+Actuals!E147</f>
        <v>-29851311</v>
      </c>
      <c r="I54" s="121">
        <f>+Actuals!F147</f>
        <v>-1140474.8999999999</v>
      </c>
      <c r="J54" s="120">
        <f>+Actuals!G147</f>
        <v>-1649603</v>
      </c>
      <c r="K54" s="121">
        <f>+Actuals!H147</f>
        <v>-92298.69</v>
      </c>
      <c r="L54" s="120">
        <f>+Actuals!I147</f>
        <v>4524</v>
      </c>
      <c r="M54" s="121">
        <f>+Actuals!J147</f>
        <v>5834.12</v>
      </c>
      <c r="N54" s="120">
        <f>+Actuals!K147</f>
        <v>-6508</v>
      </c>
      <c r="O54" s="121">
        <f>+Actuals!L147</f>
        <v>-412.17</v>
      </c>
      <c r="P54" s="120">
        <f>+Actuals!M147</f>
        <v>-112150</v>
      </c>
      <c r="Q54" s="121">
        <f>+Actuals!N147</f>
        <v>-5562.64</v>
      </c>
      <c r="R54" s="120">
        <f>+Actuals!O147</f>
        <v>0</v>
      </c>
      <c r="S54" s="121">
        <f>+Actuals!P147</f>
        <v>-0.01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v>-0.01</v>
      </c>
      <c r="X54" s="120">
        <f>+Actuals!U147</f>
        <v>0</v>
      </c>
      <c r="Y54" s="121">
        <v>23.25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-10476793.15</v>
      </c>
      <c r="F55" s="81">
        <f>'TIE-OUT'!AF55+RECLASS!AF55</f>
        <v>0</v>
      </c>
      <c r="G55" s="82">
        <f>'TIE-OUT'!AG55+RECLASS!AG55</f>
        <v>-37782</v>
      </c>
      <c r="H55" s="120">
        <f>+Actuals!E148</f>
        <v>0</v>
      </c>
      <c r="I55" s="121">
        <f>+Actuals!F148</f>
        <v>-10481852.52</v>
      </c>
      <c r="J55" s="120">
        <f>+Actuals!G148</f>
        <v>0</v>
      </c>
      <c r="K55" s="121">
        <f>+Actuals!H148</f>
        <v>86576.37</v>
      </c>
      <c r="L55" s="120">
        <f>+Actuals!I148</f>
        <v>0</v>
      </c>
      <c r="M55" s="215">
        <f>+Actuals!J148-43735</f>
        <v>-43735</v>
      </c>
      <c r="N55" s="120">
        <f>+Actuals!K148</f>
        <v>0</v>
      </c>
      <c r="O55" s="121"/>
      <c r="P55" s="120">
        <f>+Actuals!M148</f>
        <v>0</v>
      </c>
      <c r="Q55" s="121"/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-31615048</v>
      </c>
      <c r="E56" s="39">
        <f t="shared" si="16"/>
        <v>-11766934.199999999</v>
      </c>
      <c r="F56" s="61">
        <f t="shared" si="16"/>
        <v>0</v>
      </c>
      <c r="G56" s="39">
        <f t="shared" si="16"/>
        <v>-95032</v>
      </c>
      <c r="H56" s="61">
        <f t="shared" si="16"/>
        <v>-29851311</v>
      </c>
      <c r="I56" s="39">
        <f t="shared" si="16"/>
        <v>-11622327.42</v>
      </c>
      <c r="J56" s="61">
        <f t="shared" ref="J56:AO56" si="17">SUM(J54:J55)</f>
        <v>-1649603</v>
      </c>
      <c r="K56" s="39">
        <f t="shared" si="17"/>
        <v>-5722.320000000007</v>
      </c>
      <c r="L56" s="61">
        <f t="shared" si="17"/>
        <v>4524</v>
      </c>
      <c r="M56" s="39">
        <f t="shared" si="17"/>
        <v>-37900.879999999997</v>
      </c>
      <c r="N56" s="61">
        <f>SUM(N54:N55)</f>
        <v>-6508</v>
      </c>
      <c r="O56" s="39">
        <f>SUM(O54:O55)</f>
        <v>-412.17</v>
      </c>
      <c r="P56" s="61">
        <f>SUM(P54:P55)</f>
        <v>-112150</v>
      </c>
      <c r="Q56" s="39">
        <f>SUM(Q54:Q55)</f>
        <v>-5562.64</v>
      </c>
      <c r="R56" s="61">
        <f t="shared" si="17"/>
        <v>0</v>
      </c>
      <c r="S56" s="39">
        <f t="shared" si="17"/>
        <v>-0.01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-0.01</v>
      </c>
      <c r="X56" s="61">
        <f t="shared" si="17"/>
        <v>0</v>
      </c>
      <c r="Y56" s="39">
        <f t="shared" si="17"/>
        <v>23.25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-413011</v>
      </c>
      <c r="F70" s="64">
        <f>'TIE-OUT'!AF70+RECLASS!AF70</f>
        <v>0</v>
      </c>
      <c r="G70" s="68">
        <f>'TIE-OUT'!AG70+RECLASS!AG70</f>
        <v>-413011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'TIE-OUT'!AF71+RECLASS!AF71</f>
        <v>0</v>
      </c>
      <c r="G71" s="82">
        <f>'TIE-OUT'!AG71+RECLASS!AG71</f>
        <v>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-413011</v>
      </c>
      <c r="F72" s="61">
        <f t="shared" si="22"/>
        <v>0</v>
      </c>
      <c r="G72" s="39">
        <f t="shared" si="22"/>
        <v>-413011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-6638313.71</v>
      </c>
      <c r="F74" s="60">
        <f>'TIE-OUT'!AF74+RECLASS!AF74</f>
        <v>0</v>
      </c>
      <c r="G74" s="60">
        <f>'TIE-OUT'!AG74+RECLASS!AG74</f>
        <v>-6638313.71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3998747.2319999952</v>
      </c>
      <c r="F82" s="91">
        <f>F16+F24+F29+F36+F43+F45+F47+F49</f>
        <v>0</v>
      </c>
      <c r="G82" s="92">
        <f>SUM(G72:G81)+G16+G24+G29+G36+G43+G45+G47+G49+G51+G56+G61+G66</f>
        <v>3098229.2899999991</v>
      </c>
      <c r="H82" s="91">
        <f>H16+H24+H29+H36+H43+H45+H47+H49</f>
        <v>0</v>
      </c>
      <c r="I82" s="92">
        <f>SUM(I72:I81)+I16+I24+I29+I36+I43+I45+I47+I49+I51+I56+I61+I66</f>
        <v>10983302.846000003</v>
      </c>
      <c r="J82" s="91">
        <f>J16+J24+J29+J36+J43+J45+J47+J49</f>
        <v>0</v>
      </c>
      <c r="K82" s="137">
        <f>SUM(K72:K81)+K16+K24+K29+K36+K43+K45+K47+K49+K51+K56+K61+K66</f>
        <v>-10566036.280000003</v>
      </c>
      <c r="L82" s="91">
        <f>L16+L24+L29+L36+L43+L45+L47+L49</f>
        <v>0</v>
      </c>
      <c r="M82" s="92">
        <f>SUM(M72:M81)+M16+M24+M29+M36+M43+M45+M47+M49+M51+M56+M61+M66</f>
        <v>-62093.420000000006</v>
      </c>
      <c r="N82" s="91">
        <f>N16+N24+N29+N36+N43+N45+N47+N49</f>
        <v>0</v>
      </c>
      <c r="O82" s="92">
        <f>SUM(O72:O81)+O16+O24+O29+O36+O43+O45+O47+O49+O51+O56+O61+O66</f>
        <v>1820570.2180000001</v>
      </c>
      <c r="P82" s="91">
        <f>P16+P24+P29+P36+P43+P45+P47+P49</f>
        <v>0</v>
      </c>
      <c r="Q82" s="92">
        <f>SUM(Q72:Q81)+Q16+Q24+Q29+Q36+Q43+Q45+Q47+Q49+Q51+Q56+Q61+Q66</f>
        <v>-563722.26400000032</v>
      </c>
      <c r="R82" s="91">
        <f>R16+R24+R29+R36+R43+R45+R47+R49</f>
        <v>0</v>
      </c>
      <c r="S82" s="92">
        <f>SUM(S72:S81)+S16+S24+S29+S36+S43+S45+S47+S49+S51+S56+S61+S66</f>
        <v>-441742.34799998929</v>
      </c>
      <c r="T82" s="91">
        <f>T16+T24+T29+T36+T43+T45+T47+T49</f>
        <v>0</v>
      </c>
      <c r="U82" s="92">
        <f>SUM(U72:U81)+U16+U24+U29+U36+U43+U45+U47+U49+U51+U56+U61+U66</f>
        <v>-269784.0500000001</v>
      </c>
      <c r="V82" s="91">
        <f>V16+V24+V29+V36+V43+V45+V47+V49</f>
        <v>0</v>
      </c>
      <c r="W82" s="92">
        <f>SUM(W72:W81)+W16+W24+W29+W36+W43+W45+W47+W49+W51+W56+W61+W66</f>
        <v>-0.01</v>
      </c>
      <c r="X82" s="91">
        <f>X16+X24+X29+X36+X43+X45+X47+X49</f>
        <v>0</v>
      </c>
      <c r="Y82" s="92">
        <f>SUM(Y72:Y81)+Y16+Y24+Y29+Y36+Y43+Y45+Y47+Y49+Y51+Y56+Y61+Y66</f>
        <v>23.25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Q57" activePane="bottomRight" state="frozen"/>
      <selection activeCell="X9" sqref="X9"/>
      <selection pane="topRight" activeCell="X9" sqref="X9"/>
      <selection pane="bottomLeft" activeCell="X9" sqref="X9"/>
      <selection pane="bottomRight" activeCell="X9" sqref="X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208</v>
      </c>
      <c r="D13" s="60">
        <f t="shared" si="0"/>
        <v>0</v>
      </c>
      <c r="E13" s="38">
        <f t="shared" si="0"/>
        <v>6311710</v>
      </c>
      <c r="F13" s="60">
        <f>'TIE-OUT'!Z13+RECLASS!X13</f>
        <v>0</v>
      </c>
      <c r="G13" s="38">
        <f>'TIE-OUT'!AA13+RECLASS!Y13</f>
        <v>0</v>
      </c>
      <c r="H13" s="60"/>
      <c r="I13" s="38"/>
      <c r="J13" s="60"/>
      <c r="K13" s="213">
        <v>0</v>
      </c>
      <c r="L13" s="60"/>
      <c r="M13" s="38">
        <v>6032630</v>
      </c>
      <c r="N13" s="60"/>
      <c r="O13" s="38"/>
      <c r="P13" s="60"/>
      <c r="Q13" s="38"/>
      <c r="R13" s="60"/>
      <c r="S13" s="38">
        <v>246293</v>
      </c>
      <c r="T13" s="60"/>
      <c r="U13" s="38">
        <v>32787</v>
      </c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6311710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4">
        <f t="shared" si="1"/>
        <v>0</v>
      </c>
      <c r="L16" s="61">
        <f t="shared" si="1"/>
        <v>0</v>
      </c>
      <c r="M16" s="39">
        <f t="shared" si="1"/>
        <v>6032630</v>
      </c>
      <c r="N16" s="61">
        <f>SUM(N11:N15)</f>
        <v>0</v>
      </c>
      <c r="O16" s="39">
        <f>SUM(O11:O15)</f>
        <v>0</v>
      </c>
      <c r="P16" s="61">
        <f>SUM(P11:P15)</f>
        <v>0</v>
      </c>
      <c r="Q16" s="39">
        <f>SUM(Q11:Q15)</f>
        <v>0</v>
      </c>
      <c r="R16" s="61">
        <f t="shared" si="1"/>
        <v>0</v>
      </c>
      <c r="S16" s="39">
        <f t="shared" si="1"/>
        <v>246293</v>
      </c>
      <c r="T16" s="61">
        <f t="shared" si="1"/>
        <v>0</v>
      </c>
      <c r="U16" s="39">
        <f t="shared" si="1"/>
        <v>32787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291950</v>
      </c>
      <c r="F41" s="81">
        <f>'TIE-OUT'!Z41+RECLASS!X41</f>
        <v>0</v>
      </c>
      <c r="G41" s="82">
        <f>'TIE-OUT'!AA41+RECLASS!Y41</f>
        <v>291950</v>
      </c>
      <c r="H41" s="60"/>
      <c r="I41" s="38"/>
      <c r="J41" s="60"/>
      <c r="K41" s="213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291950</v>
      </c>
      <c r="F42" s="61">
        <f t="shared" si="8"/>
        <v>0</v>
      </c>
      <c r="G42" s="39">
        <f t="shared" si="8"/>
        <v>291950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4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291950</v>
      </c>
      <c r="F43" s="61">
        <f t="shared" si="9"/>
        <v>0</v>
      </c>
      <c r="G43" s="39">
        <f t="shared" si="9"/>
        <v>291950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4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-34336.910000000003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-34336.910000000003</v>
      </c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209</v>
      </c>
      <c r="D60" s="60">
        <f>SUM(F60,H60,J60,L60,N60,P60,R60,T60,V60,X60,Z60,AB60,AD60)</f>
        <v>0</v>
      </c>
      <c r="E60" s="38">
        <f>SUM(G60,I60,K60,M60,O60,Q60,S60,U60,W60,Y60,AA60,AC60,AE60)</f>
        <v>96833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5">
        <v>96833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96833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210</v>
      </c>
      <c r="D70" s="60">
        <f>SUM(F70,H70,J70,L70,N70,P70,R70,T70,V70,X70,Z70,AB70,AD70)</f>
        <v>0</v>
      </c>
      <c r="E70" s="38">
        <f>SUM(G70,I70,K70,M70,O70,Q70,S70,U70,W70,Y70,AA70,AC70,AE70)</f>
        <v>-3011096</v>
      </c>
      <c r="F70" s="64">
        <f>'TIE-OUT'!Z70+RECLASS!X70</f>
        <v>0</v>
      </c>
      <c r="G70" s="68">
        <f>'TIE-OUT'!AA70+RECLASS!Y70</f>
        <v>207406</v>
      </c>
      <c r="H70" s="60"/>
      <c r="I70" s="38">
        <v>0</v>
      </c>
      <c r="J70" s="60"/>
      <c r="K70" s="215">
        <v>0</v>
      </c>
      <c r="L70" s="60"/>
      <c r="M70" s="38">
        <v>-3218502</v>
      </c>
      <c r="N70" s="60"/>
      <c r="O70" s="38"/>
      <c r="P70" s="60"/>
      <c r="Q70" s="38"/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-1085483</v>
      </c>
      <c r="F71" s="81">
        <f>'TIE-OUT'!Z71+RECLASS!X71</f>
        <v>0</v>
      </c>
      <c r="G71" s="82">
        <f>'TIE-OUT'!AA71+RECLASS!Y71</f>
        <v>-1085483</v>
      </c>
      <c r="H71" s="60"/>
      <c r="I71" s="38"/>
      <c r="J71" s="60"/>
      <c r="K71" s="213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-4096579</v>
      </c>
      <c r="F72" s="61">
        <f t="shared" si="13"/>
        <v>0</v>
      </c>
      <c r="G72" s="39">
        <f t="shared" si="13"/>
        <v>-878077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214">
        <f t="shared" si="13"/>
        <v>0</v>
      </c>
      <c r="L72" s="61">
        <f t="shared" si="13"/>
        <v>0</v>
      </c>
      <c r="M72" s="39">
        <f t="shared" si="13"/>
        <v>-3218502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-541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3">
        <v>-281</v>
      </c>
      <c r="L73" s="60"/>
      <c r="M73" s="38"/>
      <c r="N73" s="60"/>
      <c r="O73" s="38"/>
      <c r="P73" s="60"/>
      <c r="Q73" s="38">
        <v>-260</v>
      </c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1656275.2999999998</v>
      </c>
      <c r="F74" s="60">
        <f>'TIE-OUT'!Z74+RECLASS!X74</f>
        <v>0</v>
      </c>
      <c r="G74" s="60">
        <f>'TIE-OUT'!AA74+RECLASS!Y74</f>
        <v>1656275.2999999998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-9625</v>
      </c>
      <c r="F76" s="60">
        <f>'TIE-OUT'!Z76+RECLASS!X76</f>
        <v>0</v>
      </c>
      <c r="G76" s="60">
        <f>'TIE-OUT'!AA76+RECLASS!Y76</f>
        <v>-9625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211</v>
      </c>
      <c r="D78" s="60">
        <f t="shared" si="14"/>
        <v>0</v>
      </c>
      <c r="E78" s="38">
        <f t="shared" si="14"/>
        <v>820000</v>
      </c>
      <c r="F78" s="60">
        <f>'TIE-OUT'!Z78+RECLASS!X78</f>
        <v>0</v>
      </c>
      <c r="G78" s="60">
        <f>'TIE-OUT'!AA78+RECLASS!Y78</f>
        <v>820000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212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213</v>
      </c>
      <c r="D80" s="60">
        <f t="shared" si="14"/>
        <v>0</v>
      </c>
      <c r="E80" s="38">
        <f t="shared" si="14"/>
        <v>-98257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-89431</v>
      </c>
      <c r="L80" s="60"/>
      <c r="M80" s="38">
        <v>-8826</v>
      </c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4470851.3899999997</v>
      </c>
      <c r="F82" s="91">
        <f>F16+F24+F29+F36+F43+F45+F47+F49</f>
        <v>0</v>
      </c>
      <c r="G82" s="92">
        <f>SUM(G72:G81)+G16+G24+G29+G36+G43+G45+G47+G49+G51+G56+G61+G66</f>
        <v>1880523.2999999998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-459457</v>
      </c>
      <c r="L82" s="91">
        <f>L16+L24+L29+L36+L43+L45+L47+L49</f>
        <v>0</v>
      </c>
      <c r="M82" s="92">
        <f>SUM(M72:M81)+M16+M24+M29+M36+M43+M45+M47+M49+M51+M56+M61+M66</f>
        <v>2805302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-260</v>
      </c>
      <c r="R82" s="91">
        <f>R16+R24+R29+R36+R43+R45+R47+R49</f>
        <v>0</v>
      </c>
      <c r="S82" s="92">
        <f>SUM(S72:S81)+S16+S24+S29+S36+S43+S45+S47+S49+S51+S56+S61+S66</f>
        <v>246293</v>
      </c>
      <c r="T82" s="91">
        <f>T16+T24+T29+T36+T43+T45+T47+T49</f>
        <v>0</v>
      </c>
      <c r="U82" s="92">
        <f>SUM(U72:U81)+U16+U24+U29+U36+U43+U45+U47+U49+U51+U56+U61+U66</f>
        <v>32787</v>
      </c>
      <c r="V82" s="91">
        <f>V16+V24+V29+V36+V43+V45+V47+V49</f>
        <v>0</v>
      </c>
      <c r="W82" s="92">
        <f>SUM(W72:W81)+W16+W24+W29+W36+W43+W45+W47+W49+W51+W56+W61+W66</f>
        <v>-34336.910000000003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-4096579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4" orientation="landscape" horizontalDpi="300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N10" activePane="bottomRight" state="frozen"/>
      <selection activeCell="X9" sqref="X9"/>
      <selection pane="topRight" activeCell="X9" sqref="X9"/>
      <selection pane="bottomLeft" activeCell="X9" sqref="X9"/>
      <selection pane="bottomRight" activeCell="X9" sqref="X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5" width="15.44140625" customWidth="1"/>
    <col min="26" max="41" width="15.44140625" hidden="1" customWidth="1"/>
    <col min="42" max="44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">
        <v>222</v>
      </c>
      <c r="Q8" s="27"/>
      <c r="R8" s="26" t="s">
        <v>223</v>
      </c>
      <c r="S8" s="27"/>
      <c r="T8" s="26" t="s">
        <v>224</v>
      </c>
      <c r="U8" s="27"/>
      <c r="V8" s="26" t="s">
        <v>225</v>
      </c>
      <c r="W8" s="27"/>
      <c r="X8" s="26" t="s">
        <v>226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38378987</v>
      </c>
      <c r="E11" s="38">
        <f>SUM(G11,I11,K11,M11,O11,Q11,S11,U11,W11,Y11,AA11,AC11,AE11)</f>
        <v>88075060.319999993</v>
      </c>
      <c r="F11" s="60">
        <f>'TIE-OUT'!AB11+RECLASS!Z11</f>
        <v>0</v>
      </c>
      <c r="G11" s="38">
        <f>'TIE-OUT'!AC11+RECLASS!AA11</f>
        <v>0</v>
      </c>
      <c r="H11" s="118">
        <f>+Actuals!E284</f>
        <v>37751028</v>
      </c>
      <c r="I11" s="119">
        <f>+Actuals!F284</f>
        <v>86842907.959999993</v>
      </c>
      <c r="J11" s="118">
        <f>+Actuals!G284</f>
        <v>0</v>
      </c>
      <c r="K11" s="119">
        <f>+Actuals!H284</f>
        <v>-243551.48</v>
      </c>
      <c r="L11" s="118">
        <f>+Actuals!I284</f>
        <v>0</v>
      </c>
      <c r="M11" s="119">
        <f>+Actuals!J284</f>
        <v>0</v>
      </c>
      <c r="N11" s="118">
        <f>+Actuals!K284</f>
        <v>627959</v>
      </c>
      <c r="O11" s="119">
        <f>+Actuals!L284</f>
        <v>1475703.84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5872128.6699999999</v>
      </c>
      <c r="F12" s="60">
        <f>'TIE-OUT'!AB12+RECLASS!Z12</f>
        <v>0</v>
      </c>
      <c r="G12" s="38">
        <f>'TIE-OUT'!AC12+RECLASS!AA12</f>
        <v>5720848.6699999999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v>151280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3709833</v>
      </c>
      <c r="E13" s="38">
        <f t="shared" si="0"/>
        <v>9157794</v>
      </c>
      <c r="F13" s="60">
        <f>'TIE-OUT'!AB13+RECLASS!Z13</f>
        <v>0</v>
      </c>
      <c r="G13" s="38">
        <f>'TIE-OUT'!AC13+RECLASS!AA13</f>
        <v>0</v>
      </c>
      <c r="H13" s="118">
        <f>+Actuals!E286</f>
        <v>3709833</v>
      </c>
      <c r="I13" s="119">
        <f>+Actuals!F286</f>
        <v>9157794</v>
      </c>
      <c r="J13" s="118">
        <f>+Actuals!G286</f>
        <v>-2009725</v>
      </c>
      <c r="K13" s="119">
        <f>+Actuals!H286</f>
        <v>-4881944</v>
      </c>
      <c r="L13" s="118">
        <f>+Actuals!I286</f>
        <v>0</v>
      </c>
      <c r="M13" s="119">
        <f>+Actuals!J286</f>
        <v>0</v>
      </c>
      <c r="N13" s="118">
        <f>+Actuals!K286</f>
        <v>545</v>
      </c>
      <c r="O13" s="119">
        <f>+Actuals!L286</f>
        <v>3564</v>
      </c>
      <c r="P13" s="118">
        <f>+Actuals!M286</f>
        <v>0</v>
      </c>
      <c r="Q13" s="119">
        <f>+Actuals!N286</f>
        <v>0</v>
      </c>
      <c r="R13" s="118">
        <f>+Actuals!O286</f>
        <v>2009180</v>
      </c>
      <c r="S13" s="119">
        <f>+Actuals!P286</f>
        <v>4878380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42088820</v>
      </c>
      <c r="E16" s="39">
        <f t="shared" si="1"/>
        <v>103104982.98999999</v>
      </c>
      <c r="F16" s="61">
        <f t="shared" si="1"/>
        <v>0</v>
      </c>
      <c r="G16" s="39">
        <f t="shared" si="1"/>
        <v>5720848.6699999999</v>
      </c>
      <c r="H16" s="61">
        <f t="shared" si="1"/>
        <v>41460861</v>
      </c>
      <c r="I16" s="39">
        <f t="shared" si="1"/>
        <v>96000701.959999993</v>
      </c>
      <c r="J16" s="61">
        <f t="shared" si="1"/>
        <v>-2009725</v>
      </c>
      <c r="K16" s="39">
        <f t="shared" si="1"/>
        <v>-5125495.4800000004</v>
      </c>
      <c r="L16" s="61">
        <f t="shared" si="1"/>
        <v>0</v>
      </c>
      <c r="M16" s="39">
        <f t="shared" si="1"/>
        <v>0</v>
      </c>
      <c r="N16" s="61">
        <f>SUM(N11:N15)</f>
        <v>628504</v>
      </c>
      <c r="O16" s="39">
        <f>SUM(O11:O15)</f>
        <v>1479267.84</v>
      </c>
      <c r="P16" s="61">
        <f>SUM(P11:P15)</f>
        <v>0</v>
      </c>
      <c r="Q16" s="39">
        <f>SUM(Q11:Q15)</f>
        <v>0</v>
      </c>
      <c r="R16" s="61">
        <f t="shared" si="1"/>
        <v>2009180</v>
      </c>
      <c r="S16" s="39">
        <f t="shared" si="1"/>
        <v>4878380</v>
      </c>
      <c r="T16" s="61">
        <f t="shared" si="1"/>
        <v>0</v>
      </c>
      <c r="U16" s="39">
        <f t="shared" si="1"/>
        <v>151280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-41717681</v>
      </c>
      <c r="E19" s="38">
        <f t="shared" si="2"/>
        <v>-97143601.280000016</v>
      </c>
      <c r="F19" s="64">
        <f>'TIE-OUT'!AB19+RECLASS!Z19</f>
        <v>0</v>
      </c>
      <c r="G19" s="68">
        <f>'TIE-OUT'!AC19+RECLASS!AA19</f>
        <v>0</v>
      </c>
      <c r="H19" s="118">
        <f>+Actuals!E289</f>
        <v>-41086985</v>
      </c>
      <c r="I19" s="119">
        <f>+Actuals!F289</f>
        <v>-95951544.220000014</v>
      </c>
      <c r="J19" s="118">
        <f>+Actuals!G289</f>
        <v>-2729</v>
      </c>
      <c r="K19" s="119">
        <f>+Actuals!H289</f>
        <v>283665.39</v>
      </c>
      <c r="L19" s="118">
        <f>+Actuals!I289</f>
        <v>609669</v>
      </c>
      <c r="M19" s="119">
        <f>+Actuals!J289</f>
        <v>1426625</v>
      </c>
      <c r="N19" s="118">
        <f>+Actuals!K289</f>
        <v>-1237636</v>
      </c>
      <c r="O19" s="119">
        <f>+Actuals!L289</f>
        <v>-2902347.45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v>0</v>
      </c>
      <c r="U19" s="119"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-4881100.3499999996</v>
      </c>
      <c r="F20" s="60">
        <f>'TIE-OUT'!AB20+RECLASS!Z20</f>
        <v>0</v>
      </c>
      <c r="G20" s="38">
        <f>'TIE-OUT'!AC20+RECLASS!AA20</f>
        <v>-4881100.3499999996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-414182</v>
      </c>
      <c r="E21" s="38">
        <f t="shared" si="2"/>
        <v>-997711</v>
      </c>
      <c r="F21" s="60">
        <f>'TIE-OUT'!AB21+RECLASS!Z21</f>
        <v>0</v>
      </c>
      <c r="G21" s="38">
        <f>'TIE-OUT'!AC21+RECLASS!AA21</f>
        <v>0</v>
      </c>
      <c r="H21" s="118">
        <f>+Actuals!E291</f>
        <v>-139182</v>
      </c>
      <c r="I21" s="119">
        <f>+Actuals!F291</f>
        <v>-331021</v>
      </c>
      <c r="J21" s="118">
        <f>+Actuals!G291</f>
        <v>-5000</v>
      </c>
      <c r="K21" s="119">
        <f>+Actuals!H291</f>
        <v>-11400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-270000</v>
      </c>
      <c r="S21" s="119">
        <f>+Actuals!P291</f>
        <v>-655290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0.39999999999417923</v>
      </c>
      <c r="F23" s="81">
        <f>'TIE-OUT'!AB23+RECLASS!Z23</f>
        <v>0</v>
      </c>
      <c r="G23" s="82">
        <f>'TIE-OUT'!AC23+RECLASS!AA23</f>
        <v>0</v>
      </c>
      <c r="H23" s="118">
        <f>+Actuals!E293</f>
        <v>4620</v>
      </c>
      <c r="I23" s="119">
        <f>+Actuals!F293</f>
        <v>12474</v>
      </c>
      <c r="J23" s="118">
        <f>+Actuals!G293</f>
        <v>60742</v>
      </c>
      <c r="K23" s="119">
        <f>+Actuals!H293</f>
        <v>164003.4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v>-65362</v>
      </c>
      <c r="U23" s="119">
        <v>-176477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-42131863</v>
      </c>
      <c r="E24" s="39">
        <f t="shared" si="3"/>
        <v>-103022412.23</v>
      </c>
      <c r="F24" s="61">
        <f t="shared" si="3"/>
        <v>0</v>
      </c>
      <c r="G24" s="39">
        <f t="shared" si="3"/>
        <v>-4881100.3499999996</v>
      </c>
      <c r="H24" s="61">
        <f t="shared" si="3"/>
        <v>-41221547</v>
      </c>
      <c r="I24" s="39">
        <f t="shared" si="3"/>
        <v>-96270091.220000014</v>
      </c>
      <c r="J24" s="61">
        <f t="shared" si="3"/>
        <v>53013</v>
      </c>
      <c r="K24" s="39">
        <f t="shared" si="3"/>
        <v>436268.79000000004</v>
      </c>
      <c r="L24" s="61">
        <f t="shared" si="3"/>
        <v>609669</v>
      </c>
      <c r="M24" s="39">
        <f t="shared" si="3"/>
        <v>1426625</v>
      </c>
      <c r="N24" s="61">
        <f>SUM(N19:N23)</f>
        <v>-1237636</v>
      </c>
      <c r="O24" s="39">
        <f>SUM(O19:O23)</f>
        <v>-2902347.45</v>
      </c>
      <c r="P24" s="61">
        <f>SUM(P19:P23)</f>
        <v>0</v>
      </c>
      <c r="Q24" s="39">
        <f>SUM(Q19:Q23)</f>
        <v>0</v>
      </c>
      <c r="R24" s="61">
        <f t="shared" si="3"/>
        <v>-270000</v>
      </c>
      <c r="S24" s="39">
        <f t="shared" si="3"/>
        <v>-655290</v>
      </c>
      <c r="T24" s="61">
        <f t="shared" si="3"/>
        <v>-65362</v>
      </c>
      <c r="U24" s="39">
        <f t="shared" si="3"/>
        <v>-176477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823089</v>
      </c>
      <c r="E32" s="38">
        <f t="shared" si="5"/>
        <v>2222340.3000000003</v>
      </c>
      <c r="F32" s="64">
        <f>'TIE-OUT'!AB32+RECLASS!Z32</f>
        <v>0</v>
      </c>
      <c r="G32" s="68">
        <f>'TIE-OUT'!AC32+RECLASS!AA32</f>
        <v>0</v>
      </c>
      <c r="H32" s="118">
        <f>+Actuals!E296</f>
        <v>-358303</v>
      </c>
      <c r="I32" s="119">
        <f>+Actuals!F296</f>
        <v>-967418.1</v>
      </c>
      <c r="J32" s="118">
        <f>+Actuals!G296</f>
        <v>1218756</v>
      </c>
      <c r="K32" s="119">
        <f>+Actuals!H296</f>
        <v>3290641.2</v>
      </c>
      <c r="L32" s="118">
        <f>+Actuals!I296</f>
        <v>0</v>
      </c>
      <c r="M32" s="119">
        <f>+Actuals!J296</f>
        <v>0</v>
      </c>
      <c r="N32" s="118">
        <f>+Actuals!K296</f>
        <v>-3126</v>
      </c>
      <c r="O32" s="119">
        <f>+Actuals!L296</f>
        <v>-8440.2000000000007</v>
      </c>
      <c r="P32" s="118">
        <f>+Actuals!M296</f>
        <v>2581</v>
      </c>
      <c r="Q32" s="119">
        <f>+Actuals!N296</f>
        <v>6968.7</v>
      </c>
      <c r="R32" s="118">
        <f>+Actuals!O296</f>
        <v>-36819</v>
      </c>
      <c r="S32" s="119">
        <f>+Actuals!P296</f>
        <v>-99411.3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823089</v>
      </c>
      <c r="E36" s="39">
        <f t="shared" si="6"/>
        <v>2222340.3000000003</v>
      </c>
      <c r="F36" s="61">
        <f t="shared" si="6"/>
        <v>0</v>
      </c>
      <c r="G36" s="39">
        <f t="shared" si="6"/>
        <v>0</v>
      </c>
      <c r="H36" s="61">
        <f t="shared" si="6"/>
        <v>-358303</v>
      </c>
      <c r="I36" s="39">
        <f t="shared" si="6"/>
        <v>-967418.1</v>
      </c>
      <c r="J36" s="61">
        <f t="shared" si="6"/>
        <v>1218756</v>
      </c>
      <c r="K36" s="39">
        <f t="shared" si="6"/>
        <v>3290641.2</v>
      </c>
      <c r="L36" s="61">
        <f t="shared" si="6"/>
        <v>0</v>
      </c>
      <c r="M36" s="39">
        <f t="shared" si="6"/>
        <v>0</v>
      </c>
      <c r="N36" s="61">
        <f>SUM(N32:N35)</f>
        <v>-3126</v>
      </c>
      <c r="O36" s="39">
        <f>SUM(O32:O35)</f>
        <v>-8440.2000000000007</v>
      </c>
      <c r="P36" s="61">
        <f>SUM(P32:P35)</f>
        <v>2581</v>
      </c>
      <c r="Q36" s="39">
        <f>SUM(Q32:Q35)</f>
        <v>6968.7</v>
      </c>
      <c r="R36" s="61">
        <f t="shared" si="6"/>
        <v>-36819</v>
      </c>
      <c r="S36" s="39">
        <f t="shared" si="6"/>
        <v>-99411.3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-780046</v>
      </c>
      <c r="E49" s="38">
        <f>SUM(G49,I49,K49,M49,O49,Q49,S49,U49,W49,Y49,AA49,AC49,AE49)</f>
        <v>-2106124.6000000006</v>
      </c>
      <c r="F49" s="60">
        <f>'TIE-OUT'!AB49+RECLASS!Z49</f>
        <v>0</v>
      </c>
      <c r="G49" s="38">
        <f>'TIE-OUT'!AC49+RECLASS!AA49</f>
        <v>0</v>
      </c>
      <c r="H49" s="118">
        <f>+Actuals!E305</f>
        <v>118989</v>
      </c>
      <c r="I49" s="119">
        <f>+Actuals!F305</f>
        <v>321270.3</v>
      </c>
      <c r="J49" s="118">
        <f>+Actuals!G305</f>
        <v>737956</v>
      </c>
      <c r="K49" s="119">
        <f>+Actuals!H305</f>
        <v>1992481.2</v>
      </c>
      <c r="L49" s="118">
        <f>+Actuals!I305</f>
        <v>-609669</v>
      </c>
      <c r="M49" s="119">
        <f>+Actuals!J305</f>
        <v>-1646106.3</v>
      </c>
      <c r="N49" s="118">
        <f>+Actuals!K305</f>
        <v>612258</v>
      </c>
      <c r="O49" s="119">
        <f>+Actuals!L305</f>
        <v>1653096.6</v>
      </c>
      <c r="P49" s="118">
        <f>+Actuals!M305</f>
        <v>-2581</v>
      </c>
      <c r="Q49" s="119">
        <f>+Actuals!N305</f>
        <v>-6968.7</v>
      </c>
      <c r="R49" s="118">
        <f>+Actuals!O305</f>
        <v>-1702361</v>
      </c>
      <c r="S49" s="119">
        <f>+Actuals!P305</f>
        <v>-4596374.7</v>
      </c>
      <c r="T49" s="118">
        <v>65362</v>
      </c>
      <c r="U49" s="119">
        <v>176477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-0.39999999999417923</v>
      </c>
      <c r="F51" s="60">
        <f>'TIE-OUT'!AB51+RECLASS!Z51</f>
        <v>0</v>
      </c>
      <c r="G51" s="38">
        <f>'TIE-OUT'!AC51+RECLASS!AA51</f>
        <v>0</v>
      </c>
      <c r="H51" s="118">
        <f>+Actuals!E306</f>
        <v>-4620</v>
      </c>
      <c r="I51" s="119">
        <f>+Actuals!F306</f>
        <v>-12474</v>
      </c>
      <c r="J51" s="118">
        <f>+Actuals!G306</f>
        <v>-60742</v>
      </c>
      <c r="K51" s="119">
        <f>+Actuals!H306</f>
        <v>-164003.4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v>65362</v>
      </c>
      <c r="U51" s="119">
        <v>176477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-138204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-138293.92000000001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89.92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-138204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-138293.92000000001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89.92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1508208.52</v>
      </c>
      <c r="F70" s="64">
        <f>'TIE-OUT'!AB70+RECLASS!Z70</f>
        <v>0</v>
      </c>
      <c r="G70" s="68">
        <f>'TIE-OUT'!AC70+RECLASS!AA70</f>
        <v>1508208.52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-708911.52</v>
      </c>
      <c r="F71" s="81">
        <f>'TIE-OUT'!AB71+RECLASS!Z71</f>
        <v>0</v>
      </c>
      <c r="G71" s="82">
        <f>'TIE-OUT'!AC71+RECLASS!AA71</f>
        <v>-708911.52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799297</v>
      </c>
      <c r="F72" s="61">
        <f t="shared" si="13"/>
        <v>0</v>
      </c>
      <c r="G72" s="183">
        <f t="shared" si="13"/>
        <v>799297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-318309.51</v>
      </c>
      <c r="F74" s="60">
        <f>'TIE-OUT'!AB74+RECLASS!Z74</f>
        <v>0</v>
      </c>
      <c r="G74" s="60">
        <f>'TIE-OUT'!AC74+RECLASS!AA74</f>
        <v>-318309.51</v>
      </c>
      <c r="H74" s="118">
        <f>+Actuals!E316</f>
        <v>0</v>
      </c>
      <c r="I74" s="119">
        <f>+Actuals!F316</f>
        <v>0</v>
      </c>
      <c r="J74" s="118">
        <f>+Actuals!G316</f>
        <v>0</v>
      </c>
      <c r="K74" s="119">
        <f>+Actuals!H316</f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-342.73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-342.73</v>
      </c>
      <c r="J76" s="118">
        <f>+Actuals!G318</f>
        <v>0</v>
      </c>
      <c r="K76" s="119">
        <f>+Actuals!H318</f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541226.81999999552</v>
      </c>
      <c r="F82" s="91">
        <f>F16+F24+F29+F36+F43+F45+F47+F49</f>
        <v>0</v>
      </c>
      <c r="G82" s="92">
        <f>SUM(G72:G81)+G16+G24+G29+G36+G43+G45+G47+G49+G51+G56+G61+G66</f>
        <v>1320735.8100000005</v>
      </c>
      <c r="H82" s="91">
        <f>H16+H24+H29+H36+H43+H45+H47+H49</f>
        <v>0</v>
      </c>
      <c r="I82" s="92">
        <f>SUM(I72:I81)+I16+I24+I29+I36+I43+I45+I47+I49+I51+I56+I61+I66</f>
        <v>-928353.79000002448</v>
      </c>
      <c r="J82" s="91">
        <f>J16+J24+J29+J36+J43+J45+J47+J49</f>
        <v>0</v>
      </c>
      <c r="K82" s="140">
        <f>SUM(K72:K81)+K16+K24+K29+K36+K43+K45+K47+K49+K51+K56+K61+K66</f>
        <v>291598.38999999966</v>
      </c>
      <c r="L82" s="91">
        <f>L16+L24+L29+L36+L43+L45+L47+L49</f>
        <v>0</v>
      </c>
      <c r="M82" s="92">
        <f>SUM(M72:M81)+M16+M24+M29+M36+M43+M45+M47+M49+M51+M56+M61+M66</f>
        <v>-219481.30000000005</v>
      </c>
      <c r="N82" s="91">
        <f>N16+N24+N29+N36+N43+N45+N47+N49</f>
        <v>0</v>
      </c>
      <c r="O82" s="92">
        <f>SUM(O72:O81)+O16+O24+O29+O36+O43+O45+O47+O49+O51+O56+O61+O66</f>
        <v>221666.71000000005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-472696</v>
      </c>
      <c r="T82" s="91">
        <f>T16+T24+T29+T36+T43+T45+T47+T49</f>
        <v>0</v>
      </c>
      <c r="U82" s="92">
        <f>SUM(U72:U81)+U16+U24+U29+U36+U43+U45+U47+U49+U51+U56+U61+U66</f>
        <v>327757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-235704.59</v>
      </c>
      <c r="F86" s="145">
        <f>'TIE-OUT'!AB86+RECLASS!Z86</f>
        <v>0</v>
      </c>
      <c r="G86" s="184">
        <f>'TIE-OUT'!AC86+RECLASS!AA86</f>
        <v>-197030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151433.41</v>
      </c>
      <c r="N86" s="145">
        <v>0</v>
      </c>
      <c r="O86" s="145">
        <v>-190108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-9295</v>
      </c>
      <c r="F87" s="146">
        <f>'TIE-OUT'!AB87+RECLASS!Z87</f>
        <v>0</v>
      </c>
      <c r="G87" s="185">
        <f>'TIE-OUT'!AC87+RECLASS!AA87</f>
        <v>-9295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-244999.59</v>
      </c>
      <c r="F89" s="155">
        <f t="shared" si="16"/>
        <v>0</v>
      </c>
      <c r="G89" s="155">
        <f t="shared" si="16"/>
        <v>-206325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151433.41</v>
      </c>
      <c r="N89" s="155">
        <f t="shared" ref="N89:AE89" si="17">SUM(N86:N88)</f>
        <v>0</v>
      </c>
      <c r="O89" s="155">
        <f t="shared" si="17"/>
        <v>-190108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296227.22999999556</v>
      </c>
      <c r="F91" s="155">
        <f t="shared" si="19"/>
        <v>0</v>
      </c>
      <c r="G91" s="155">
        <f t="shared" si="19"/>
        <v>1114410.8100000005</v>
      </c>
      <c r="H91" s="155">
        <f t="shared" si="19"/>
        <v>0</v>
      </c>
      <c r="I91" s="155">
        <f t="shared" si="19"/>
        <v>-928353.79000002448</v>
      </c>
      <c r="J91" s="155">
        <f t="shared" si="19"/>
        <v>0</v>
      </c>
      <c r="K91" s="155">
        <f t="shared" si="19"/>
        <v>291598.38999999966</v>
      </c>
      <c r="L91" s="155">
        <f t="shared" si="19"/>
        <v>0</v>
      </c>
      <c r="M91" s="155">
        <f t="shared" si="19"/>
        <v>-68047.890000000043</v>
      </c>
      <c r="N91" s="155">
        <f t="shared" ref="N91:AE91" si="20">+N82+N89</f>
        <v>0</v>
      </c>
      <c r="O91" s="155">
        <f t="shared" si="20"/>
        <v>31558.71000000005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-472696</v>
      </c>
      <c r="T91" s="155">
        <f t="shared" si="20"/>
        <v>0</v>
      </c>
      <c r="U91" s="155">
        <f t="shared" si="20"/>
        <v>327757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32" activePane="bottomRight" state="frozen"/>
      <selection activeCell="G25" sqref="G25"/>
      <selection pane="topRight" activeCell="G25" sqref="G25"/>
      <selection pane="bottomLeft" activeCell="G25" sqref="G25"/>
      <selection pane="bottomRight" activeCell="G25" sqref="G25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86480259</v>
      </c>
      <c r="E11" s="66">
        <f>'CE-FLSH'!M11</f>
        <v>202895435</v>
      </c>
      <c r="F11" s="60">
        <f>CE_GL!D11</f>
        <v>86355045</v>
      </c>
      <c r="G11" s="38">
        <f>CE_GL!E11</f>
        <v>200107698.73000002</v>
      </c>
      <c r="H11" s="60">
        <f>F11-D11</f>
        <v>-125214</v>
      </c>
      <c r="I11" s="38">
        <f>G11-E11</f>
        <v>-2787736.2699999809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3873644.2399999998</v>
      </c>
      <c r="H12" s="60">
        <f>F12-D12</f>
        <v>0</v>
      </c>
      <c r="I12" s="38">
        <f>G12-E12</f>
        <v>3873644.2399999998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41011971</v>
      </c>
      <c r="E13" s="66">
        <f>'CE-FLSH'!M13</f>
        <v>97311530</v>
      </c>
      <c r="F13" s="60">
        <f>CE_GL!D13</f>
        <v>41011971</v>
      </c>
      <c r="G13" s="38">
        <f>CE_GL!E13</f>
        <v>97311530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2985504.18</v>
      </c>
      <c r="H15" s="60">
        <f t="shared" si="0"/>
        <v>0</v>
      </c>
      <c r="I15" s="38">
        <f t="shared" si="0"/>
        <v>2985504.18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127492230</v>
      </c>
      <c r="E16" s="39">
        <f t="shared" si="1"/>
        <v>300206965</v>
      </c>
      <c r="F16" s="61">
        <f t="shared" si="1"/>
        <v>127367016</v>
      </c>
      <c r="G16" s="39">
        <f t="shared" si="1"/>
        <v>304278377.15000004</v>
      </c>
      <c r="H16" s="61">
        <f t="shared" si="1"/>
        <v>-125214</v>
      </c>
      <c r="I16" s="39">
        <f t="shared" si="1"/>
        <v>4071412.150000019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-95357565</v>
      </c>
      <c r="E19" s="66">
        <f>'CE-FLSH'!M19</f>
        <v>-222705101</v>
      </c>
      <c r="F19" s="60">
        <f>CE_GL!D19</f>
        <v>-95156027</v>
      </c>
      <c r="G19" s="38">
        <f>CE_GL!E19</f>
        <v>-225950372.00999999</v>
      </c>
      <c r="H19" s="60">
        <f>F19-D19</f>
        <v>201538</v>
      </c>
      <c r="I19" s="38">
        <f>G19-E19</f>
        <v>-3245271.0099999905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1363114.0099999998</v>
      </c>
      <c r="H20" s="60">
        <f>F20-D20</f>
        <v>0</v>
      </c>
      <c r="I20" s="38">
        <f>G20-E20</f>
        <v>1363114.0099999998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-32340740</v>
      </c>
      <c r="E21" s="66">
        <f>'CE-FLSH'!M21</f>
        <v>-77121536</v>
      </c>
      <c r="F21" s="60">
        <f>CE_GL!D21</f>
        <v>-31749356</v>
      </c>
      <c r="G21" s="38">
        <f>CE_GL!E21</f>
        <v>-75743214</v>
      </c>
      <c r="H21" s="60">
        <f t="shared" ref="H21:I23" si="2">F21-D21</f>
        <v>591384</v>
      </c>
      <c r="I21" s="38">
        <f t="shared" si="2"/>
        <v>1378322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331530</v>
      </c>
      <c r="E23" s="66">
        <f>'CE-FLSH'!M23</f>
        <v>764277</v>
      </c>
      <c r="F23" s="60">
        <f>CE_GL!D23</f>
        <v>324376</v>
      </c>
      <c r="G23" s="38">
        <f>CE_GL!E23</f>
        <v>753201.07400000002</v>
      </c>
      <c r="H23" s="60">
        <f t="shared" si="2"/>
        <v>-7154</v>
      </c>
      <c r="I23" s="38">
        <f t="shared" si="2"/>
        <v>-11075.925999999978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-127366775</v>
      </c>
      <c r="E24" s="39">
        <f t="shared" si="3"/>
        <v>-299062360</v>
      </c>
      <c r="F24" s="61">
        <f t="shared" si="3"/>
        <v>-126581007</v>
      </c>
      <c r="G24" s="39">
        <f t="shared" si="3"/>
        <v>-299577270.926</v>
      </c>
      <c r="H24" s="61">
        <f t="shared" si="3"/>
        <v>785768</v>
      </c>
      <c r="I24" s="39">
        <f t="shared" si="3"/>
        <v>-514910.92599999066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156898</v>
      </c>
      <c r="G27" s="38">
        <f>CE_GL!E27</f>
        <v>360096.24</v>
      </c>
      <c r="H27" s="60">
        <f>F27-D27</f>
        <v>156898</v>
      </c>
      <c r="I27" s="38">
        <f>G27-E27</f>
        <v>360096.24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-108664</v>
      </c>
      <c r="G28" s="38">
        <f>CE_GL!E28</f>
        <v>-275999.67</v>
      </c>
      <c r="H28" s="60">
        <f>F28-D28</f>
        <v>-108664</v>
      </c>
      <c r="I28" s="38">
        <f>G28-E28</f>
        <v>-275999.67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48234</v>
      </c>
      <c r="G29" s="70">
        <f t="shared" si="4"/>
        <v>84096.57</v>
      </c>
      <c r="H29" s="69">
        <f t="shared" si="4"/>
        <v>48234</v>
      </c>
      <c r="I29" s="70">
        <f t="shared" si="4"/>
        <v>84096.57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16861</v>
      </c>
      <c r="E32" s="66">
        <f>'CE-FLSH'!M32</f>
        <v>16125</v>
      </c>
      <c r="F32" s="60">
        <f>CE_GL!D32</f>
        <v>-87895</v>
      </c>
      <c r="G32" s="38">
        <f>CE_GL!E32</f>
        <v>-204092.19399999964</v>
      </c>
      <c r="H32" s="60">
        <f>F32-D32</f>
        <v>-104756</v>
      </c>
      <c r="I32" s="38">
        <f>G32-E32</f>
        <v>-220217.19399999964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-101843</v>
      </c>
      <c r="G33" s="38">
        <f>CE_GL!E33</f>
        <v>-236313.86000000002</v>
      </c>
      <c r="H33" s="60">
        <f t="shared" ref="H33:I35" si="5">F33-D33</f>
        <v>-101843</v>
      </c>
      <c r="I33" s="38">
        <f t="shared" si="5"/>
        <v>-236313.86000000002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60535</v>
      </c>
      <c r="G34" s="38">
        <f>CE_GL!E34</f>
        <v>135006.99</v>
      </c>
      <c r="H34" s="60">
        <f t="shared" si="5"/>
        <v>60535</v>
      </c>
      <c r="I34" s="38">
        <f t="shared" si="5"/>
        <v>135006.99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252323</v>
      </c>
      <c r="E35" s="66">
        <f>'CE-FLSH'!M35</f>
        <v>582089</v>
      </c>
      <c r="F35" s="60">
        <f>CE_GL!D35</f>
        <v>0</v>
      </c>
      <c r="G35" s="38">
        <f>CE_GL!E35</f>
        <v>-224279.99</v>
      </c>
      <c r="H35" s="60">
        <f t="shared" si="5"/>
        <v>-252323</v>
      </c>
      <c r="I35" s="38">
        <f t="shared" si="5"/>
        <v>-806368.99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269184</v>
      </c>
      <c r="E36" s="39">
        <f t="shared" si="6"/>
        <v>598214</v>
      </c>
      <c r="F36" s="61">
        <f t="shared" si="6"/>
        <v>-129203</v>
      </c>
      <c r="G36" s="39">
        <f t="shared" si="6"/>
        <v>-529679.05399999965</v>
      </c>
      <c r="H36" s="61">
        <f t="shared" si="6"/>
        <v>-398387</v>
      </c>
      <c r="I36" s="39">
        <f t="shared" si="6"/>
        <v>-1127893.0539999995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15000</v>
      </c>
      <c r="E39" s="66">
        <f>'CE-FLSH'!M39</f>
        <v>40875</v>
      </c>
      <c r="F39" s="60">
        <f>CE_GL!D39</f>
        <v>521888</v>
      </c>
      <c r="G39" s="38">
        <f>CE_GL!E39</f>
        <v>1211823.93</v>
      </c>
      <c r="H39" s="60">
        <f t="shared" ref="H39:I41" si="7">F39-D39</f>
        <v>506888</v>
      </c>
      <c r="I39" s="38">
        <f t="shared" si="7"/>
        <v>1170948.93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-396449</v>
      </c>
      <c r="E40" s="66">
        <f>'CE-FLSH'!M40</f>
        <v>-952639</v>
      </c>
      <c r="F40" s="60">
        <f>CE_GL!D40</f>
        <v>-616001</v>
      </c>
      <c r="G40" s="38">
        <f>CE_GL!E40</f>
        <v>-1328561.3799999999</v>
      </c>
      <c r="H40" s="60">
        <f t="shared" si="7"/>
        <v>-219552</v>
      </c>
      <c r="I40" s="38">
        <f t="shared" si="7"/>
        <v>-375922.37999999989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-396449</v>
      </c>
      <c r="E42" s="70">
        <f t="shared" si="8"/>
        <v>-952639</v>
      </c>
      <c r="F42" s="69">
        <f t="shared" si="8"/>
        <v>-616001</v>
      </c>
      <c r="G42" s="70">
        <f t="shared" si="8"/>
        <v>-1328561.3799999999</v>
      </c>
      <c r="H42" s="69">
        <f t="shared" si="8"/>
        <v>-219552</v>
      </c>
      <c r="I42" s="70">
        <f t="shared" si="8"/>
        <v>-375922.37999999989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-381449</v>
      </c>
      <c r="E43" s="39">
        <f t="shared" si="9"/>
        <v>-911764</v>
      </c>
      <c r="F43" s="61">
        <f t="shared" si="9"/>
        <v>-94113</v>
      </c>
      <c r="G43" s="39">
        <f t="shared" si="9"/>
        <v>-116737.44999999995</v>
      </c>
      <c r="H43" s="61">
        <f t="shared" si="9"/>
        <v>287336</v>
      </c>
      <c r="I43" s="39">
        <f t="shared" si="9"/>
        <v>795026.55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-13190</v>
      </c>
      <c r="E49" s="66">
        <f>'CE-FLSH'!M49</f>
        <v>-30627.18</v>
      </c>
      <c r="F49" s="60">
        <f>CE_GL!D49</f>
        <v>-610927</v>
      </c>
      <c r="G49" s="38">
        <f>CE_GL!E49</f>
        <v>-1418572.4940000016</v>
      </c>
      <c r="H49" s="60">
        <f>F49-D49</f>
        <v>-597737</v>
      </c>
      <c r="I49" s="38">
        <f>G49-E49</f>
        <v>-1387945.3140000016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-331530</v>
      </c>
      <c r="E51" s="66">
        <f>'CE-FLSH'!M51</f>
        <v>-764277</v>
      </c>
      <c r="F51" s="60">
        <f>CE_GL!D51</f>
        <v>-324376</v>
      </c>
      <c r="G51" s="38">
        <f>CE_GL!E51</f>
        <v>-753201.07400000002</v>
      </c>
      <c r="H51" s="60">
        <f>F51-D51</f>
        <v>7154</v>
      </c>
      <c r="I51" s="38">
        <f>G51-E51</f>
        <v>11075.925999999978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-195130</v>
      </c>
      <c r="F54" s="60">
        <f>CE_GL!D54</f>
        <v>-63385816</v>
      </c>
      <c r="G54" s="38">
        <f>CE_GL!E54</f>
        <v>532640.2699999999</v>
      </c>
      <c r="H54" s="60">
        <f>F54-D54</f>
        <v>-63385816</v>
      </c>
      <c r="I54" s="38">
        <f>G54-E54</f>
        <v>727770.2699999999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-2688464</v>
      </c>
      <c r="F55" s="60">
        <f>CE_GL!D55</f>
        <v>0</v>
      </c>
      <c r="G55" s="38">
        <f>CE_GL!E55</f>
        <v>-2696511.6500000004</v>
      </c>
      <c r="H55" s="60">
        <f>F55-D55</f>
        <v>0</v>
      </c>
      <c r="I55" s="38">
        <f>G55-E55</f>
        <v>-8047.6500000003725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-2883594</v>
      </c>
      <c r="F56" s="61">
        <f t="shared" si="10"/>
        <v>-63385816</v>
      </c>
      <c r="G56" s="39">
        <f t="shared" si="10"/>
        <v>-2163871.3800000004</v>
      </c>
      <c r="H56" s="61">
        <f t="shared" si="10"/>
        <v>-63385816</v>
      </c>
      <c r="I56" s="39">
        <f t="shared" si="10"/>
        <v>719722.61999999953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7591856.8829999994</v>
      </c>
      <c r="F70" s="60">
        <f>CE_GL!D70</f>
        <v>0</v>
      </c>
      <c r="G70" s="38">
        <f>CE_GL!E70</f>
        <v>7591856.8799999999</v>
      </c>
      <c r="H70" s="60">
        <f>F70-D70</f>
        <v>0</v>
      </c>
      <c r="I70" s="38">
        <f>G70-E70</f>
        <v>-2.9999995604157448E-3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-1768211</v>
      </c>
      <c r="F71" s="60">
        <f>CE_GL!D71</f>
        <v>0</v>
      </c>
      <c r="G71" s="38">
        <f>CE_GL!E71</f>
        <v>-1768212</v>
      </c>
      <c r="H71" s="60">
        <f>F71-D71</f>
        <v>0</v>
      </c>
      <c r="I71" s="38">
        <f>G71-E71</f>
        <v>-1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5823645.8829999994</v>
      </c>
      <c r="F72" s="69">
        <f t="shared" si="13"/>
        <v>0</v>
      </c>
      <c r="G72" s="70">
        <f t="shared" si="13"/>
        <v>5823644.8799999999</v>
      </c>
      <c r="H72" s="69">
        <f t="shared" si="13"/>
        <v>0</v>
      </c>
      <c r="I72" s="70">
        <f t="shared" si="13"/>
        <v>-1.0029999995604157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-1002755</v>
      </c>
      <c r="F74" s="60">
        <f>CE_GL!D74</f>
        <v>0</v>
      </c>
      <c r="G74" s="38">
        <f>CE_GL!E74</f>
        <v>830735.08999999985</v>
      </c>
      <c r="H74" s="60">
        <f t="shared" ref="H74:I79" si="14">F74-D74</f>
        <v>0</v>
      </c>
      <c r="I74" s="38">
        <f t="shared" si="14"/>
        <v>1833490.0899999999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49575</v>
      </c>
      <c r="F75" s="60">
        <f>CE_GL!D75</f>
        <v>0</v>
      </c>
      <c r="G75" s="38">
        <f>CE_GL!E75</f>
        <v>51500</v>
      </c>
      <c r="H75" s="60">
        <f t="shared" si="14"/>
        <v>0</v>
      </c>
      <c r="I75" s="38">
        <f t="shared" si="14"/>
        <v>1925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-8354</v>
      </c>
      <c r="F76" s="60">
        <f>CE_GL!D76</f>
        <v>0</v>
      </c>
      <c r="G76" s="38">
        <f>CE_GL!E76</f>
        <v>-12463.66</v>
      </c>
      <c r="H76" s="60">
        <f t="shared" si="14"/>
        <v>0</v>
      </c>
      <c r="I76" s="38">
        <f t="shared" si="14"/>
        <v>-4109.66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1211768.94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-1211768.94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-5057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5057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3221380.6430000141</v>
      </c>
      <c r="F82" s="71">
        <f>F16+F24+F29+F36+F43+F45+F47+F49</f>
        <v>0</v>
      </c>
      <c r="G82" s="72">
        <f>SUM(G72:G81)+G16+G24+G29+G36+G43+G45+G47+G49+G51+G56+G61+G66</f>
        <v>6496557.652000038</v>
      </c>
      <c r="H82" s="71">
        <f>H16+H24+H29+H36+H43+H45+H47+H49</f>
        <v>0</v>
      </c>
      <c r="I82" s="72">
        <f>SUM(I72:I81)+I16+I24+I29+I36+I43+I45+I47+I49+I51+I56+I61+I66</f>
        <v>3275177.0090000276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7555750</v>
      </c>
      <c r="E11" s="66">
        <f>'SITHE-FLSH'!M11</f>
        <v>17429803</v>
      </c>
      <c r="F11" s="60">
        <f>SITHE_GL!D11</f>
        <v>7555752</v>
      </c>
      <c r="G11" s="38">
        <f>SITHE_GL!E11</f>
        <v>18760919.91</v>
      </c>
      <c r="H11" s="60">
        <f>F11-D11</f>
        <v>2</v>
      </c>
      <c r="I11" s="38">
        <f>G11-E11</f>
        <v>1331116.9100000001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-694586.38</v>
      </c>
      <c r="H12" s="60">
        <f>F12-D12</f>
        <v>0</v>
      </c>
      <c r="I12" s="38">
        <f>G12-E12</f>
        <v>-694586.38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3927553</v>
      </c>
      <c r="E13" s="66">
        <f>'SITHE-FLSH'!M13</f>
        <v>9502443</v>
      </c>
      <c r="F13" s="60">
        <f>SITHE_GL!D13</f>
        <v>3927553</v>
      </c>
      <c r="G13" s="38">
        <f>SITHE_GL!E13</f>
        <v>9502443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11483303</v>
      </c>
      <c r="E16" s="39">
        <f t="shared" si="1"/>
        <v>26932246</v>
      </c>
      <c r="F16" s="61">
        <f t="shared" si="1"/>
        <v>11483305</v>
      </c>
      <c r="G16" s="39">
        <f t="shared" si="1"/>
        <v>27568776.530000001</v>
      </c>
      <c r="H16" s="61">
        <f t="shared" si="1"/>
        <v>2</v>
      </c>
      <c r="I16" s="39">
        <f t="shared" si="1"/>
        <v>636530.53000000014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-4678366</v>
      </c>
      <c r="E19" s="66">
        <f>'SITHE-FLSH'!M19</f>
        <v>-11156729</v>
      </c>
      <c r="F19" s="60">
        <f>SITHE_GL!D19</f>
        <v>-1123774</v>
      </c>
      <c r="G19" s="38">
        <f>SITHE_GL!E19</f>
        <v>-2434405.16</v>
      </c>
      <c r="H19" s="60">
        <f>F19-D19</f>
        <v>3554592</v>
      </c>
      <c r="I19" s="38">
        <f>G19-E19</f>
        <v>8722323.8399999999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-6889.5</v>
      </c>
      <c r="H20" s="60">
        <f>F20-D20</f>
        <v>0</v>
      </c>
      <c r="I20" s="38">
        <f>G20-E20</f>
        <v>-6889.5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-6777912</v>
      </c>
      <c r="E21" s="66">
        <f>'SITHE-FLSH'!M21</f>
        <v>-15769833</v>
      </c>
      <c r="F21" s="60">
        <f>SITHE_GL!D21</f>
        <v>-10332504</v>
      </c>
      <c r="G21" s="38">
        <f>SITHE_GL!E21</f>
        <v>-24454050</v>
      </c>
      <c r="H21" s="60">
        <f t="shared" ref="H21:I23" si="2">F21-D21</f>
        <v>-3554592</v>
      </c>
      <c r="I21" s="38">
        <f t="shared" si="2"/>
        <v>-8684217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84</v>
      </c>
      <c r="E23" s="66">
        <f>'SITHE-FLSH'!M23</f>
        <v>200</v>
      </c>
      <c r="F23" s="60">
        <f>SITHE_GL!D23</f>
        <v>0</v>
      </c>
      <c r="G23" s="38">
        <f>SITHE_GL!E23</f>
        <v>0</v>
      </c>
      <c r="H23" s="60">
        <f t="shared" si="2"/>
        <v>-84</v>
      </c>
      <c r="I23" s="38">
        <f t="shared" si="2"/>
        <v>-200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-11456194</v>
      </c>
      <c r="E24" s="39">
        <f t="shared" si="3"/>
        <v>-26926362</v>
      </c>
      <c r="F24" s="61">
        <f t="shared" si="3"/>
        <v>-11456278</v>
      </c>
      <c r="G24" s="39">
        <f t="shared" si="3"/>
        <v>-26895344.66</v>
      </c>
      <c r="H24" s="61">
        <f t="shared" si="3"/>
        <v>-84</v>
      </c>
      <c r="I24" s="39">
        <f t="shared" si="3"/>
        <v>31017.339999999851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-56791</v>
      </c>
      <c r="E32" s="66">
        <f>'SITHE-FLSH'!M32</f>
        <v>-58</v>
      </c>
      <c r="F32" s="60">
        <f>SITHE_GL!D32</f>
        <v>0</v>
      </c>
      <c r="G32" s="38">
        <f>SITHE_GL!E32</f>
        <v>0</v>
      </c>
      <c r="H32" s="60">
        <f>F32-D32</f>
        <v>56791</v>
      </c>
      <c r="I32" s="38">
        <f>G32-E32</f>
        <v>58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-56791</v>
      </c>
      <c r="E36" s="39">
        <f t="shared" si="6"/>
        <v>-58</v>
      </c>
      <c r="F36" s="61">
        <f t="shared" si="6"/>
        <v>0</v>
      </c>
      <c r="G36" s="39">
        <f t="shared" si="6"/>
        <v>0</v>
      </c>
      <c r="H36" s="61">
        <f t="shared" si="6"/>
        <v>56791</v>
      </c>
      <c r="I36" s="39">
        <f t="shared" si="6"/>
        <v>58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36819</v>
      </c>
      <c r="G39" s="38">
        <f>SITHE_GL!E39</f>
        <v>84205.05</v>
      </c>
      <c r="H39" s="60">
        <f t="shared" ref="H39:I41" si="7">F39-D39</f>
        <v>36819</v>
      </c>
      <c r="I39" s="38">
        <f t="shared" si="7"/>
        <v>84205.05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36819</v>
      </c>
      <c r="G43" s="39">
        <f t="shared" si="9"/>
        <v>84205.05</v>
      </c>
      <c r="H43" s="61">
        <f t="shared" si="9"/>
        <v>36819</v>
      </c>
      <c r="I43" s="39">
        <f t="shared" si="9"/>
        <v>84205.05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29682</v>
      </c>
      <c r="E49" s="66">
        <f>'SITHE-FLSH'!M49</f>
        <v>67877.929239970021</v>
      </c>
      <c r="F49" s="60">
        <f>SITHE_GL!D49</f>
        <v>-63846</v>
      </c>
      <c r="G49" s="38">
        <f>SITHE_GL!E49</f>
        <v>-146015.79899999982</v>
      </c>
      <c r="H49" s="60">
        <f>F49-D49</f>
        <v>-93528</v>
      </c>
      <c r="I49" s="38">
        <f>G49-E49</f>
        <v>-213893.72823996985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-84</v>
      </c>
      <c r="E51" s="66">
        <f>'SITHE-FLSH'!M51</f>
        <v>-200</v>
      </c>
      <c r="F51" s="60">
        <f>SITHE_GL!D51</f>
        <v>0</v>
      </c>
      <c r="G51" s="38">
        <f>SITHE_GL!E51</f>
        <v>0</v>
      </c>
      <c r="H51" s="60">
        <f>F51-D51</f>
        <v>84</v>
      </c>
      <c r="I51" s="38">
        <f>G51-E51</f>
        <v>200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-64</v>
      </c>
      <c r="F54" s="60">
        <f>SITHE_GL!D54</f>
        <v>582809.1</v>
      </c>
      <c r="G54" s="38">
        <f>SITHE_GL!E54</f>
        <v>-684564.38</v>
      </c>
      <c r="H54" s="60">
        <f>F54-D54</f>
        <v>582809.1</v>
      </c>
      <c r="I54" s="38">
        <f>G54-E54</f>
        <v>-684500.38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-7483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7483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-7547</v>
      </c>
      <c r="F56" s="61">
        <f t="shared" si="10"/>
        <v>582809.1</v>
      </c>
      <c r="G56" s="39">
        <f t="shared" si="10"/>
        <v>-684564.38</v>
      </c>
      <c r="H56" s="61">
        <f t="shared" si="10"/>
        <v>582809.1</v>
      </c>
      <c r="I56" s="39">
        <f t="shared" si="10"/>
        <v>-677017.38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-322863.26569999999</v>
      </c>
      <c r="F70" s="60">
        <f>SITHE_GL!D70</f>
        <v>0</v>
      </c>
      <c r="G70" s="38">
        <f>SITHE_GL!E70</f>
        <v>-400747</v>
      </c>
      <c r="H70" s="60">
        <f>F70-D70</f>
        <v>0</v>
      </c>
      <c r="I70" s="38">
        <f>G70-E70</f>
        <v>-77883.734300000011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-77884</v>
      </c>
      <c r="F71" s="60">
        <f>SITHE_GL!D71</f>
        <v>0</v>
      </c>
      <c r="G71" s="38">
        <f>SITHE_GL!E71</f>
        <v>0</v>
      </c>
      <c r="H71" s="60">
        <f>F71-D71</f>
        <v>0</v>
      </c>
      <c r="I71" s="38">
        <f>G71-E71</f>
        <v>77884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-400747.26569999999</v>
      </c>
      <c r="F72" s="69">
        <f t="shared" si="13"/>
        <v>0</v>
      </c>
      <c r="G72" s="70">
        <f t="shared" si="13"/>
        <v>-400747</v>
      </c>
      <c r="H72" s="69">
        <f t="shared" si="13"/>
        <v>0</v>
      </c>
      <c r="I72" s="70">
        <f t="shared" si="13"/>
        <v>0.26569999998901039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453414</v>
      </c>
      <c r="F74" s="60">
        <f>SITHE_GL!D74</f>
        <v>0</v>
      </c>
      <c r="G74" s="38">
        <f>SITHE_GL!E74</f>
        <v>451953.34</v>
      </c>
      <c r="H74" s="60">
        <f t="shared" ref="H74:I79" si="14">F74-D74</f>
        <v>0</v>
      </c>
      <c r="I74" s="38">
        <f t="shared" si="14"/>
        <v>-1460.6599999999744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153274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-153274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271897.66353996878</v>
      </c>
      <c r="F82" s="71">
        <f>F16+F24+F29+F36+F43+F45+F47+F49</f>
        <v>0</v>
      </c>
      <c r="G82" s="72">
        <f>SUM(G72:G81)+G16+G24+G29+G36+G43+G45+G47+G49+G51+G56+G61+G66</f>
        <v>-21736.918999998947</v>
      </c>
      <c r="H82" s="71">
        <f>H16+H24+H29+H36+H43+H45+H47+H49</f>
        <v>0</v>
      </c>
      <c r="I82" s="72">
        <f>SUM(I72:I81)+I16+I24+I29+I36+I43+I45+I47+I49+I51+I56+I61+I66</f>
        <v>-293634.58253996982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16545855</v>
      </c>
      <c r="E11" s="66">
        <f>'ARUBA-FLSH'!M11</f>
        <v>40536583</v>
      </c>
      <c r="F11" s="60">
        <f>ARUBA_GL!D11</f>
        <v>16539748</v>
      </c>
      <c r="G11" s="38">
        <f>ARUBA_GL!E11</f>
        <v>39841775.309999995</v>
      </c>
      <c r="H11" s="60">
        <f>F11-D11</f>
        <v>-6107</v>
      </c>
      <c r="I11" s="38">
        <f>G11-E11</f>
        <v>-694807.69000000507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497314.76</v>
      </c>
      <c r="H12" s="60">
        <f>F12-D12</f>
        <v>0</v>
      </c>
      <c r="I12" s="38">
        <f>G12-E12</f>
        <v>497314.76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25646524</v>
      </c>
      <c r="E13" s="66">
        <f>'ARUBA-FLSH'!M13</f>
        <v>62333419</v>
      </c>
      <c r="F13" s="60">
        <f>ARUBA_GL!D13</f>
        <v>25646524</v>
      </c>
      <c r="G13" s="38">
        <f>ARUBA_GL!E13</f>
        <v>62333419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3058363.5</v>
      </c>
      <c r="H15" s="60">
        <f t="shared" si="0"/>
        <v>0</v>
      </c>
      <c r="I15" s="38">
        <f t="shared" si="0"/>
        <v>3058363.5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42192379</v>
      </c>
      <c r="E16" s="39">
        <f t="shared" si="1"/>
        <v>102870002</v>
      </c>
      <c r="F16" s="61">
        <f t="shared" si="1"/>
        <v>42186272</v>
      </c>
      <c r="G16" s="39">
        <f t="shared" si="1"/>
        <v>105730872.56999999</v>
      </c>
      <c r="H16" s="61">
        <f t="shared" si="1"/>
        <v>-6107</v>
      </c>
      <c r="I16" s="39">
        <f t="shared" si="1"/>
        <v>2860870.5699999947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-11681391</v>
      </c>
      <c r="E19" s="66">
        <f>'ARUBA-FLSH'!M19</f>
        <v>-27562027</v>
      </c>
      <c r="F19" s="60">
        <f>ARUBA_GL!D19</f>
        <v>-11681017</v>
      </c>
      <c r="G19" s="38">
        <f>ARUBA_GL!E19</f>
        <v>-27284908.069999997</v>
      </c>
      <c r="H19" s="60">
        <f>F19-D19</f>
        <v>374</v>
      </c>
      <c r="I19" s="38">
        <f>G19-E19</f>
        <v>277118.93000000343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-336602.09</v>
      </c>
      <c r="H20" s="60">
        <f>F20-D20</f>
        <v>0</v>
      </c>
      <c r="I20" s="38">
        <f>G20-E20</f>
        <v>-336602.09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-30848646</v>
      </c>
      <c r="E21" s="66">
        <f>'ARUBA-FLSH'!M21</f>
        <v>-74567387</v>
      </c>
      <c r="F21" s="60">
        <f>ARUBA_GL!D21</f>
        <v>-30848646</v>
      </c>
      <c r="G21" s="38">
        <f>ARUBA_GL!E21</f>
        <v>-74567387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325104</v>
      </c>
      <c r="E23" s="66">
        <f>'ARUBA-FLSH'!M23</f>
        <v>773031</v>
      </c>
      <c r="F23" s="60">
        <f>ARUBA_GL!D23</f>
        <v>325053</v>
      </c>
      <c r="G23" s="38">
        <f>ARUBA_GL!E23</f>
        <v>769725.50399999996</v>
      </c>
      <c r="H23" s="60">
        <f t="shared" si="2"/>
        <v>-51</v>
      </c>
      <c r="I23" s="38">
        <f t="shared" si="2"/>
        <v>-3305.4960000000428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-42204933</v>
      </c>
      <c r="E24" s="39">
        <f t="shared" si="3"/>
        <v>-101356383</v>
      </c>
      <c r="F24" s="61">
        <f t="shared" si="3"/>
        <v>-42204610</v>
      </c>
      <c r="G24" s="39">
        <f t="shared" si="3"/>
        <v>-101419171.656</v>
      </c>
      <c r="H24" s="61">
        <f t="shared" si="3"/>
        <v>323</v>
      </c>
      <c r="I24" s="39">
        <f t="shared" si="3"/>
        <v>-62788.655999996641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12554</v>
      </c>
      <c r="E49" s="66">
        <f>'ARUBA-FLSH'!M49</f>
        <v>29721.637375299964</v>
      </c>
      <c r="F49" s="60">
        <f>ARUBA_GL!D49</f>
        <v>18338</v>
      </c>
      <c r="G49" s="38">
        <f>ARUBA_GL!E49</f>
        <v>43424.384000000049</v>
      </c>
      <c r="H49" s="60">
        <f>F49-D49</f>
        <v>5784</v>
      </c>
      <c r="I49" s="38">
        <f>G49-E49</f>
        <v>13702.746624700085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-325104</v>
      </c>
      <c r="E51" s="66">
        <f>'ARUBA-FLSH'!M51</f>
        <v>-773031</v>
      </c>
      <c r="F51" s="60">
        <f>ARUBA_GL!D51</f>
        <v>-325053</v>
      </c>
      <c r="G51" s="38">
        <f>ARUBA_GL!E51</f>
        <v>-769725.50399999996</v>
      </c>
      <c r="H51" s="60">
        <f>F51-D51</f>
        <v>51</v>
      </c>
      <c r="I51" s="38">
        <f>G51-E51</f>
        <v>3305.4960000000428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-71026</v>
      </c>
      <c r="F54" s="60">
        <f>ARUBA_GL!D54</f>
        <v>-7936514</v>
      </c>
      <c r="G54" s="38">
        <f>ARUBA_GL!E54</f>
        <v>-142054.03</v>
      </c>
      <c r="H54" s="60">
        <f>F54-D54</f>
        <v>-7936514</v>
      </c>
      <c r="I54" s="38">
        <f>G54-E54</f>
        <v>-71028.03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-3029582.01</v>
      </c>
      <c r="H55" s="60">
        <f>F55-D55</f>
        <v>0</v>
      </c>
      <c r="I55" s="38">
        <f>G55-E55</f>
        <v>-3029582.01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-71026</v>
      </c>
      <c r="F56" s="61">
        <f t="shared" si="10"/>
        <v>-7936514</v>
      </c>
      <c r="G56" s="39">
        <f t="shared" si="10"/>
        <v>-3171636.0399999996</v>
      </c>
      <c r="H56" s="61">
        <f t="shared" si="10"/>
        <v>-7936514</v>
      </c>
      <c r="I56" s="39">
        <f t="shared" si="10"/>
        <v>-3100610.0399999996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12261468.489899993</v>
      </c>
      <c r="F70" s="60">
        <f>ARUBA_GL!D70</f>
        <v>0</v>
      </c>
      <c r="G70" s="38">
        <f>ARUBA_GL!E70</f>
        <v>12261468.49</v>
      </c>
      <c r="H70" s="60">
        <f>F70-D70</f>
        <v>0</v>
      </c>
      <c r="I70" s="38">
        <f>G70-E70</f>
        <v>1.0000728070735931E-4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-14085870</v>
      </c>
      <c r="F71" s="60">
        <f>ARUBA_GL!D71</f>
        <v>0</v>
      </c>
      <c r="G71" s="38">
        <f>ARUBA_GL!E71</f>
        <v>-14085867</v>
      </c>
      <c r="H71" s="60">
        <f>F71-D71</f>
        <v>0</v>
      </c>
      <c r="I71" s="38">
        <f>G71-E71</f>
        <v>3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-1824401.5101000071</v>
      </c>
      <c r="F72" s="69">
        <f t="shared" si="13"/>
        <v>0</v>
      </c>
      <c r="G72" s="70">
        <f t="shared" si="13"/>
        <v>-1824398.5099999998</v>
      </c>
      <c r="H72" s="69">
        <f t="shared" si="13"/>
        <v>0</v>
      </c>
      <c r="I72" s="70">
        <f t="shared" si="13"/>
        <v>3.0001000072807074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670073.51010000007</v>
      </c>
      <c r="F74" s="60">
        <f>ARUBA_GL!D74</f>
        <v>0</v>
      </c>
      <c r="G74" s="38">
        <f>ARUBA_GL!E74</f>
        <v>683322.53</v>
      </c>
      <c r="H74" s="60">
        <f t="shared" ref="H74:I79" si="14">F74-D74</f>
        <v>0</v>
      </c>
      <c r="I74" s="38">
        <f t="shared" si="14"/>
        <v>13249.019899999956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12711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-12711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-442333.36262470006</v>
      </c>
      <c r="F82" s="71">
        <f>F16+F24+F29+F36+F43+F45+F47+F49</f>
        <v>0</v>
      </c>
      <c r="G82" s="72">
        <f>SUM(G72:G81)+G16+G24+G29+G36+G43+G45+G47+G49+G51+G56+G61+G66</f>
        <v>-727312.22600001423</v>
      </c>
      <c r="H82" s="71">
        <f>H16+H24+H29+H36+H43+H45+H47+H49</f>
        <v>0</v>
      </c>
      <c r="I82" s="72">
        <f>SUM(I72:I81)+I16+I24+I29+I36+I43+I45+I47+I49+I51+I56+I61+I66</f>
        <v>-284978.86337529449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35" activePane="bottomRight" state="frozen"/>
      <selection activeCell="D10" sqref="D10"/>
      <selection pane="topRight" activeCell="D10" sqref="D10"/>
      <selection pane="bottomLeft" activeCell="D10" sqref="D10"/>
      <selection pane="bottomRight" activeCell="D40" sqref="D4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196234304</v>
      </c>
      <c r="E11" s="66">
        <f>'EAST-EGM-FLSH'!M11</f>
        <v>490071985.8439247</v>
      </c>
      <c r="F11" s="60">
        <f>'EAST-EGM-GL'!D11</f>
        <v>190649394</v>
      </c>
      <c r="G11" s="38">
        <f>'EAST-EGM-GL'!E11</f>
        <v>485045009.19999993</v>
      </c>
      <c r="H11" s="60">
        <f>F11-D11</f>
        <v>-5584910</v>
      </c>
      <c r="I11" s="38">
        <f>G11-E11</f>
        <v>-5026976.6439247727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-3727128.67</v>
      </c>
      <c r="H12" s="60">
        <f>F12-D12</f>
        <v>0</v>
      </c>
      <c r="I12" s="38">
        <f>G12-E12</f>
        <v>-3727128.67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78004071</v>
      </c>
      <c r="E13" s="66">
        <f>'EAST-EGM-FLSH'!M13</f>
        <v>201341832</v>
      </c>
      <c r="F13" s="60">
        <f>'EAST-EGM-GL'!D13</f>
        <v>71628606</v>
      </c>
      <c r="G13" s="38">
        <f>'EAST-EGM-GL'!E13</f>
        <v>185895133</v>
      </c>
      <c r="H13" s="60">
        <f t="shared" ref="H13:I15" si="0">F13-D13</f>
        <v>-6375465</v>
      </c>
      <c r="I13" s="38">
        <f t="shared" si="0"/>
        <v>-15446699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-496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6384737.2600000007</v>
      </c>
      <c r="H15" s="60">
        <f t="shared" si="0"/>
        <v>0</v>
      </c>
      <c r="I15" s="38">
        <f t="shared" si="0"/>
        <v>6384737.2600000007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274238375</v>
      </c>
      <c r="E16" s="39">
        <f t="shared" si="1"/>
        <v>691413321.84392476</v>
      </c>
      <c r="F16" s="61">
        <f t="shared" si="1"/>
        <v>262278000</v>
      </c>
      <c r="G16" s="39">
        <f t="shared" si="1"/>
        <v>673597750.78999996</v>
      </c>
      <c r="H16" s="61">
        <f t="shared" si="1"/>
        <v>-11960375</v>
      </c>
      <c r="I16" s="39">
        <f t="shared" si="1"/>
        <v>-17815571.053924773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-181648816</v>
      </c>
      <c r="E19" s="66">
        <f>'EAST-EGM-FLSH'!M19</f>
        <v>-442342911</v>
      </c>
      <c r="F19" s="60">
        <f>'EAST-EGM-GL'!D19</f>
        <v>-187315162</v>
      </c>
      <c r="G19" s="38">
        <f>'EAST-EGM-GL'!E19</f>
        <v>-446520051.77999997</v>
      </c>
      <c r="H19" s="60">
        <f>F19-D19</f>
        <v>-5666346</v>
      </c>
      <c r="I19" s="38">
        <f>G19-E19</f>
        <v>-4177140.7799999714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-9201555.1899999995</v>
      </c>
      <c r="H20" s="60">
        <f>F20-D20</f>
        <v>0</v>
      </c>
      <c r="I20" s="38">
        <f>G20-E20</f>
        <v>-9201555.1899999995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-82385658</v>
      </c>
      <c r="E21" s="66">
        <f>'EAST-EGM-FLSH'!M21</f>
        <v>-214966656</v>
      </c>
      <c r="F21" s="60">
        <f>'EAST-EGM-GL'!D21</f>
        <v>-71003668</v>
      </c>
      <c r="G21" s="38">
        <f>'EAST-EGM-GL'!E21</f>
        <v>-187641097</v>
      </c>
      <c r="H21" s="60">
        <f t="shared" ref="H21:I23" si="2">F21-D21</f>
        <v>11381990</v>
      </c>
      <c r="I21" s="38">
        <f t="shared" si="2"/>
        <v>27325559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514927</v>
      </c>
      <c r="E23" s="66">
        <f>'EAST-EGM-FLSH'!M23</f>
        <v>1274153</v>
      </c>
      <c r="F23" s="60">
        <f>'EAST-EGM-GL'!D23</f>
        <v>501191</v>
      </c>
      <c r="G23" s="38">
        <f>'EAST-EGM-GL'!E23</f>
        <v>1176295.2739999997</v>
      </c>
      <c r="H23" s="60">
        <f t="shared" si="2"/>
        <v>-13736</v>
      </c>
      <c r="I23" s="38">
        <f t="shared" si="2"/>
        <v>-97857.726000000257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-263519547</v>
      </c>
      <c r="E24" s="39">
        <f t="shared" si="3"/>
        <v>-656035414</v>
      </c>
      <c r="F24" s="61">
        <f t="shared" si="3"/>
        <v>-257817639</v>
      </c>
      <c r="G24" s="39">
        <f t="shared" si="3"/>
        <v>-642186408.69599998</v>
      </c>
      <c r="H24" s="61">
        <f t="shared" si="3"/>
        <v>5701908</v>
      </c>
      <c r="I24" s="39">
        <f t="shared" si="3"/>
        <v>13849005.304000029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11337164</v>
      </c>
      <c r="G27" s="38">
        <f>'EAST-EGM-GL'!E27</f>
        <v>27265523.330000002</v>
      </c>
      <c r="H27" s="60">
        <f>F27-D27</f>
        <v>11337164</v>
      </c>
      <c r="I27" s="38">
        <f>G27-E27</f>
        <v>27265523.330000002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-7938306</v>
      </c>
      <c r="G28" s="38">
        <f>'EAST-EGM-GL'!E28</f>
        <v>-19446796.509999998</v>
      </c>
      <c r="H28" s="60">
        <f>F28-D28</f>
        <v>-7938306</v>
      </c>
      <c r="I28" s="38">
        <f>G28-E28</f>
        <v>-19446796.509999998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3398858</v>
      </c>
      <c r="G29" s="70">
        <f t="shared" si="4"/>
        <v>7818726.820000004</v>
      </c>
      <c r="H29" s="69">
        <f t="shared" si="4"/>
        <v>3398858</v>
      </c>
      <c r="I29" s="70">
        <f t="shared" si="4"/>
        <v>7818726.820000004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-2118787</v>
      </c>
      <c r="E32" s="66">
        <f>'EAST-EGM-FLSH'!M32</f>
        <v>-5274638</v>
      </c>
      <c r="F32" s="60">
        <f>'EAST-EGM-GL'!D32</f>
        <v>3607202</v>
      </c>
      <c r="G32" s="38">
        <f>'EAST-EGM-GL'!E32</f>
        <v>8466103.084999999</v>
      </c>
      <c r="H32" s="60">
        <f>F32-D32</f>
        <v>5725989</v>
      </c>
      <c r="I32" s="38">
        <f>G32-E32</f>
        <v>13740741.084999999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407133</v>
      </c>
      <c r="E33" s="66">
        <f>'EAST-EGM-FLSH'!M33</f>
        <v>929952</v>
      </c>
      <c r="F33" s="60">
        <f>'EAST-EGM-GL'!D33</f>
        <v>-3963352</v>
      </c>
      <c r="G33" s="38">
        <f>'EAST-EGM-GL'!E33</f>
        <v>-3603598.67</v>
      </c>
      <c r="H33" s="60">
        <f t="shared" ref="H33:I35" si="5">F33-D33</f>
        <v>-4370485</v>
      </c>
      <c r="I33" s="38">
        <f t="shared" si="5"/>
        <v>-4533550.67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-816595</v>
      </c>
      <c r="E34" s="66">
        <f>'EAST-EGM-FLSH'!M34</f>
        <v>-1863552</v>
      </c>
      <c r="F34" s="60">
        <f>'EAST-EGM-GL'!D34</f>
        <v>4166263</v>
      </c>
      <c r="G34" s="38">
        <f>'EAST-EGM-GL'!E34</f>
        <v>1651104.15</v>
      </c>
      <c r="H34" s="60">
        <f t="shared" si="5"/>
        <v>4982858</v>
      </c>
      <c r="I34" s="38">
        <f t="shared" si="5"/>
        <v>3514656.15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-939991</v>
      </c>
      <c r="E35" s="66">
        <f>'EAST-EGM-FLSH'!M35</f>
        <v>-2167386</v>
      </c>
      <c r="F35" s="60">
        <f>'EAST-EGM-GL'!D35</f>
        <v>-1460039</v>
      </c>
      <c r="G35" s="38">
        <f>'EAST-EGM-GL'!E35</f>
        <v>-2665655.0199999996</v>
      </c>
      <c r="H35" s="60">
        <f t="shared" si="5"/>
        <v>-520048</v>
      </c>
      <c r="I35" s="38">
        <f t="shared" si="5"/>
        <v>-498269.01999999955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-3468240</v>
      </c>
      <c r="E36" s="39">
        <f t="shared" si="6"/>
        <v>-8375624</v>
      </c>
      <c r="F36" s="61">
        <f t="shared" si="6"/>
        <v>2350074</v>
      </c>
      <c r="G36" s="39">
        <f t="shared" si="6"/>
        <v>3847953.5449999999</v>
      </c>
      <c r="H36" s="61">
        <f t="shared" si="6"/>
        <v>5818314</v>
      </c>
      <c r="I36" s="39">
        <f t="shared" si="6"/>
        <v>12223577.545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925403</v>
      </c>
      <c r="E39" s="66">
        <f>'EAST-EGM-FLSH'!M39</f>
        <v>2183950</v>
      </c>
      <c r="F39" s="60">
        <f>'EAST-EGM-GL'!D39</f>
        <v>-4</v>
      </c>
      <c r="G39" s="38">
        <f>'EAST-EGM-GL'!E39</f>
        <v>-9.4000000000014552</v>
      </c>
      <c r="H39" s="60">
        <f t="shared" ref="H39:I41" si="7">F39-D39</f>
        <v>-925407</v>
      </c>
      <c r="I39" s="38">
        <f t="shared" si="7"/>
        <v>-2183959.4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-5802948</v>
      </c>
      <c r="E40" s="66">
        <f>'EAST-EGM-FLSH'!M40</f>
        <v>-13229134</v>
      </c>
      <c r="F40" s="60">
        <f>'EAST-EGM-GL'!D40</f>
        <v>-7719446</v>
      </c>
      <c r="G40" s="38">
        <f>'EAST-EGM-GL'!E40</f>
        <v>-17053675.630000003</v>
      </c>
      <c r="H40" s="60">
        <f t="shared" si="7"/>
        <v>-1916498</v>
      </c>
      <c r="I40" s="38">
        <f t="shared" si="7"/>
        <v>-3824541.6300000027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-5802948</v>
      </c>
      <c r="E42" s="70">
        <f t="shared" si="8"/>
        <v>-13229134</v>
      </c>
      <c r="F42" s="69">
        <f t="shared" si="8"/>
        <v>-7719446</v>
      </c>
      <c r="G42" s="70">
        <f t="shared" si="8"/>
        <v>-17053675.630000003</v>
      </c>
      <c r="H42" s="69">
        <f t="shared" si="8"/>
        <v>-1916498</v>
      </c>
      <c r="I42" s="70">
        <f t="shared" si="8"/>
        <v>-3824541.6300000027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-4877545</v>
      </c>
      <c r="E43" s="39">
        <f t="shared" si="9"/>
        <v>-11045184</v>
      </c>
      <c r="F43" s="61">
        <f t="shared" si="9"/>
        <v>-7719450</v>
      </c>
      <c r="G43" s="39">
        <f t="shared" si="9"/>
        <v>-17053685.030000001</v>
      </c>
      <c r="H43" s="61">
        <f t="shared" si="9"/>
        <v>-2841905</v>
      </c>
      <c r="I43" s="39">
        <f t="shared" si="9"/>
        <v>-6008501.0300000031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-2373043</v>
      </c>
      <c r="E49" s="66">
        <f>'EAST-EGM-FLSH'!M49</f>
        <v>-5720449.3496866329</v>
      </c>
      <c r="F49" s="60">
        <f>'EAST-EGM-GL'!D49</f>
        <v>-2489843</v>
      </c>
      <c r="G49" s="38">
        <f>'EAST-EGM-GL'!E49</f>
        <v>-5843661.5299999965</v>
      </c>
      <c r="H49" s="60">
        <f>F49-D49</f>
        <v>-116800</v>
      </c>
      <c r="I49" s="38">
        <f>G49-E49</f>
        <v>-123212.18031336367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-514927</v>
      </c>
      <c r="E51" s="66">
        <f>'EAST-EGM-FLSH'!M51</f>
        <v>-1274153</v>
      </c>
      <c r="F51" s="60">
        <f>'EAST-EGM-GL'!D51</f>
        <v>-501191</v>
      </c>
      <c r="G51" s="38">
        <f>'EAST-EGM-GL'!E51</f>
        <v>-1176295.2700000003</v>
      </c>
      <c r="H51" s="60">
        <f>F51-D51</f>
        <v>13736</v>
      </c>
      <c r="I51" s="38">
        <f>G51-E51</f>
        <v>97857.729999999749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-1569739</v>
      </c>
      <c r="F54" s="60">
        <f>'EAST-EGM-GL'!D54</f>
        <v>-141297509</v>
      </c>
      <c r="G54" s="38">
        <f>'EAST-EGM-GL'!E54</f>
        <v>-2271224.91</v>
      </c>
      <c r="H54" s="60">
        <f>F54-D54</f>
        <v>-141297509</v>
      </c>
      <c r="I54" s="38">
        <f>G54-E54</f>
        <v>-701485.91000000015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-1298289</v>
      </c>
      <c r="F55" s="60">
        <f>'EAST-EGM-GL'!D55</f>
        <v>0</v>
      </c>
      <c r="G55" s="38">
        <f>'EAST-EGM-GL'!E55</f>
        <v>-7173409.660000002</v>
      </c>
      <c r="H55" s="60">
        <f>F55-D55</f>
        <v>0</v>
      </c>
      <c r="I55" s="38">
        <f>G55-E55</f>
        <v>-5875120.660000002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-2868028</v>
      </c>
      <c r="F56" s="61">
        <f t="shared" si="10"/>
        <v>-141297509</v>
      </c>
      <c r="G56" s="39">
        <f t="shared" si="10"/>
        <v>-9444634.5700000022</v>
      </c>
      <c r="H56" s="61">
        <f t="shared" si="10"/>
        <v>-141297509</v>
      </c>
      <c r="I56" s="39">
        <f t="shared" si="10"/>
        <v>-6576606.5700000022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65182.55</v>
      </c>
      <c r="H59" s="60">
        <f>F59-D59</f>
        <v>0</v>
      </c>
      <c r="I59" s="38">
        <f>G59-E59</f>
        <v>65182.55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65182.55</v>
      </c>
      <c r="H61" s="69">
        <f t="shared" si="11"/>
        <v>0</v>
      </c>
      <c r="I61" s="70">
        <f t="shared" si="11"/>
        <v>147709.54999999999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55220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-55220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-55220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13133657.730900001</v>
      </c>
      <c r="F70" s="60">
        <f>'EAST-EGM-GL'!D70</f>
        <v>0</v>
      </c>
      <c r="G70" s="38">
        <f>'EAST-EGM-GL'!E70</f>
        <v>13133657.73</v>
      </c>
      <c r="H70" s="60">
        <f>F70-D70</f>
        <v>0</v>
      </c>
      <c r="I70" s="38">
        <f>G70-E70</f>
        <v>-9.0000033378601074E-4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-5194256.8949999996</v>
      </c>
      <c r="F71" s="60">
        <f>'EAST-EGM-GL'!D71</f>
        <v>0</v>
      </c>
      <c r="G71" s="38">
        <f>'EAST-EGM-GL'!E71</f>
        <v>-5194257</v>
      </c>
      <c r="H71" s="60">
        <f>F71-D71</f>
        <v>0</v>
      </c>
      <c r="I71" s="38">
        <f>G71-E71</f>
        <v>-0.10500000044703484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7939400.8359000012</v>
      </c>
      <c r="F72" s="69">
        <f t="shared" si="13"/>
        <v>0</v>
      </c>
      <c r="G72" s="70">
        <f t="shared" si="13"/>
        <v>7939400.7300000004</v>
      </c>
      <c r="H72" s="69">
        <f t="shared" si="13"/>
        <v>0</v>
      </c>
      <c r="I72" s="70">
        <f t="shared" si="13"/>
        <v>-0.10590000078082085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-7179084</v>
      </c>
      <c r="F74" s="60">
        <f>'EAST-EGM-GL'!D74</f>
        <v>0</v>
      </c>
      <c r="G74" s="38">
        <f>'EAST-EGM-GL'!E74</f>
        <v>-6778831.620000001</v>
      </c>
      <c r="H74" s="60">
        <f t="shared" ref="H74:I79" si="14">F74-D74</f>
        <v>0</v>
      </c>
      <c r="I74" s="38">
        <f t="shared" si="14"/>
        <v>400252.37999999896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311193</v>
      </c>
      <c r="F75" s="60">
        <f>'EAST-EGM-GL'!D75</f>
        <v>0</v>
      </c>
      <c r="G75" s="38">
        <f>'EAST-EGM-GL'!E75</f>
        <v>323400</v>
      </c>
      <c r="H75" s="60">
        <f t="shared" si="14"/>
        <v>0</v>
      </c>
      <c r="I75" s="38">
        <f t="shared" si="14"/>
        <v>12207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-10461</v>
      </c>
      <c r="F76" s="60">
        <f>'EAST-EGM-GL'!D76</f>
        <v>0</v>
      </c>
      <c r="G76" s="38">
        <f>'EAST-EGM-GL'!E76</f>
        <v>435.78999999999996</v>
      </c>
      <c r="H76" s="60">
        <f t="shared" si="14"/>
        <v>0</v>
      </c>
      <c r="I76" s="38">
        <f t="shared" si="14"/>
        <v>10896.79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-36809</v>
      </c>
      <c r="F77" s="60">
        <f>'EAST-EGM-GL'!D77</f>
        <v>0</v>
      </c>
      <c r="G77" s="38">
        <f>'EAST-EGM-GL'!E77</f>
        <v>-2658334</v>
      </c>
      <c r="H77" s="60">
        <f t="shared" si="14"/>
        <v>0</v>
      </c>
      <c r="I77" s="38">
        <f t="shared" si="14"/>
        <v>-2621525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25279</v>
      </c>
      <c r="H78" s="60">
        <f t="shared" si="14"/>
        <v>0</v>
      </c>
      <c r="I78" s="38">
        <f t="shared" si="14"/>
        <v>755.05500000000029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412862</v>
      </c>
      <c r="F81" s="60">
        <f>'EAST-EGM-GL'!D81</f>
        <v>0</v>
      </c>
      <c r="G81" s="38">
        <f>'EAST-EGM-GL'!E81</f>
        <v>-0.41000000000349246</v>
      </c>
      <c r="H81" s="60">
        <f>F81-D81</f>
        <v>0</v>
      </c>
      <c r="I81" s="38">
        <f>G81-E81</f>
        <v>-412862.41000000003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7528788.2751381285</v>
      </c>
      <c r="F82" s="71">
        <f>F16+F24+F29+F36+F43+F45+F47+F49</f>
        <v>0</v>
      </c>
      <c r="G82" s="72">
        <f>SUM(G72:G81)+G16+G24+G29+G36+G43+G45+G47+G49+G51+G56+G61+G66</f>
        <v>8476278.0990000013</v>
      </c>
      <c r="H82" s="71">
        <f>H16+H24+H29+H36+H43+H45+H47+H49</f>
        <v>0</v>
      </c>
      <c r="I82" s="72">
        <f>SUM(I72:I81)+I16+I24+I29+I36+I43+I45+I47+I49+I51+I56+I61+I66</f>
        <v>947489.82386188791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'EAST-EGM-FLSH'!L86</f>
        <v>0</v>
      </c>
      <c r="E86" s="145">
        <f>'EAST-EGM-FLSH'!M86</f>
        <v>477104</v>
      </c>
      <c r="F86" s="145">
        <f>'EAST-EGM-GL'!D86</f>
        <v>0</v>
      </c>
      <c r="G86" s="145">
        <f>'EAST-EGM-GL'!E86</f>
        <v>477103</v>
      </c>
      <c r="H86" s="145">
        <f t="shared" ref="H86:I88" si="15">F86-D86</f>
        <v>0</v>
      </c>
      <c r="I86" s="145">
        <f t="shared" si="15"/>
        <v>-1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477104</v>
      </c>
      <c r="F89" s="160">
        <f t="shared" si="16"/>
        <v>0</v>
      </c>
      <c r="G89" s="160">
        <f t="shared" si="16"/>
        <v>477103</v>
      </c>
      <c r="H89" s="160">
        <f t="shared" si="16"/>
        <v>0</v>
      </c>
      <c r="I89" s="160">
        <f t="shared" si="16"/>
        <v>-1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8005892.2751381285</v>
      </c>
      <c r="F91" s="160">
        <f t="shared" si="17"/>
        <v>0</v>
      </c>
      <c r="G91" s="160">
        <f t="shared" si="17"/>
        <v>8953381.0990000013</v>
      </c>
      <c r="H91" s="160">
        <f t="shared" si="17"/>
        <v>0</v>
      </c>
      <c r="I91" s="160">
        <f t="shared" si="17"/>
        <v>947488.82386188791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31" activePane="bottomRight" state="frozen"/>
      <selection activeCell="D10" sqref="D10"/>
      <selection pane="topRight" activeCell="D10" sqref="D10"/>
      <selection pane="bottomLeft" activeCell="D10" sqref="D10"/>
      <selection pane="bottomRight" activeCell="E40" sqref="E4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16544177</v>
      </c>
      <c r="E11" s="66">
        <f>'EAST-LRC-FLSH'!M11</f>
        <v>39980461.156075291</v>
      </c>
      <c r="F11" s="60">
        <f>'EAST-LRC-GL'!D11</f>
        <v>8645984</v>
      </c>
      <c r="G11" s="38">
        <f>'EAST-LRC-GL'!E11</f>
        <v>21017318.75</v>
      </c>
      <c r="H11" s="60">
        <f>F11-D11</f>
        <v>-7898193</v>
      </c>
      <c r="I11" s="38">
        <f>G11-E11</f>
        <v>-18963142.406075291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11664.26999999999</v>
      </c>
      <c r="H12" s="60">
        <f>F12-D12</f>
        <v>0</v>
      </c>
      <c r="I12" s="38">
        <f>G12-E12</f>
        <v>11664.26999999999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16544177</v>
      </c>
      <c r="E16" s="39">
        <f t="shared" si="1"/>
        <v>39980461.156075291</v>
      </c>
      <c r="F16" s="61">
        <f t="shared" si="1"/>
        <v>8645984</v>
      </c>
      <c r="G16" s="39">
        <f t="shared" si="1"/>
        <v>21028983.02</v>
      </c>
      <c r="H16" s="61">
        <f t="shared" si="1"/>
        <v>-7898193</v>
      </c>
      <c r="I16" s="39">
        <f t="shared" si="1"/>
        <v>-18951478.136075292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-16435098</v>
      </c>
      <c r="E19" s="66">
        <f>'EAST-LRC-FLSH'!M19</f>
        <v>-39771828</v>
      </c>
      <c r="F19" s="60">
        <f>'EAST-LRC-GL'!D19</f>
        <v>-1385221</v>
      </c>
      <c r="G19" s="38">
        <f>'EAST-LRC-GL'!E19</f>
        <v>-3264588.6900000004</v>
      </c>
      <c r="H19" s="60">
        <f>F19-D19</f>
        <v>15049877</v>
      </c>
      <c r="I19" s="38">
        <f>G19-E19</f>
        <v>36507239.310000002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-32517</v>
      </c>
      <c r="G23" s="38">
        <f>'EAST-LRC-GL'!E23</f>
        <v>-73769.26999999999</v>
      </c>
      <c r="H23" s="60">
        <f t="shared" si="2"/>
        <v>-32517</v>
      </c>
      <c r="I23" s="38">
        <f t="shared" si="2"/>
        <v>-73769.26999999999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-16435098</v>
      </c>
      <c r="E24" s="39">
        <f t="shared" si="3"/>
        <v>-39771828</v>
      </c>
      <c r="F24" s="61">
        <f t="shared" si="3"/>
        <v>-1417738</v>
      </c>
      <c r="G24" s="39">
        <f t="shared" si="3"/>
        <v>-3338357.9600000004</v>
      </c>
      <c r="H24" s="61">
        <f t="shared" si="3"/>
        <v>15017360</v>
      </c>
      <c r="I24" s="39">
        <f t="shared" si="3"/>
        <v>36433470.039999999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6697543</v>
      </c>
      <c r="G27" s="38">
        <f>'EAST-LRC-GL'!E27</f>
        <v>16237481.469999999</v>
      </c>
      <c r="H27" s="60">
        <f>F27-D27</f>
        <v>6697543</v>
      </c>
      <c r="I27" s="38">
        <f>G27-E27</f>
        <v>16237481.469999999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-11486824</v>
      </c>
      <c r="G28" s="38">
        <f>'EAST-LRC-GL'!E28</f>
        <v>-27617646.07</v>
      </c>
      <c r="H28" s="60">
        <f>F28-D28</f>
        <v>-11486824</v>
      </c>
      <c r="I28" s="38">
        <f>G28-E28</f>
        <v>-27617646.07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-4789281</v>
      </c>
      <c r="G29" s="70">
        <f t="shared" si="4"/>
        <v>-11380164.600000001</v>
      </c>
      <c r="H29" s="69">
        <f t="shared" si="4"/>
        <v>-4789281</v>
      </c>
      <c r="I29" s="70">
        <f t="shared" si="4"/>
        <v>-11380164.600000001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-115961</v>
      </c>
      <c r="G32" s="38">
        <f>'EAST-LRC-GL'!E32</f>
        <v>-272160.45899999997</v>
      </c>
      <c r="H32" s="60">
        <f>F32-D32</f>
        <v>-115961</v>
      </c>
      <c r="I32" s="38">
        <f>G32-E32</f>
        <v>-272160.45899999997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-18781</v>
      </c>
      <c r="G33" s="38">
        <f>'EAST-LRC-GL'!E33</f>
        <v>-43947.54</v>
      </c>
      <c r="H33" s="60">
        <f t="shared" ref="H33:I35" si="5">F33-D33</f>
        <v>-18781</v>
      </c>
      <c r="I33" s="38">
        <f t="shared" si="5"/>
        <v>-43947.54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-134742</v>
      </c>
      <c r="G36" s="39">
        <f t="shared" si="6"/>
        <v>-316107.99899999995</v>
      </c>
      <c r="H36" s="61">
        <f t="shared" si="6"/>
        <v>-134742</v>
      </c>
      <c r="I36" s="39">
        <f t="shared" si="6"/>
        <v>-316107.99899999995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642669</v>
      </c>
      <c r="E39" s="66">
        <f>'EAST-LRC-FLSH'!M39</f>
        <v>1516700</v>
      </c>
      <c r="F39" s="60">
        <f>'EAST-LRC-GL'!D39</f>
        <v>750236</v>
      </c>
      <c r="G39" s="38">
        <f>'EAST-LRC-GL'!E39</f>
        <v>1519302.92</v>
      </c>
      <c r="H39" s="60">
        <f t="shared" ref="H39:I41" si="7">F39-D39</f>
        <v>107567</v>
      </c>
      <c r="I39" s="38">
        <f t="shared" si="7"/>
        <v>2602.9199999999255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-3133651</v>
      </c>
      <c r="E40" s="66">
        <f>'EAST-LRC-FLSH'!M40</f>
        <v>-7395416</v>
      </c>
      <c r="F40" s="60">
        <f>'EAST-LRC-GL'!D40</f>
        <v>-3244542</v>
      </c>
      <c r="G40" s="38">
        <f>'EAST-LRC-GL'!E40</f>
        <v>-6571522.0100000007</v>
      </c>
      <c r="H40" s="60">
        <f t="shared" si="7"/>
        <v>-110891</v>
      </c>
      <c r="I40" s="38">
        <f t="shared" si="7"/>
        <v>823893.98999999929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-3133651</v>
      </c>
      <c r="E42" s="70">
        <f t="shared" si="8"/>
        <v>-7395416</v>
      </c>
      <c r="F42" s="69">
        <f t="shared" si="8"/>
        <v>-3244542</v>
      </c>
      <c r="G42" s="70">
        <f t="shared" si="8"/>
        <v>-6571522.0100000007</v>
      </c>
      <c r="H42" s="69">
        <f t="shared" si="8"/>
        <v>-110891</v>
      </c>
      <c r="I42" s="70">
        <f t="shared" si="8"/>
        <v>823893.98999999929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-2490982</v>
      </c>
      <c r="E43" s="39">
        <f t="shared" si="9"/>
        <v>-5878716</v>
      </c>
      <c r="F43" s="61">
        <f t="shared" si="9"/>
        <v>-2494306</v>
      </c>
      <c r="G43" s="39">
        <f t="shared" si="9"/>
        <v>-5052219.0900000008</v>
      </c>
      <c r="H43" s="61">
        <f t="shared" si="9"/>
        <v>-3324</v>
      </c>
      <c r="I43" s="39">
        <f t="shared" si="9"/>
        <v>826496.90999999922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4326</v>
      </c>
      <c r="G45" s="38">
        <f>'EAST-LRC-GL'!E45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2381903</v>
      </c>
      <c r="E49" s="66">
        <f>'EAST-LRC-FLSH'!M49</f>
        <v>5741243.7696866328</v>
      </c>
      <c r="F49" s="60">
        <f>'EAST-LRC-GL'!D49</f>
        <v>185757</v>
      </c>
      <c r="G49" s="38">
        <f>'EAST-LRC-GL'!E49</f>
        <v>435971.679</v>
      </c>
      <c r="H49" s="60">
        <f>F49-D49</f>
        <v>-2196146</v>
      </c>
      <c r="I49" s="38">
        <f>G49-E49</f>
        <v>-5305272.0906866323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-55521</v>
      </c>
      <c r="G51" s="38">
        <f>'EAST-LRC-GL'!E51</f>
        <v>-117203.71</v>
      </c>
      <c r="H51" s="60">
        <f>F51-D51</f>
        <v>-55521</v>
      </c>
      <c r="I51" s="38">
        <f>G51-E51</f>
        <v>-117203.71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-796718</v>
      </c>
      <c r="G54" s="38">
        <f>'EAST-LRC-GL'!E54</f>
        <v>-23901.54</v>
      </c>
      <c r="H54" s="60">
        <f>F54-D54</f>
        <v>-796718</v>
      </c>
      <c r="I54" s="38">
        <f>G54-E54</f>
        <v>-23901.54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-796718</v>
      </c>
      <c r="G56" s="39">
        <f t="shared" si="10"/>
        <v>-23901.54</v>
      </c>
      <c r="H56" s="61">
        <f t="shared" si="10"/>
        <v>-796718</v>
      </c>
      <c r="I56" s="39">
        <f t="shared" si="10"/>
        <v>-23901.54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2844445</v>
      </c>
      <c r="G59" s="38">
        <f>'EAST-LRC-GL'!E59</f>
        <v>-131171.89000000001</v>
      </c>
      <c r="H59" s="60">
        <f>F59-D59</f>
        <v>2844445</v>
      </c>
      <c r="I59" s="38">
        <f>G59-E59</f>
        <v>-131171.89000000001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954</v>
      </c>
      <c r="G60" s="38">
        <f>'EAST-LRC-GL'!E60</f>
        <v>170000</v>
      </c>
      <c r="H60" s="60">
        <f>F60-D60</f>
        <v>954</v>
      </c>
      <c r="I60" s="38">
        <f>G60-E60</f>
        <v>87473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2845399</v>
      </c>
      <c r="G61" s="70">
        <f t="shared" si="11"/>
        <v>38828.109999999986</v>
      </c>
      <c r="H61" s="69">
        <f t="shared" si="11"/>
        <v>2845399</v>
      </c>
      <c r="I61" s="70">
        <f t="shared" si="11"/>
        <v>-43698.890000000014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-24123340</v>
      </c>
      <c r="G64" s="38">
        <f>'EAST-LRC-GL'!E64</f>
        <v>-2913459.31</v>
      </c>
      <c r="H64" s="60">
        <f>F64-D64</f>
        <v>-24123340</v>
      </c>
      <c r="I64" s="38">
        <f>G64-E64</f>
        <v>-2913459.31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24123340</v>
      </c>
      <c r="G65" s="38">
        <f>'EAST-LRC-GL'!E65</f>
        <v>2913459.31</v>
      </c>
      <c r="H65" s="60">
        <f>F65-D65</f>
        <v>24123340</v>
      </c>
      <c r="I65" s="38">
        <f>G65-E65</f>
        <v>2913459.31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-3743312.0742380759</v>
      </c>
      <c r="F82" s="71">
        <f>F16+F24+F29+F36+F43+F45+F47+F49</f>
        <v>0</v>
      </c>
      <c r="G82" s="72">
        <f>SUM(G72:G81)+G16+G24+G29+G36+G43+G45+G47+G49+G51+G56+G61+G66</f>
        <v>1275844.9199999967</v>
      </c>
      <c r="H82" s="71">
        <f>H16+H24+H29+H36+H43+H45+H47+H49</f>
        <v>0</v>
      </c>
      <c r="I82" s="72">
        <f>SUM(I72:I81)+I16+I24+I29+I36+I43+I45+I47+I49+I51+I56+I61+I66</f>
        <v>5019156.9942380721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30" activePane="bottomRight" state="frozen"/>
      <selection activeCell="D10" sqref="D10"/>
      <selection pane="topRight" activeCell="D10" sqref="D10"/>
      <selection pane="bottomLeft" activeCell="D10" sqref="D10"/>
      <selection pane="bottomRight" activeCell="D40" sqref="D4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212778481</v>
      </c>
      <c r="E11" s="66">
        <f>'EAST-CON-FLSH'!M11</f>
        <v>530052447</v>
      </c>
      <c r="F11" s="60">
        <f>'EAST-CON-GL '!D11</f>
        <v>199295378</v>
      </c>
      <c r="G11" s="38">
        <f>'EAST-CON-GL '!E11</f>
        <v>506062327.94999993</v>
      </c>
      <c r="H11" s="60">
        <f>F11-D11</f>
        <v>-13483103</v>
      </c>
      <c r="I11" s="38">
        <f>G11-E11</f>
        <v>-23990119.050000072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-3715464.4</v>
      </c>
      <c r="H12" s="60">
        <f>F12-D12</f>
        <v>0</v>
      </c>
      <c r="I12" s="38">
        <f>G12-E12</f>
        <v>-3715464.4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78004071</v>
      </c>
      <c r="E13" s="66">
        <f>'EAST-CON-FLSH'!M13</f>
        <v>201341832</v>
      </c>
      <c r="F13" s="60">
        <f>'EAST-CON-GL '!D13</f>
        <v>71628606</v>
      </c>
      <c r="G13" s="38">
        <f>'EAST-CON-GL '!E13</f>
        <v>185895133</v>
      </c>
      <c r="H13" s="60">
        <f t="shared" ref="H13:I15" si="0">F13-D13</f>
        <v>-6375465</v>
      </c>
      <c r="I13" s="38">
        <f t="shared" si="0"/>
        <v>-15446699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-496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6384737.2600000007</v>
      </c>
      <c r="H15" s="60">
        <f t="shared" si="0"/>
        <v>0</v>
      </c>
      <c r="I15" s="38">
        <f t="shared" si="0"/>
        <v>6384737.2600000007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290782552</v>
      </c>
      <c r="E16" s="39">
        <f t="shared" si="1"/>
        <v>731393783</v>
      </c>
      <c r="F16" s="61">
        <f t="shared" si="1"/>
        <v>270923984</v>
      </c>
      <c r="G16" s="39">
        <f t="shared" si="1"/>
        <v>694626733.80999994</v>
      </c>
      <c r="H16" s="61">
        <f t="shared" si="1"/>
        <v>-19858568</v>
      </c>
      <c r="I16" s="39">
        <f t="shared" si="1"/>
        <v>-36767049.190000072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-198083914</v>
      </c>
      <c r="E19" s="66">
        <f>'EAST-CON-FLSH'!M19</f>
        <v>-482114739</v>
      </c>
      <c r="F19" s="60">
        <f>'EAST-CON-GL '!D19</f>
        <v>-188700383</v>
      </c>
      <c r="G19" s="38">
        <f>'EAST-CON-GL '!E19</f>
        <v>-449784640.46999997</v>
      </c>
      <c r="H19" s="60">
        <f>F19-D19</f>
        <v>9383531</v>
      </c>
      <c r="I19" s="38">
        <f>G19-E19</f>
        <v>32330098.530000031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-9201555.1899999995</v>
      </c>
      <c r="H20" s="60">
        <f>F20-D20</f>
        <v>0</v>
      </c>
      <c r="I20" s="38">
        <f>G20-E20</f>
        <v>-9201555.1899999995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-82385658</v>
      </c>
      <c r="E21" s="66">
        <f>'EAST-CON-FLSH'!M21</f>
        <v>-214966656</v>
      </c>
      <c r="F21" s="60">
        <f>'EAST-CON-GL '!D21</f>
        <v>-71003668</v>
      </c>
      <c r="G21" s="38">
        <f>'EAST-CON-GL '!E21</f>
        <v>-187641097</v>
      </c>
      <c r="H21" s="60">
        <f t="shared" ref="H21:I23" si="2">F21-D21</f>
        <v>11381990</v>
      </c>
      <c r="I21" s="38">
        <f t="shared" si="2"/>
        <v>27325559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514927</v>
      </c>
      <c r="E23" s="66">
        <f>'EAST-CON-FLSH'!M23</f>
        <v>1274153</v>
      </c>
      <c r="F23" s="60">
        <f>'EAST-CON-GL '!D23</f>
        <v>468674</v>
      </c>
      <c r="G23" s="38">
        <f>'EAST-CON-GL '!E23</f>
        <v>1102526.0039999997</v>
      </c>
      <c r="H23" s="60">
        <f t="shared" si="2"/>
        <v>-46253</v>
      </c>
      <c r="I23" s="38">
        <f t="shared" si="2"/>
        <v>-171626.99600000028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-279954645</v>
      </c>
      <c r="E24" s="39">
        <f t="shared" si="3"/>
        <v>-695807242</v>
      </c>
      <c r="F24" s="61">
        <f t="shared" si="3"/>
        <v>-259235377</v>
      </c>
      <c r="G24" s="39">
        <f t="shared" si="3"/>
        <v>-645524766.65600002</v>
      </c>
      <c r="H24" s="61">
        <f t="shared" si="3"/>
        <v>20719268</v>
      </c>
      <c r="I24" s="39">
        <f t="shared" si="3"/>
        <v>50282475.344000034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18034707</v>
      </c>
      <c r="G27" s="38">
        <f>'EAST-CON-GL '!E27</f>
        <v>43503004.800000004</v>
      </c>
      <c r="H27" s="60">
        <f>F27-D27</f>
        <v>18034707</v>
      </c>
      <c r="I27" s="38">
        <f>G27-E27</f>
        <v>43503004.800000004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-19425130</v>
      </c>
      <c r="G28" s="38">
        <f>'EAST-CON-GL '!E28</f>
        <v>-47064442.580000013</v>
      </c>
      <c r="H28" s="60">
        <f>F28-D28</f>
        <v>-19425130</v>
      </c>
      <c r="I28" s="38">
        <f>G28-E28</f>
        <v>-47064442.580000013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-1390423</v>
      </c>
      <c r="G29" s="70">
        <f t="shared" si="4"/>
        <v>-3561437.7800000086</v>
      </c>
      <c r="H29" s="69">
        <f t="shared" si="4"/>
        <v>-1390423</v>
      </c>
      <c r="I29" s="70">
        <f t="shared" si="4"/>
        <v>-3561437.7800000086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-2118787</v>
      </c>
      <c r="E32" s="66">
        <f>'EAST-CON-FLSH'!M32</f>
        <v>-5274638</v>
      </c>
      <c r="F32" s="60">
        <f>'EAST-CON-GL '!D32</f>
        <v>3491241</v>
      </c>
      <c r="G32" s="38">
        <f>'EAST-CON-GL '!E32</f>
        <v>8193942.6260000002</v>
      </c>
      <c r="H32" s="60">
        <f>F32-D32</f>
        <v>5610028</v>
      </c>
      <c r="I32" s="38">
        <f>G32-E32</f>
        <v>13468580.626</v>
      </c>
    </row>
    <row r="33" spans="1:11" x14ac:dyDescent="0.25">
      <c r="A33" s="9">
        <v>14</v>
      </c>
      <c r="B33" s="7"/>
      <c r="C33" s="18" t="s">
        <v>40</v>
      </c>
      <c r="D33" s="65">
        <f>'EAST-CON-FLSH'!L33</f>
        <v>407133</v>
      </c>
      <c r="E33" s="66">
        <f>'EAST-CON-FLSH'!M33</f>
        <v>929952</v>
      </c>
      <c r="F33" s="60">
        <f>'EAST-CON-GL '!D33</f>
        <v>-3982133</v>
      </c>
      <c r="G33" s="38">
        <f>'EAST-CON-GL '!E33</f>
        <v>-3647546.21</v>
      </c>
      <c r="H33" s="60">
        <f t="shared" ref="H33:I35" si="5">F33-D33</f>
        <v>-4389266</v>
      </c>
      <c r="I33" s="38">
        <f t="shared" si="5"/>
        <v>-4577498.21</v>
      </c>
    </row>
    <row r="34" spans="1:11" x14ac:dyDescent="0.25">
      <c r="A34" s="9">
        <v>15</v>
      </c>
      <c r="B34" s="7"/>
      <c r="C34" s="18" t="s">
        <v>41</v>
      </c>
      <c r="D34" s="65">
        <f>'EAST-CON-FLSH'!L34</f>
        <v>-816595</v>
      </c>
      <c r="E34" s="66">
        <f>'EAST-CON-FLSH'!M34</f>
        <v>-1863552</v>
      </c>
      <c r="F34" s="60">
        <f>'EAST-CON-GL '!D34</f>
        <v>4166263</v>
      </c>
      <c r="G34" s="38">
        <f>'EAST-CON-GL '!E34</f>
        <v>1651104.15</v>
      </c>
      <c r="H34" s="60">
        <f t="shared" si="5"/>
        <v>4982858</v>
      </c>
      <c r="I34" s="38">
        <f t="shared" si="5"/>
        <v>3514656.15</v>
      </c>
    </row>
    <row r="35" spans="1:11" x14ac:dyDescent="0.25">
      <c r="A35" s="9">
        <v>16</v>
      </c>
      <c r="B35" s="7"/>
      <c r="C35" s="18" t="s">
        <v>42</v>
      </c>
      <c r="D35" s="65">
        <f>'EAST-CON-FLSH'!L35</f>
        <v>-939991</v>
      </c>
      <c r="E35" s="66">
        <f>'EAST-CON-FLSH'!M35</f>
        <v>-2167386</v>
      </c>
      <c r="F35" s="60">
        <f>'EAST-CON-GL '!D35</f>
        <v>-1460039</v>
      </c>
      <c r="G35" s="38">
        <f>'EAST-CON-GL '!E35</f>
        <v>-2665655.0199999996</v>
      </c>
      <c r="H35" s="60">
        <f t="shared" si="5"/>
        <v>-520048</v>
      </c>
      <c r="I35" s="38">
        <f t="shared" si="5"/>
        <v>-498269.01999999955</v>
      </c>
    </row>
    <row r="36" spans="1:11" x14ac:dyDescent="0.25">
      <c r="A36" s="9"/>
      <c r="B36" s="7" t="s">
        <v>43</v>
      </c>
      <c r="C36" s="6"/>
      <c r="D36" s="61">
        <f t="shared" ref="D36:I36" si="6">SUM(D32:D35)</f>
        <v>-3468240</v>
      </c>
      <c r="E36" s="39">
        <f t="shared" si="6"/>
        <v>-8375624</v>
      </c>
      <c r="F36" s="61">
        <f t="shared" si="6"/>
        <v>2215332</v>
      </c>
      <c r="G36" s="39">
        <f t="shared" si="6"/>
        <v>3531845.5460000001</v>
      </c>
      <c r="H36" s="61">
        <f t="shared" si="6"/>
        <v>5683572</v>
      </c>
      <c r="I36" s="39">
        <f t="shared" si="6"/>
        <v>11907469.546000002</v>
      </c>
    </row>
    <row r="37" spans="1:11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1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11" x14ac:dyDescent="0.25">
      <c r="A39" s="9">
        <v>17</v>
      </c>
      <c r="B39" s="7"/>
      <c r="C39" s="18" t="s">
        <v>45</v>
      </c>
      <c r="D39" s="65">
        <f>'EAST-CON-FLSH'!L39</f>
        <v>1568072</v>
      </c>
      <c r="E39" s="66">
        <f>'EAST-CON-FLSH'!M39</f>
        <v>3700650</v>
      </c>
      <c r="F39" s="60">
        <f>'EAST-CON-GL '!D39</f>
        <v>750232</v>
      </c>
      <c r="G39" s="38">
        <f>'EAST-CON-GL '!E39</f>
        <v>1519293.5199999998</v>
      </c>
      <c r="H39" s="60">
        <f t="shared" ref="H39:I41" si="7">F39-D39</f>
        <v>-817840</v>
      </c>
      <c r="I39" s="38">
        <f t="shared" si="7"/>
        <v>-2181356.4800000004</v>
      </c>
      <c r="J39">
        <v>2.347</v>
      </c>
      <c r="K39">
        <f>+J39*H39-I39</f>
        <v>261886.00000000047</v>
      </c>
    </row>
    <row r="40" spans="1:11" ht="22.5" customHeight="1" x14ac:dyDescent="0.25">
      <c r="A40" s="9">
        <v>18</v>
      </c>
      <c r="B40" s="7"/>
      <c r="C40" s="18" t="s">
        <v>46</v>
      </c>
      <c r="D40" s="65">
        <f>'EAST-CON-FLSH'!L40</f>
        <v>-8936599</v>
      </c>
      <c r="E40" s="66">
        <f>'EAST-CON-FLSH'!M40</f>
        <v>-20624550</v>
      </c>
      <c r="F40" s="60">
        <f>'EAST-CON-GL '!D40</f>
        <v>-10963988</v>
      </c>
      <c r="G40" s="38">
        <f>'EAST-CON-GL '!E40</f>
        <v>-23625197.640000001</v>
      </c>
      <c r="H40" s="60">
        <f t="shared" si="7"/>
        <v>-2027389</v>
      </c>
      <c r="I40" s="38">
        <f t="shared" si="7"/>
        <v>-3000647.6400000006</v>
      </c>
      <c r="J40">
        <v>2.347</v>
      </c>
      <c r="K40">
        <f>+J40*H40-I40</f>
        <v>-1757634.3429999994</v>
      </c>
    </row>
    <row r="41" spans="1:11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11" x14ac:dyDescent="0.25">
      <c r="A42" s="9"/>
      <c r="B42" s="7"/>
      <c r="C42" s="53" t="s">
        <v>48</v>
      </c>
      <c r="D42" s="69">
        <f t="shared" ref="D42:I42" si="8">SUM(D40:D41)</f>
        <v>-8936599</v>
      </c>
      <c r="E42" s="70">
        <f t="shared" si="8"/>
        <v>-20624550</v>
      </c>
      <c r="F42" s="69">
        <f t="shared" si="8"/>
        <v>-10963988</v>
      </c>
      <c r="G42" s="70">
        <f t="shared" si="8"/>
        <v>-23625197.640000001</v>
      </c>
      <c r="H42" s="69">
        <f t="shared" si="8"/>
        <v>-2027389</v>
      </c>
      <c r="I42" s="70">
        <f t="shared" si="8"/>
        <v>-3000647.6400000006</v>
      </c>
    </row>
    <row r="43" spans="1:11" ht="21" customHeight="1" x14ac:dyDescent="0.25">
      <c r="A43" s="9"/>
      <c r="B43" s="7" t="s">
        <v>49</v>
      </c>
      <c r="C43" s="6"/>
      <c r="D43" s="61">
        <f t="shared" ref="D43:I43" si="9">D42+D39</f>
        <v>-7368527</v>
      </c>
      <c r="E43" s="39">
        <f t="shared" si="9"/>
        <v>-16923900</v>
      </c>
      <c r="F43" s="61">
        <f t="shared" si="9"/>
        <v>-10213756</v>
      </c>
      <c r="G43" s="39">
        <f t="shared" si="9"/>
        <v>-22105904.120000001</v>
      </c>
      <c r="H43" s="61">
        <f t="shared" si="9"/>
        <v>-2845229</v>
      </c>
      <c r="I43" s="39">
        <f t="shared" si="9"/>
        <v>-5182004.120000001</v>
      </c>
    </row>
    <row r="44" spans="1:11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11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4326</v>
      </c>
      <c r="G45" s="38">
        <f>'EAST-CON-GL '!E45</f>
        <v>17.010000000000002</v>
      </c>
      <c r="H45" s="60">
        <f>F45-D45</f>
        <v>4326</v>
      </c>
      <c r="I45" s="38">
        <f>G45-E45</f>
        <v>17.010000000000002</v>
      </c>
    </row>
    <row r="46" spans="1:11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11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11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8860</v>
      </c>
      <c r="E49" s="66">
        <f>'EAST-CON-FLSH'!M49</f>
        <v>20794.419999999925</v>
      </c>
      <c r="F49" s="60">
        <f>'EAST-CON-GL '!D49</f>
        <v>-2304086</v>
      </c>
      <c r="G49" s="38">
        <f>'EAST-CON-GL '!E49</f>
        <v>-5407689.850999997</v>
      </c>
      <c r="H49" s="60">
        <f>F49-D49</f>
        <v>-2312946</v>
      </c>
      <c r="I49" s="38">
        <f>G49-E49</f>
        <v>-5428484.2709999969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-514927</v>
      </c>
      <c r="E51" s="66">
        <f>'EAST-CON-FLSH'!M51</f>
        <v>-1274153</v>
      </c>
      <c r="F51" s="60">
        <f>'EAST-CON-GL '!D51</f>
        <v>-556712</v>
      </c>
      <c r="G51" s="38">
        <f>'EAST-CON-GL '!E51</f>
        <v>-1293498.9800000002</v>
      </c>
      <c r="H51" s="60">
        <f>F51-D51</f>
        <v>-41785</v>
      </c>
      <c r="I51" s="38">
        <f>G51-E51</f>
        <v>-19345.980000000214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-1569739</v>
      </c>
      <c r="F54" s="60">
        <f>'EAST-CON-GL '!D54</f>
        <v>-142094227</v>
      </c>
      <c r="G54" s="38">
        <f>'EAST-CON-GL '!E54</f>
        <v>-2295126.4500000002</v>
      </c>
      <c r="H54" s="60">
        <f>F54-D54</f>
        <v>-142094227</v>
      </c>
      <c r="I54" s="38">
        <f>G54-E54</f>
        <v>-725387.45000000019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-1298289</v>
      </c>
      <c r="F55" s="60">
        <f>'EAST-CON-GL '!D55</f>
        <v>0</v>
      </c>
      <c r="G55" s="38">
        <f>'EAST-CON-GL '!E55</f>
        <v>-7173409.660000002</v>
      </c>
      <c r="H55" s="60">
        <f>F55-D55</f>
        <v>0</v>
      </c>
      <c r="I55" s="38">
        <f>G55-E55</f>
        <v>-5875120.660000002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-2868028</v>
      </c>
      <c r="F56" s="61">
        <f t="shared" si="10"/>
        <v>-142094227</v>
      </c>
      <c r="G56" s="39">
        <f t="shared" si="10"/>
        <v>-9468536.1100000031</v>
      </c>
      <c r="H56" s="61">
        <f t="shared" si="10"/>
        <v>-142094227</v>
      </c>
      <c r="I56" s="39">
        <f t="shared" si="10"/>
        <v>-6600508.1100000022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2844445</v>
      </c>
      <c r="G59" s="38">
        <f>'EAST-CON-GL '!E59</f>
        <v>-65989.34</v>
      </c>
      <c r="H59" s="60">
        <f>F59-D59</f>
        <v>2844445</v>
      </c>
      <c r="I59" s="38">
        <f>G59-E59</f>
        <v>-65989.34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954</v>
      </c>
      <c r="G60" s="38">
        <f>'EAST-CON-GL '!E60</f>
        <v>170000</v>
      </c>
      <c r="H60" s="60">
        <f>F60-D60</f>
        <v>954</v>
      </c>
      <c r="I60" s="38">
        <f>G60-E60</f>
        <v>170000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2845399</v>
      </c>
      <c r="G61" s="70">
        <f t="shared" si="11"/>
        <v>104010.66</v>
      </c>
      <c r="H61" s="69">
        <f t="shared" si="11"/>
        <v>2845399</v>
      </c>
      <c r="I61" s="70">
        <f t="shared" si="11"/>
        <v>104010.66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55220</v>
      </c>
      <c r="F64" s="60">
        <f>'EAST-CON-GL '!D64</f>
        <v>-24123340</v>
      </c>
      <c r="G64" s="38">
        <f>'EAST-CON-GL '!E64</f>
        <v>-2913459.31</v>
      </c>
      <c r="H64" s="60">
        <f>F64-D64</f>
        <v>-24123340</v>
      </c>
      <c r="I64" s="38">
        <f>G64-E64</f>
        <v>-2968679.31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24123340</v>
      </c>
      <c r="G65" s="38">
        <f>'EAST-CON-GL '!E65</f>
        <v>2913459.31</v>
      </c>
      <c r="H65" s="60">
        <f>F65-D65</f>
        <v>24123340</v>
      </c>
      <c r="I65" s="38">
        <f>G65-E65</f>
        <v>2913459.31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-55220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13133657.730900001</v>
      </c>
      <c r="F70" s="60">
        <f>'EAST-CON-GL '!D70</f>
        <v>0</v>
      </c>
      <c r="G70" s="38">
        <f>'EAST-CON-GL '!E70</f>
        <v>13133657.73</v>
      </c>
      <c r="H70" s="60">
        <f>F70-D70</f>
        <v>0</v>
      </c>
      <c r="I70" s="38">
        <f>G70-E70</f>
        <v>-9.0000033378601074E-4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-5194256.8949999996</v>
      </c>
      <c r="F71" s="60">
        <f>'EAST-CON-GL '!D71</f>
        <v>0</v>
      </c>
      <c r="G71" s="38">
        <f>'EAST-CON-GL '!E71</f>
        <v>-5194257</v>
      </c>
      <c r="H71" s="60">
        <f>F71-D71</f>
        <v>0</v>
      </c>
      <c r="I71" s="38">
        <f>G71-E71</f>
        <v>-0.10500000044703484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7939400.8359000012</v>
      </c>
      <c r="F72" s="69">
        <f t="shared" si="13"/>
        <v>0</v>
      </c>
      <c r="G72" s="70">
        <f t="shared" si="13"/>
        <v>7939400.7300000004</v>
      </c>
      <c r="H72" s="69">
        <f t="shared" si="13"/>
        <v>0</v>
      </c>
      <c r="I72" s="70">
        <f t="shared" si="13"/>
        <v>-0.10590000078082085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-7179084</v>
      </c>
      <c r="F74" s="60">
        <f>'EAST-CON-GL '!D74</f>
        <v>0</v>
      </c>
      <c r="G74" s="38">
        <f>'EAST-CON-GL '!E74</f>
        <v>-6714622.4600000009</v>
      </c>
      <c r="H74" s="60">
        <f t="shared" ref="H74:I79" si="14">F74-D74</f>
        <v>0</v>
      </c>
      <c r="I74" s="38">
        <f t="shared" si="14"/>
        <v>464461.53999999911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311193</v>
      </c>
      <c r="F75" s="60">
        <f>'EAST-CON-GL '!D75</f>
        <v>0</v>
      </c>
      <c r="G75" s="38">
        <f>'EAST-CON-GL '!E75</f>
        <v>323400</v>
      </c>
      <c r="H75" s="60">
        <f t="shared" si="14"/>
        <v>0</v>
      </c>
      <c r="I75" s="38">
        <f t="shared" si="14"/>
        <v>12207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-10461</v>
      </c>
      <c r="F76" s="60">
        <f>'EAST-CON-GL '!D76</f>
        <v>0</v>
      </c>
      <c r="G76" s="38">
        <f>'EAST-CON-GL '!E76</f>
        <v>435.78999999999996</v>
      </c>
      <c r="H76" s="60">
        <f t="shared" si="14"/>
        <v>0</v>
      </c>
      <c r="I76" s="38">
        <f t="shared" si="14"/>
        <v>10896.79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-3933809</v>
      </c>
      <c r="F77" s="60">
        <f>'EAST-CON-GL '!D77</f>
        <v>0</v>
      </c>
      <c r="G77" s="38">
        <f>'EAST-CON-GL '!E77</f>
        <v>-2658334</v>
      </c>
      <c r="H77" s="60">
        <f t="shared" si="14"/>
        <v>0</v>
      </c>
      <c r="I77" s="38">
        <f t="shared" si="14"/>
        <v>1275475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25279</v>
      </c>
      <c r="H78" s="60">
        <f t="shared" si="14"/>
        <v>0</v>
      </c>
      <c r="I78" s="38">
        <f t="shared" si="14"/>
        <v>755.05500000000029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412862</v>
      </c>
      <c r="F81" s="60">
        <f>'EAST-CON-GL '!D81</f>
        <v>0</v>
      </c>
      <c r="G81" s="38">
        <f>'EAST-CON-GL '!E81</f>
        <v>-0.41000000000349246</v>
      </c>
      <c r="H81" s="60">
        <f>F81-D81</f>
        <v>0</v>
      </c>
      <c r="I81" s="38">
        <f>G81-E81</f>
        <v>-412862.41000000003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3785476.2009000015</v>
      </c>
      <c r="F82" s="109">
        <f>F16+F24+F29+F36+F43+F45+F47+F49</f>
        <v>0</v>
      </c>
      <c r="G82" s="110">
        <f>SUM(G72:G81)+G16+G24+G29+G36+G43+G45+G47+G49+G51+G56+G61+G66</f>
        <v>9816332.1789998896</v>
      </c>
      <c r="H82" s="109">
        <f>H16+H24+H29+H36+H43+H45+H47+H49</f>
        <v>0</v>
      </c>
      <c r="I82" s="110">
        <f>SUM(I72:I81)+I16+I24+I29+I36+I43+I45+I47+I49+I51+I56+I61+I66</f>
        <v>6030855.9780999543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'EAST-CON-FLSH'!L86</f>
        <v>0</v>
      </c>
      <c r="E86" s="145">
        <f>'EAST-CON-FLSH'!M86</f>
        <v>477104</v>
      </c>
      <c r="F86" s="145">
        <f>'EAST-CON-GL '!D86</f>
        <v>0</v>
      </c>
      <c r="G86" s="145">
        <f>'EAST-CON-GL '!E86</f>
        <v>477103</v>
      </c>
      <c r="H86" s="145">
        <f t="shared" ref="H86:I88" si="15">F86-D86</f>
        <v>0</v>
      </c>
      <c r="I86" s="145">
        <f t="shared" si="15"/>
        <v>-1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477104</v>
      </c>
      <c r="F89" s="155">
        <f t="shared" si="16"/>
        <v>0</v>
      </c>
      <c r="G89" s="155">
        <f t="shared" si="16"/>
        <v>477103</v>
      </c>
      <c r="H89" s="155">
        <f t="shared" si="16"/>
        <v>0</v>
      </c>
      <c r="I89" s="155">
        <f t="shared" si="16"/>
        <v>-1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4262580.2009000015</v>
      </c>
      <c r="F91" s="160">
        <f t="shared" si="17"/>
        <v>0</v>
      </c>
      <c r="G91" s="160">
        <f t="shared" si="17"/>
        <v>10293435.17899989</v>
      </c>
      <c r="H91" s="160">
        <f t="shared" si="17"/>
        <v>0</v>
      </c>
      <c r="I91" s="160">
        <f t="shared" si="17"/>
        <v>6030854.9780999543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4262580.2009000527</v>
      </c>
      <c r="G94" s="14">
        <f>+'EAST-EGM-VAR'!G91+'EAST-LRC-VAR'!G82</f>
        <v>10229226.018999998</v>
      </c>
      <c r="I94" s="14">
        <f>+'EAST-EGM-VAR'!I91+'EAST-LRC-VAR'!I82</f>
        <v>5966645.8180999598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17467325</v>
      </c>
      <c r="E11" s="66">
        <f>'TX-EGM-FLSH'!M11</f>
        <v>41711686.160000004</v>
      </c>
      <c r="F11" s="60">
        <f>'TX-EGM-GL'!D11</f>
        <v>17360484</v>
      </c>
      <c r="G11" s="38">
        <f>'TX-EGM-GL'!E11</f>
        <v>44676104.640000001</v>
      </c>
      <c r="H11" s="60">
        <f>F11-D11</f>
        <v>-106841</v>
      </c>
      <c r="I11" s="38">
        <f>G11-E11</f>
        <v>2964418.4799999967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-6244446.9299999997</v>
      </c>
      <c r="H12" s="60">
        <f>F12-D12</f>
        <v>0</v>
      </c>
      <c r="I12" s="38">
        <f>G12-E12</f>
        <v>-6244446.9299999997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1475282</v>
      </c>
      <c r="E13" s="66">
        <f>'TX-EGM-FLSH'!M13</f>
        <v>3402546.59</v>
      </c>
      <c r="F13" s="60">
        <f>'TX-EGM-GL'!D13</f>
        <v>11332509</v>
      </c>
      <c r="G13" s="38">
        <f>'TX-EGM-GL'!E13</f>
        <v>26371436</v>
      </c>
      <c r="H13" s="60">
        <f t="shared" ref="H13:I15" si="0">F13-D13</f>
        <v>9857227</v>
      </c>
      <c r="I13" s="38">
        <f t="shared" si="0"/>
        <v>22968889.41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2491160</v>
      </c>
      <c r="H15" s="60">
        <f t="shared" si="0"/>
        <v>0</v>
      </c>
      <c r="I15" s="38">
        <f t="shared" si="0"/>
        <v>2371160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18942607</v>
      </c>
      <c r="E16" s="39">
        <f t="shared" si="1"/>
        <v>45234232.75</v>
      </c>
      <c r="F16" s="61">
        <f t="shared" si="1"/>
        <v>28692993</v>
      </c>
      <c r="G16" s="39">
        <f t="shared" si="1"/>
        <v>67294253.710000008</v>
      </c>
      <c r="H16" s="61">
        <f t="shared" si="1"/>
        <v>9750386</v>
      </c>
      <c r="I16" s="39">
        <f t="shared" si="1"/>
        <v>22060020.959999997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-4577602</v>
      </c>
      <c r="E19" s="66">
        <f>'TX-EGM-FLSH'!M19</f>
        <v>-10382268.059999995</v>
      </c>
      <c r="F19" s="60">
        <f>'TX-EGM-GL'!D19</f>
        <v>-4458864</v>
      </c>
      <c r="G19" s="38">
        <f>'TX-EGM-GL'!E19</f>
        <v>-10062061.159999998</v>
      </c>
      <c r="H19" s="60">
        <f>F19-D19</f>
        <v>118738</v>
      </c>
      <c r="I19" s="38">
        <f>G19-E19</f>
        <v>320206.89999999665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1843371.23</v>
      </c>
      <c r="H20" s="60">
        <f>F20-D20</f>
        <v>0</v>
      </c>
      <c r="I20" s="38">
        <f>G20-E20</f>
        <v>1843371.23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-139780</v>
      </c>
      <c r="E21" s="66">
        <f>'TX-EGM-FLSH'!M21</f>
        <v>-297683</v>
      </c>
      <c r="F21" s="60">
        <f>'TX-EGM-GL'!D21</f>
        <v>-9997007</v>
      </c>
      <c r="G21" s="38">
        <f>'TX-EGM-GL'!E21</f>
        <v>-23266574</v>
      </c>
      <c r="H21" s="60">
        <f t="shared" ref="H21:I23" si="2">F21-D21</f>
        <v>-9857227</v>
      </c>
      <c r="I21" s="38">
        <f t="shared" si="2"/>
        <v>-22968891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14</v>
      </c>
      <c r="E23" s="66">
        <f>'TX-EGM-FLSH'!M23</f>
        <v>30.82</v>
      </c>
      <c r="F23" s="60">
        <f>'TX-EGM-GL'!D23</f>
        <v>13806</v>
      </c>
      <c r="G23" s="38">
        <f>'TX-EGM-GL'!E23</f>
        <v>31381.038</v>
      </c>
      <c r="H23" s="60">
        <f t="shared" si="2"/>
        <v>13792</v>
      </c>
      <c r="I23" s="38">
        <f t="shared" si="2"/>
        <v>31350.218000000001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-4717368</v>
      </c>
      <c r="E24" s="39">
        <f t="shared" si="3"/>
        <v>-10679920.239999995</v>
      </c>
      <c r="F24" s="61">
        <f t="shared" si="3"/>
        <v>-14442065</v>
      </c>
      <c r="G24" s="39">
        <f t="shared" si="3"/>
        <v>-31453882.892000001</v>
      </c>
      <c r="H24" s="61">
        <f t="shared" si="3"/>
        <v>-9724697</v>
      </c>
      <c r="I24" s="39">
        <f t="shared" si="3"/>
        <v>-20773962.652000006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16759808</v>
      </c>
      <c r="E27" s="66">
        <f>'TX-EGM-FLSH'!M27</f>
        <v>39436699.719999999</v>
      </c>
      <c r="F27" s="60">
        <f>'TX-EGM-GL'!D27</f>
        <v>6526017</v>
      </c>
      <c r="G27" s="38">
        <f>'TX-EGM-GL'!E27</f>
        <v>15569315.129999999</v>
      </c>
      <c r="H27" s="60">
        <f>F27-D27</f>
        <v>-10233791</v>
      </c>
      <c r="I27" s="38">
        <f>G27-E27</f>
        <v>-23867384.59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-21047139</v>
      </c>
      <c r="E28" s="66">
        <f>'TX-EGM-FLSH'!M28</f>
        <v>-47754777.990000002</v>
      </c>
      <c r="F28" s="60">
        <f>'TX-EGM-GL'!D28</f>
        <v>-19758191</v>
      </c>
      <c r="G28" s="38">
        <f>'TX-EGM-GL'!E28</f>
        <v>-45170875.189999998</v>
      </c>
      <c r="H28" s="60">
        <f>F28-D28</f>
        <v>1288948</v>
      </c>
      <c r="I28" s="38">
        <f>G28-E28</f>
        <v>2583902.8000000045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-4287331</v>
      </c>
      <c r="E29" s="70">
        <f t="shared" si="4"/>
        <v>-8318078.2700000033</v>
      </c>
      <c r="F29" s="69">
        <f t="shared" si="4"/>
        <v>-13232174</v>
      </c>
      <c r="G29" s="70">
        <f t="shared" si="4"/>
        <v>-29601560.059999999</v>
      </c>
      <c r="H29" s="69">
        <f t="shared" si="4"/>
        <v>-8944843</v>
      </c>
      <c r="I29" s="70">
        <f t="shared" si="4"/>
        <v>-21283481.789999995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-22693</v>
      </c>
      <c r="G32" s="38">
        <f>'TX-EGM-GL'!E32</f>
        <v>-51581.189999998147</v>
      </c>
      <c r="H32" s="60">
        <f>F32-D32</f>
        <v>-22693</v>
      </c>
      <c r="I32" s="38">
        <f>G32-E32</f>
        <v>-51581.189999998147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-22693</v>
      </c>
      <c r="G36" s="39">
        <f t="shared" si="6"/>
        <v>-51581.189999998147</v>
      </c>
      <c r="H36" s="61">
        <f t="shared" si="6"/>
        <v>-22693</v>
      </c>
      <c r="I36" s="39">
        <f t="shared" si="6"/>
        <v>-51581.189999998147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-854082</v>
      </c>
      <c r="E40" s="66">
        <f>'TX-EGM-FLSH'!M40</f>
        <v>-1974467.45</v>
      </c>
      <c r="F40" s="60">
        <f>'TX-EGM-GL'!D40</f>
        <v>-969922</v>
      </c>
      <c r="G40" s="38">
        <f>'TX-EGM-GL'!E40</f>
        <v>-2267325.1500000004</v>
      </c>
      <c r="H40" s="60">
        <f t="shared" si="7"/>
        <v>-115840</v>
      </c>
      <c r="I40" s="38">
        <f t="shared" si="7"/>
        <v>-292857.70000000042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-854082</v>
      </c>
      <c r="E42" s="70">
        <f t="shared" si="8"/>
        <v>-1974467.45</v>
      </c>
      <c r="F42" s="69">
        <f t="shared" si="8"/>
        <v>-969922</v>
      </c>
      <c r="G42" s="70">
        <f t="shared" si="8"/>
        <v>-2267325.1500000004</v>
      </c>
      <c r="H42" s="69">
        <f t="shared" si="8"/>
        <v>-115840</v>
      </c>
      <c r="I42" s="70">
        <f t="shared" si="8"/>
        <v>-292857.70000000042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-854082</v>
      </c>
      <c r="E43" s="39">
        <f t="shared" si="9"/>
        <v>-1974467.45</v>
      </c>
      <c r="F43" s="61">
        <f t="shared" si="9"/>
        <v>-969922</v>
      </c>
      <c r="G43" s="39">
        <f t="shared" si="9"/>
        <v>-2267325.1500000004</v>
      </c>
      <c r="H43" s="61">
        <f t="shared" si="9"/>
        <v>-115840</v>
      </c>
      <c r="I43" s="39">
        <f t="shared" si="9"/>
        <v>-292857.70000000042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-9083826</v>
      </c>
      <c r="E49" s="66">
        <f>'TX-EGM-FLSH'!M49</f>
        <v>-20648848.037081048</v>
      </c>
      <c r="F49" s="60">
        <f>'TX-EGM-GL'!D49</f>
        <v>-26139</v>
      </c>
      <c r="G49" s="38">
        <f>'TX-EGM-GL'!E49</f>
        <v>-59413.945999999982</v>
      </c>
      <c r="H49" s="60">
        <f>F49-D49</f>
        <v>9057687</v>
      </c>
      <c r="I49" s="38">
        <f>G49-E49</f>
        <v>20589434.091081049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-14</v>
      </c>
      <c r="E51" s="66">
        <f>'TX-EGM-FLSH'!M51</f>
        <v>0</v>
      </c>
      <c r="F51" s="60">
        <f>'TX-EGM-GL'!D51</f>
        <v>-13806</v>
      </c>
      <c r="G51" s="38">
        <f>'TX-EGM-GL'!E51</f>
        <v>-31381.038</v>
      </c>
      <c r="H51" s="60">
        <f>F51-D51</f>
        <v>-13792</v>
      </c>
      <c r="I51" s="38">
        <f>G51-E51</f>
        <v>-31381.038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-475000</v>
      </c>
      <c r="F54" s="60">
        <f>'TX-EGM-GL'!D54</f>
        <v>-16447218</v>
      </c>
      <c r="G54" s="38">
        <f>'TX-EGM-GL'!E54</f>
        <v>-408955.20999999996</v>
      </c>
      <c r="H54" s="60">
        <f>F54-D54</f>
        <v>-16447218</v>
      </c>
      <c r="I54" s="38">
        <f>G54-E54</f>
        <v>66044.790000000037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-143319.06</v>
      </c>
      <c r="H55" s="60">
        <f>F55-D55</f>
        <v>0</v>
      </c>
      <c r="I55" s="38">
        <f>G55-E55</f>
        <v>-143319.06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-475000</v>
      </c>
      <c r="F56" s="61">
        <f t="shared" si="10"/>
        <v>-16447218</v>
      </c>
      <c r="G56" s="39">
        <f t="shared" si="10"/>
        <v>-552274.27</v>
      </c>
      <c r="H56" s="61">
        <f t="shared" si="10"/>
        <v>-16447218</v>
      </c>
      <c r="I56" s="39">
        <f t="shared" si="10"/>
        <v>-77274.26999999996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-20297.379999999997</v>
      </c>
      <c r="H64" s="60">
        <f>F64-D64</f>
        <v>0</v>
      </c>
      <c r="I64" s="38">
        <f>G64-E64</f>
        <v>-20297.379999999997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-20297.379999999997</v>
      </c>
      <c r="H66" s="61">
        <f t="shared" si="12"/>
        <v>0</v>
      </c>
      <c r="I66" s="39">
        <f t="shared" si="12"/>
        <v>-20297.379999999997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-2639306.77</v>
      </c>
      <c r="F70" s="60">
        <f>'TX-EGM-GL'!D70</f>
        <v>0</v>
      </c>
      <c r="G70" s="38">
        <f>'TX-EGM-GL'!E70</f>
        <v>-2639306.77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739519</v>
      </c>
      <c r="F71" s="60">
        <f>'TX-EGM-GL'!D71</f>
        <v>0</v>
      </c>
      <c r="G71" s="38">
        <f>'TX-EGM-GL'!E71</f>
        <v>739518.78</v>
      </c>
      <c r="H71" s="60">
        <f>F71-D71</f>
        <v>0</v>
      </c>
      <c r="I71" s="38">
        <f>G71-E71</f>
        <v>-0.21999999997206032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-1899787.77</v>
      </c>
      <c r="F72" s="69">
        <f t="shared" si="13"/>
        <v>0</v>
      </c>
      <c r="G72" s="70">
        <f t="shared" si="13"/>
        <v>-1899787.99</v>
      </c>
      <c r="H72" s="69">
        <f t="shared" si="13"/>
        <v>0</v>
      </c>
      <c r="I72" s="70">
        <f t="shared" si="13"/>
        <v>-0.21999999997206032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1778233.65</v>
      </c>
      <c r="F74" s="60">
        <f>'TX-EGM-GL'!D74</f>
        <v>0</v>
      </c>
      <c r="G74" s="38">
        <f>'TX-EGM-GL'!E74</f>
        <v>-197969.77000000002</v>
      </c>
      <c r="H74" s="60">
        <f t="shared" ref="H74:I79" si="14">F74-D74</f>
        <v>0</v>
      </c>
      <c r="I74" s="38">
        <f t="shared" si="14"/>
        <v>-1976203.42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17704</v>
      </c>
      <c r="F75" s="60">
        <f>'TX-EGM-GL'!D75</f>
        <v>0</v>
      </c>
      <c r="G75" s="38">
        <f>'TX-EGM-GL'!E75</f>
        <v>17700</v>
      </c>
      <c r="H75" s="60">
        <f t="shared" si="14"/>
        <v>0</v>
      </c>
      <c r="I75" s="38">
        <f t="shared" si="14"/>
        <v>-4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-2541.2800000000002</v>
      </c>
      <c r="H76" s="60">
        <f t="shared" si="14"/>
        <v>0</v>
      </c>
      <c r="I76" s="38">
        <f t="shared" si="14"/>
        <v>-2541.2800000000002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-207047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207047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2827021.6329189576</v>
      </c>
      <c r="F82" s="109">
        <f>F16+F24+F29+F36+F43+F45+F47+F49</f>
        <v>0</v>
      </c>
      <c r="G82" s="110">
        <f>SUM(G72:G81)+G16+G24+G29+G36+G43+G45+G47+G49+G51+G56+G61+G66</f>
        <v>1173938.7440000151</v>
      </c>
      <c r="H82" s="109">
        <f>H16+H24+H29+H36+H43+H45+H47+H49</f>
        <v>0</v>
      </c>
      <c r="I82" s="110">
        <f>SUM(I72:I81)+I16+I24+I29+I36+I43+I45+I47+I49+I51+I56+I61+I66</f>
        <v>-1653082.88891895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'TX-EGM-FLSH'!L86</f>
        <v>0</v>
      </c>
      <c r="E86" s="145">
        <f>'TX-EGM-FLSH'!M86</f>
        <v>2647064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-2647064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-2114953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2114953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532111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-532111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3359132.6329189576</v>
      </c>
      <c r="F91" s="160">
        <f t="shared" si="17"/>
        <v>0</v>
      </c>
      <c r="G91" s="160">
        <f t="shared" si="17"/>
        <v>1173938.7440000151</v>
      </c>
      <c r="H91" s="160">
        <f t="shared" si="17"/>
        <v>0</v>
      </c>
      <c r="I91" s="160">
        <f t="shared" si="17"/>
        <v>-2185193.8889189502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115828</v>
      </c>
      <c r="E11" s="66">
        <f>'TX-HPLR-FLSH'!M11</f>
        <v>268689.84000000358</v>
      </c>
      <c r="F11" s="60">
        <f>'TX-HPLR-GL '!D11</f>
        <v>116720</v>
      </c>
      <c r="G11" s="38">
        <f>'TX-HPLR-GL '!E11</f>
        <v>275575.92</v>
      </c>
      <c r="H11" s="60">
        <f>F11-D11</f>
        <v>892</v>
      </c>
      <c r="I11" s="38">
        <f>G11-E11</f>
        <v>6886.0799999964074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-4575.6000000000004</v>
      </c>
      <c r="H12" s="60">
        <f>F12-D12</f>
        <v>0</v>
      </c>
      <c r="I12" s="38">
        <f>G12-E12</f>
        <v>-4575.6000000000004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0.41000000014901161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-0.41000000014901161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115828</v>
      </c>
      <c r="E16" s="39">
        <f t="shared" si="1"/>
        <v>268690.25000000373</v>
      </c>
      <c r="F16" s="61">
        <f t="shared" si="1"/>
        <v>116720</v>
      </c>
      <c r="G16" s="39">
        <f t="shared" si="1"/>
        <v>271000.32000000001</v>
      </c>
      <c r="H16" s="61">
        <f t="shared" si="1"/>
        <v>892</v>
      </c>
      <c r="I16" s="39">
        <f t="shared" si="1"/>
        <v>2310.069999996258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-5.9399999976158142</v>
      </c>
      <c r="F19" s="60">
        <f>'TX-HPLR-GL '!D19</f>
        <v>0</v>
      </c>
      <c r="G19" s="38">
        <f>'TX-HPLR-GL '!E19</f>
        <v>-121977.84</v>
      </c>
      <c r="H19" s="60">
        <f>F19-D19</f>
        <v>0</v>
      </c>
      <c r="I19" s="38">
        <f>G19-E19</f>
        <v>-121971.90000000238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-1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1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-1.819999999999709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1.819999999999709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-8.7599999976155232</v>
      </c>
      <c r="F24" s="61">
        <f t="shared" si="3"/>
        <v>0</v>
      </c>
      <c r="G24" s="39">
        <f t="shared" si="3"/>
        <v>-121977.84</v>
      </c>
      <c r="H24" s="61">
        <f t="shared" si="3"/>
        <v>0</v>
      </c>
      <c r="I24" s="39">
        <f t="shared" si="3"/>
        <v>-121969.08000000237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0.2800000011920929</v>
      </c>
      <c r="F27" s="60">
        <f>'TX-HPLR-GL '!D27</f>
        <v>0</v>
      </c>
      <c r="G27" s="38">
        <f>'TX-HPLR-GL '!E27</f>
        <v>627.67679999999746</v>
      </c>
      <c r="H27" s="60">
        <f>F27-D27</f>
        <v>0</v>
      </c>
      <c r="I27" s="38">
        <f>G27-E27</f>
        <v>627.39679999880536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-232540</v>
      </c>
      <c r="E28" s="66">
        <f>'TX-HPLR-FLSH'!M28</f>
        <v>-538353.00999999046</v>
      </c>
      <c r="F28" s="60">
        <f>'TX-HPLR-GL '!D28</f>
        <v>-116720</v>
      </c>
      <c r="G28" s="38">
        <f>'TX-HPLR-GL '!E28</f>
        <v>-273124.8</v>
      </c>
      <c r="H28" s="60">
        <f>F28-D28</f>
        <v>115820</v>
      </c>
      <c r="I28" s="38">
        <f>G28-E28</f>
        <v>265228.20999999047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-232540</v>
      </c>
      <c r="E29" s="70">
        <f t="shared" si="4"/>
        <v>-538352.72999998927</v>
      </c>
      <c r="F29" s="69">
        <f t="shared" si="4"/>
        <v>-116720</v>
      </c>
      <c r="G29" s="70">
        <f t="shared" si="4"/>
        <v>-272497.12319999997</v>
      </c>
      <c r="H29" s="69">
        <f t="shared" si="4"/>
        <v>115820</v>
      </c>
      <c r="I29" s="70">
        <f t="shared" si="4"/>
        <v>265855.6067999893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0.44999999925494194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-0.44999999925494194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0.44999999925494194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-0.44999999925494194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0.44999999925494194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-0.44999999925494194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113410.16</v>
      </c>
      <c r="H47" s="60">
        <f>F47-D47</f>
        <v>0</v>
      </c>
      <c r="I47" s="38">
        <f>G47-E47</f>
        <v>113410.16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116712</v>
      </c>
      <c r="E49" s="66">
        <f>'TX-HPLR-FLSH'!M49</f>
        <v>265303.22708777338</v>
      </c>
      <c r="F49" s="60">
        <f>'TX-HPLR-GL '!D49</f>
        <v>0</v>
      </c>
      <c r="G49" s="38">
        <f>'TX-HPLR-GL '!E49</f>
        <v>0</v>
      </c>
      <c r="H49" s="60">
        <f>F49-D49</f>
        <v>-116712</v>
      </c>
      <c r="I49" s="38">
        <f>G49-E49</f>
        <v>-265303.22708777338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14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-14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-4367.5629122105311</v>
      </c>
      <c r="F82" s="109">
        <f>F16+F24+F29+F36+F43+F45+F47+F49</f>
        <v>0</v>
      </c>
      <c r="G82" s="110">
        <f>SUM(G72:G81)+G16+G24+G29+G36+G43+G45+G47+G49+G51+G56+G61+G66</f>
        <v>-10064.483199999959</v>
      </c>
      <c r="H82" s="109">
        <f>H16+H24+H29+H36+H43+H45+H47+H49</f>
        <v>0</v>
      </c>
      <c r="I82" s="110">
        <f>SUM(I72:I81)+I16+I24+I29+I36+I43+I45+I47+I49+I51+I56+I61+I66</f>
        <v>-5696.9202877894568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38222321</v>
      </c>
      <c r="E11" s="66">
        <f>'TX-HPLC-FLSH'!M11</f>
        <v>89664557</v>
      </c>
      <c r="F11" s="60">
        <f>'TX-HPLC-GL'!D11</f>
        <v>38369188</v>
      </c>
      <c r="G11" s="38">
        <f>'TX-HPLC-GL'!E11</f>
        <v>90947392.359999999</v>
      </c>
      <c r="H11" s="60">
        <f>F11-D11</f>
        <v>146867</v>
      </c>
      <c r="I11" s="38">
        <f>G11-E11</f>
        <v>1282835.3599999994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-1420122.48</v>
      </c>
      <c r="H12" s="60">
        <f>F12-D12</f>
        <v>0</v>
      </c>
      <c r="I12" s="38">
        <f>G12-E12</f>
        <v>-1420122.48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1467486</v>
      </c>
      <c r="E13" s="66">
        <f>'TX-HPLC-FLSH'!M13</f>
        <v>3771001</v>
      </c>
      <c r="F13" s="60">
        <f>'TX-HPLC-GL'!D13</f>
        <v>0</v>
      </c>
      <c r="G13" s="38">
        <f>'TX-HPLC-GL'!E13</f>
        <v>-2491160</v>
      </c>
      <c r="H13" s="60">
        <f t="shared" ref="H13:I15" si="0">F13-D13</f>
        <v>-1467486</v>
      </c>
      <c r="I13" s="38">
        <f t="shared" si="0"/>
        <v>-6262161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120000</v>
      </c>
      <c r="H15" s="60">
        <f t="shared" si="0"/>
        <v>0</v>
      </c>
      <c r="I15" s="38">
        <f t="shared" si="0"/>
        <v>120000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39689807</v>
      </c>
      <c r="E16" s="39">
        <f t="shared" si="1"/>
        <v>93435558</v>
      </c>
      <c r="F16" s="61">
        <f t="shared" si="1"/>
        <v>38369188</v>
      </c>
      <c r="G16" s="39">
        <f t="shared" si="1"/>
        <v>87156109.879999995</v>
      </c>
      <c r="H16" s="61">
        <f t="shared" si="1"/>
        <v>-1320619</v>
      </c>
      <c r="I16" s="39">
        <f t="shared" si="1"/>
        <v>-6279448.120000001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-50284590</v>
      </c>
      <c r="E19" s="66">
        <f>'TX-HPLC-FLSH'!M19</f>
        <v>-114328218</v>
      </c>
      <c r="F19" s="60">
        <f>'TX-HPLC-GL'!D19</f>
        <v>-50068501</v>
      </c>
      <c r="G19" s="38">
        <f>'TX-HPLC-GL'!E19</f>
        <v>-113425930.81</v>
      </c>
      <c r="H19" s="60">
        <f>F19-D19</f>
        <v>216089</v>
      </c>
      <c r="I19" s="38">
        <f>G19-E19</f>
        <v>902287.18999999762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-258817.59</v>
      </c>
      <c r="H20" s="60">
        <f>F20-D20</f>
        <v>0</v>
      </c>
      <c r="I20" s="38">
        <f>G20-E20</f>
        <v>-258817.59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-990233</v>
      </c>
      <c r="E21" s="66">
        <f>'TX-HPLC-FLSH'!M21</f>
        <v>-2355679</v>
      </c>
      <c r="F21" s="60">
        <f>'TX-HPLC-GL'!D21</f>
        <v>0</v>
      </c>
      <c r="G21" s="38">
        <f>'TX-HPLC-GL'!E21</f>
        <v>0</v>
      </c>
      <c r="H21" s="60">
        <f t="shared" ref="H21:I23" si="2">F21-D21</f>
        <v>990233</v>
      </c>
      <c r="I21" s="38">
        <f t="shared" si="2"/>
        <v>2355679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13349</v>
      </c>
      <c r="E23" s="66">
        <f>'TX-HPLC-FLSH'!M23</f>
        <v>31419</v>
      </c>
      <c r="F23" s="60">
        <f>'TX-HPLC-GL'!D23</f>
        <v>0</v>
      </c>
      <c r="G23" s="38">
        <f>'TX-HPLC-GL'!E23</f>
        <v>0</v>
      </c>
      <c r="H23" s="60">
        <f t="shared" si="2"/>
        <v>-13349</v>
      </c>
      <c r="I23" s="38">
        <f t="shared" si="2"/>
        <v>-31419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-51261474</v>
      </c>
      <c r="E24" s="39">
        <f t="shared" si="3"/>
        <v>-116652478</v>
      </c>
      <c r="F24" s="61">
        <f t="shared" si="3"/>
        <v>-50068501</v>
      </c>
      <c r="G24" s="39">
        <f t="shared" si="3"/>
        <v>-113684748.40000001</v>
      </c>
      <c r="H24" s="61">
        <f t="shared" si="3"/>
        <v>1192973</v>
      </c>
      <c r="I24" s="39">
        <f t="shared" si="3"/>
        <v>2967729.5999999978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75102214</v>
      </c>
      <c r="E27" s="66">
        <f>'TX-HPLC-FLSH'!M27</f>
        <v>176559658</v>
      </c>
      <c r="F27" s="60">
        <f>'TX-HPLC-GL'!D27</f>
        <v>21501816</v>
      </c>
      <c r="G27" s="38">
        <f>'TX-HPLC-GL'!E27</f>
        <v>49617583.439999998</v>
      </c>
      <c r="H27" s="60">
        <f>F27-D27</f>
        <v>-53600398</v>
      </c>
      <c r="I27" s="38">
        <f>G27-E27</f>
        <v>-126942074.56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-69806478</v>
      </c>
      <c r="E28" s="66">
        <f>'TX-HPLC-FLSH'!M28</f>
        <v>-165888207</v>
      </c>
      <c r="F28" s="60">
        <f>'TX-HPLC-GL'!D28</f>
        <v>-7628546</v>
      </c>
      <c r="G28" s="38">
        <f>'TX-HPLC-GL'!E28</f>
        <v>-18193605.170000002</v>
      </c>
      <c r="H28" s="60">
        <f>F28-D28</f>
        <v>62177932</v>
      </c>
      <c r="I28" s="38">
        <f>G28-E28</f>
        <v>147694601.82999998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5295736</v>
      </c>
      <c r="E29" s="70">
        <f t="shared" si="4"/>
        <v>10671451</v>
      </c>
      <c r="F29" s="69">
        <f t="shared" si="4"/>
        <v>13873270</v>
      </c>
      <c r="G29" s="70">
        <f t="shared" si="4"/>
        <v>31423978.269999996</v>
      </c>
      <c r="H29" s="69">
        <f t="shared" si="4"/>
        <v>8577534</v>
      </c>
      <c r="I29" s="70">
        <f t="shared" si="4"/>
        <v>20752527.269999981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74812</v>
      </c>
      <c r="G32" s="38">
        <f>'TX-HPLC-GL'!E32</f>
        <v>170047.96000000002</v>
      </c>
      <c r="H32" s="60">
        <f>F32-D32</f>
        <v>74812</v>
      </c>
      <c r="I32" s="38">
        <f>G32-E32</f>
        <v>170047.96000000002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74812</v>
      </c>
      <c r="G36" s="39">
        <f t="shared" si="6"/>
        <v>170047.96000000002</v>
      </c>
      <c r="H36" s="61">
        <f t="shared" si="6"/>
        <v>74812</v>
      </c>
      <c r="I36" s="39">
        <f t="shared" si="6"/>
        <v>170047.96000000002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10544159</v>
      </c>
      <c r="E39" s="66">
        <f>'TX-HPLC-FLSH'!M39</f>
        <v>25341242</v>
      </c>
      <c r="F39" s="60">
        <f>'TX-HPLC-GL'!D39</f>
        <v>0</v>
      </c>
      <c r="G39" s="38">
        <f>'TX-HPLC-GL'!E39</f>
        <v>-120910</v>
      </c>
      <c r="H39" s="60">
        <f t="shared" ref="H39:I41" si="7">F39-D39</f>
        <v>-10544159</v>
      </c>
      <c r="I39" s="38">
        <f t="shared" si="7"/>
        <v>-25462152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-12580174</v>
      </c>
      <c r="E40" s="66">
        <f>'TX-HPLC-FLSH'!M40</f>
        <v>-30100306</v>
      </c>
      <c r="F40" s="60">
        <f>'TX-HPLC-GL'!D40</f>
        <v>-2562387</v>
      </c>
      <c r="G40" s="38">
        <f>'TX-HPLC-GL'!E40</f>
        <v>-5773159.5099999998</v>
      </c>
      <c r="H40" s="60">
        <f t="shared" si="7"/>
        <v>10017787</v>
      </c>
      <c r="I40" s="38">
        <f t="shared" si="7"/>
        <v>24327146.490000002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-291950</v>
      </c>
      <c r="H41" s="60">
        <f t="shared" si="7"/>
        <v>0</v>
      </c>
      <c r="I41" s="38">
        <f t="shared" si="7"/>
        <v>-291950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-12580174</v>
      </c>
      <c r="E42" s="70">
        <f t="shared" si="8"/>
        <v>-30100306</v>
      </c>
      <c r="F42" s="69">
        <f t="shared" si="8"/>
        <v>-2562387</v>
      </c>
      <c r="G42" s="70">
        <f t="shared" si="8"/>
        <v>-6065109.5099999998</v>
      </c>
      <c r="H42" s="69">
        <f t="shared" si="8"/>
        <v>10017787</v>
      </c>
      <c r="I42" s="70">
        <f t="shared" si="8"/>
        <v>24035196.490000002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-2036015</v>
      </c>
      <c r="E43" s="39">
        <f t="shared" si="9"/>
        <v>-4759064</v>
      </c>
      <c r="F43" s="61">
        <f t="shared" si="9"/>
        <v>-2562387</v>
      </c>
      <c r="G43" s="39">
        <f t="shared" si="9"/>
        <v>-6186019.5099999998</v>
      </c>
      <c r="H43" s="61">
        <f t="shared" si="9"/>
        <v>-526372</v>
      </c>
      <c r="I43" s="39">
        <f t="shared" si="9"/>
        <v>-1426955.5099999979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8311946</v>
      </c>
      <c r="E49" s="66">
        <f>'TX-HPLC-FLSH'!M49</f>
        <v>18894253.351663016</v>
      </c>
      <c r="F49" s="60">
        <f>'TX-HPLC-GL'!D49</f>
        <v>313618</v>
      </c>
      <c r="G49" s="38">
        <f>'TX-HPLC-GL'!E49</f>
        <v>712853.91</v>
      </c>
      <c r="H49" s="60">
        <f>F49-D49</f>
        <v>-7998328</v>
      </c>
      <c r="I49" s="38">
        <f>G49-E49</f>
        <v>-18181399.441663016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-1544388.7</v>
      </c>
      <c r="F54" s="60">
        <f>'TX-HPLC-GL'!D54</f>
        <v>-233778</v>
      </c>
      <c r="G54" s="38">
        <f>'TX-HPLC-GL'!E54</f>
        <v>-1368143.22</v>
      </c>
      <c r="H54" s="60">
        <f>F54-D54</f>
        <v>-233778</v>
      </c>
      <c r="I54" s="38">
        <f>G54-E54</f>
        <v>176245.47999999998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146298.89000000001</v>
      </c>
      <c r="H55" s="60">
        <f>F55-D55</f>
        <v>0</v>
      </c>
      <c r="I55" s="38">
        <f>G55-E55</f>
        <v>146298.89000000001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-1544388.7</v>
      </c>
      <c r="F56" s="61">
        <f t="shared" si="10"/>
        <v>-233778</v>
      </c>
      <c r="G56" s="39">
        <f t="shared" si="10"/>
        <v>-1221844.33</v>
      </c>
      <c r="H56" s="61">
        <f t="shared" si="10"/>
        <v>-233778</v>
      </c>
      <c r="I56" s="39">
        <f t="shared" si="10"/>
        <v>322544.37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33526</v>
      </c>
      <c r="H60" s="60">
        <f>F60-D60</f>
        <v>0</v>
      </c>
      <c r="I60" s="38">
        <f>G60-E60</f>
        <v>33526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33526</v>
      </c>
      <c r="H61" s="69">
        <f t="shared" si="11"/>
        <v>0</v>
      </c>
      <c r="I61" s="70">
        <f t="shared" si="11"/>
        <v>33526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1960449.6800000002</v>
      </c>
      <c r="H74" s="60">
        <f t="shared" ref="H74:I79" si="14">F74-D74</f>
        <v>0</v>
      </c>
      <c r="I74" s="38">
        <f t="shared" si="14"/>
        <v>1960449.6800000002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-2541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2541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-61128</v>
      </c>
      <c r="H81" s="60">
        <f>F81-D81</f>
        <v>0</v>
      </c>
      <c r="I81" s="38">
        <f>G81-E81</f>
        <v>-61128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-55509.348336984171</v>
      </c>
      <c r="F82" s="109">
        <f>F16+F24+F29+F36+F43+F45+F47+F49</f>
        <v>0</v>
      </c>
      <c r="G82" s="110">
        <f>SUM(G72:G81)+G16+G24+G29+G36+G43+G45+G47+G49+G51+G56+G61+G66</f>
        <v>204925.45999999251</v>
      </c>
      <c r="H82" s="109">
        <f>H16+H24+H29+H36+H43+H45+H47+H49</f>
        <v>0</v>
      </c>
      <c r="I82" s="110">
        <f>SUM(I72:I81)+I16+I24+I29+I36+I43+I45+I47+I49+I51+I56+I61+I66</f>
        <v>260434.80833696469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2679418.91</v>
      </c>
      <c r="H86" s="145">
        <f t="shared" ref="H86:I88" si="15">F86-D86</f>
        <v>0</v>
      </c>
      <c r="I86" s="145">
        <f t="shared" si="15"/>
        <v>2679418.91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-2147419</v>
      </c>
      <c r="H88" s="147">
        <f t="shared" si="15"/>
        <v>0</v>
      </c>
      <c r="I88" s="147">
        <f t="shared" si="15"/>
        <v>-2147419</v>
      </c>
    </row>
    <row r="89" spans="1:63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531999.91000000015</v>
      </c>
      <c r="H89" s="160">
        <f t="shared" si="16"/>
        <v>0</v>
      </c>
      <c r="I89" s="160">
        <f t="shared" si="16"/>
        <v>531999.91000000015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-55509.348336984171</v>
      </c>
      <c r="F91" s="160">
        <f t="shared" si="17"/>
        <v>0</v>
      </c>
      <c r="G91" s="160">
        <f t="shared" si="17"/>
        <v>736925.36999999266</v>
      </c>
      <c r="H91" s="160">
        <f t="shared" si="17"/>
        <v>0</v>
      </c>
      <c r="I91" s="160">
        <f t="shared" si="17"/>
        <v>792434.71833696484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55805474</v>
      </c>
      <c r="E11" s="66">
        <f>'TX-CON-FLSH'!M11</f>
        <v>131644933</v>
      </c>
      <c r="F11" s="60">
        <f>'TX-CON-GL '!D11</f>
        <v>55846392</v>
      </c>
      <c r="G11" s="38">
        <f>'TX-CON-GL '!E11</f>
        <v>135899072.92000002</v>
      </c>
      <c r="H11" s="60">
        <f>F11-D11</f>
        <v>40918</v>
      </c>
      <c r="I11" s="38">
        <f>G11-E11</f>
        <v>4254139.9200000167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-7669145.0099999998</v>
      </c>
      <c r="H12" s="60">
        <f>F12-D12</f>
        <v>0</v>
      </c>
      <c r="I12" s="38">
        <f>G12-E12</f>
        <v>-7669145.0099999998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2942768</v>
      </c>
      <c r="E13" s="66">
        <f>'TX-CON-FLSH'!M13</f>
        <v>7173548</v>
      </c>
      <c r="F13" s="60">
        <f>'TX-CON-GL '!D13</f>
        <v>11332509</v>
      </c>
      <c r="G13" s="38">
        <f>'TX-CON-GL '!E13</f>
        <v>23880276</v>
      </c>
      <c r="H13" s="60">
        <f t="shared" ref="H13:I15" si="0">F13-D13</f>
        <v>8389741</v>
      </c>
      <c r="I13" s="38">
        <f t="shared" si="0"/>
        <v>16706728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2611160</v>
      </c>
      <c r="H15" s="60">
        <f t="shared" si="0"/>
        <v>0</v>
      </c>
      <c r="I15" s="38">
        <f t="shared" si="0"/>
        <v>2491160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58748242</v>
      </c>
      <c r="E16" s="39">
        <f t="shared" si="1"/>
        <v>138938481</v>
      </c>
      <c r="F16" s="61">
        <f t="shared" si="1"/>
        <v>67178901</v>
      </c>
      <c r="G16" s="39">
        <f t="shared" si="1"/>
        <v>154721363.91000003</v>
      </c>
      <c r="H16" s="61">
        <f t="shared" si="1"/>
        <v>8430659</v>
      </c>
      <c r="I16" s="39">
        <f t="shared" si="1"/>
        <v>15782882.910000017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-54862192</v>
      </c>
      <c r="E19" s="66">
        <f>'TX-CON-FLSH'!M19</f>
        <v>-124710492</v>
      </c>
      <c r="F19" s="60">
        <f>'TX-CON-GL '!D19</f>
        <v>-54527365</v>
      </c>
      <c r="G19" s="38">
        <f>'TX-CON-GL '!E19</f>
        <v>-123609969.81</v>
      </c>
      <c r="H19" s="60">
        <f>F19-D19</f>
        <v>334827</v>
      </c>
      <c r="I19" s="38">
        <f>G19-E19</f>
        <v>1100522.1899999976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1584553.6400000001</v>
      </c>
      <c r="H20" s="60">
        <f>F20-D20</f>
        <v>0</v>
      </c>
      <c r="I20" s="38">
        <f>G20-E20</f>
        <v>1584553.6400000001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-1130013</v>
      </c>
      <c r="E21" s="66">
        <f>'TX-CON-FLSH'!M21</f>
        <v>-2653363</v>
      </c>
      <c r="F21" s="60">
        <f>'TX-CON-GL '!D21</f>
        <v>-9997007</v>
      </c>
      <c r="G21" s="38">
        <f>'TX-CON-GL '!E21</f>
        <v>-23266574</v>
      </c>
      <c r="H21" s="60">
        <f t="shared" ref="H21:I23" si="2">F21-D21</f>
        <v>-8866994</v>
      </c>
      <c r="I21" s="38">
        <f t="shared" si="2"/>
        <v>-20613211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13363</v>
      </c>
      <c r="E23" s="66">
        <f>'TX-CON-FLSH'!M23</f>
        <v>31448</v>
      </c>
      <c r="F23" s="60">
        <f>'TX-CON-GL '!D23</f>
        <v>13806</v>
      </c>
      <c r="G23" s="38">
        <f>'TX-CON-GL '!E23</f>
        <v>31381.038</v>
      </c>
      <c r="H23" s="60">
        <f t="shared" si="2"/>
        <v>443</v>
      </c>
      <c r="I23" s="38">
        <f t="shared" si="2"/>
        <v>-66.961999999999534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-55978842</v>
      </c>
      <c r="E24" s="39">
        <f t="shared" si="3"/>
        <v>-127332407</v>
      </c>
      <c r="F24" s="61">
        <f t="shared" si="3"/>
        <v>-64510566</v>
      </c>
      <c r="G24" s="39">
        <f t="shared" si="3"/>
        <v>-145260609.13200003</v>
      </c>
      <c r="H24" s="61">
        <f t="shared" si="3"/>
        <v>-8531724</v>
      </c>
      <c r="I24" s="39">
        <f t="shared" si="3"/>
        <v>-17928202.132000003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91862022</v>
      </c>
      <c r="E27" s="66">
        <f>'TX-CON-FLSH'!M27</f>
        <v>215996358</v>
      </c>
      <c r="F27" s="60">
        <f>'TX-CON-GL '!D27</f>
        <v>28027833</v>
      </c>
      <c r="G27" s="38">
        <f>'TX-CON-GL '!E27</f>
        <v>65187526.246799998</v>
      </c>
      <c r="H27" s="60">
        <f>F27-D27</f>
        <v>-63834189</v>
      </c>
      <c r="I27" s="38">
        <f>G27-E27</f>
        <v>-150808831.75319999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-91086157</v>
      </c>
      <c r="E28" s="66">
        <f>'TX-CON-FLSH'!M28</f>
        <v>-214181338</v>
      </c>
      <c r="F28" s="60">
        <f>'TX-CON-GL '!D28</f>
        <v>-27503457</v>
      </c>
      <c r="G28" s="38">
        <f>'TX-CON-GL '!E28</f>
        <v>-63637605.160000004</v>
      </c>
      <c r="H28" s="60">
        <f>F28-D28</f>
        <v>63582700</v>
      </c>
      <c r="I28" s="38">
        <f>G28-E28</f>
        <v>150543732.84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775865</v>
      </c>
      <c r="E29" s="70">
        <f t="shared" si="4"/>
        <v>1815020</v>
      </c>
      <c r="F29" s="69">
        <f t="shared" si="4"/>
        <v>524376</v>
      </c>
      <c r="G29" s="70">
        <f t="shared" si="4"/>
        <v>1549921.0867999941</v>
      </c>
      <c r="H29" s="69">
        <f t="shared" si="4"/>
        <v>-251489</v>
      </c>
      <c r="I29" s="70">
        <f t="shared" si="4"/>
        <v>-265098.91319999099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52119</v>
      </c>
      <c r="G32" s="38">
        <f>'TX-CON-GL '!E32</f>
        <v>118466.77000000187</v>
      </c>
      <c r="H32" s="60">
        <f>F32-D32</f>
        <v>52119</v>
      </c>
      <c r="I32" s="38">
        <f>G32-E32</f>
        <v>118466.77000000187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52119</v>
      </c>
      <c r="G36" s="39">
        <f t="shared" si="6"/>
        <v>118466.77000000187</v>
      </c>
      <c r="H36" s="61">
        <f t="shared" si="6"/>
        <v>52119</v>
      </c>
      <c r="I36" s="39">
        <f t="shared" si="6"/>
        <v>118466.77000000187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10544159</v>
      </c>
      <c r="E39" s="66">
        <f>'TX-CON-FLSH'!M39</f>
        <v>25341242</v>
      </c>
      <c r="F39" s="60">
        <f>'TX-CON-GL '!D39</f>
        <v>0</v>
      </c>
      <c r="G39" s="38">
        <f>'TX-CON-GL '!E39</f>
        <v>-120910</v>
      </c>
      <c r="H39" s="60">
        <f t="shared" ref="H39:I41" si="7">F39-D39</f>
        <v>-10544159</v>
      </c>
      <c r="I39" s="38">
        <f t="shared" si="7"/>
        <v>-25462152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-13434256</v>
      </c>
      <c r="E40" s="66">
        <f>'TX-CON-FLSH'!M40</f>
        <v>-32074773</v>
      </c>
      <c r="F40" s="60">
        <f>'TX-CON-GL '!D40</f>
        <v>-3532309</v>
      </c>
      <c r="G40" s="38">
        <f>'TX-CON-GL '!E40</f>
        <v>-8040484.6600000001</v>
      </c>
      <c r="H40" s="60">
        <f t="shared" si="7"/>
        <v>9901947</v>
      </c>
      <c r="I40" s="38">
        <f t="shared" si="7"/>
        <v>24034288.34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-291950</v>
      </c>
      <c r="H41" s="60">
        <f t="shared" si="7"/>
        <v>0</v>
      </c>
      <c r="I41" s="38">
        <f t="shared" si="7"/>
        <v>-291950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-13434256</v>
      </c>
      <c r="E42" s="70">
        <f t="shared" si="8"/>
        <v>-32074773</v>
      </c>
      <c r="F42" s="69">
        <f t="shared" si="8"/>
        <v>-3532309</v>
      </c>
      <c r="G42" s="70">
        <f t="shared" si="8"/>
        <v>-8332434.6600000001</v>
      </c>
      <c r="H42" s="69">
        <f t="shared" si="8"/>
        <v>9901947</v>
      </c>
      <c r="I42" s="70">
        <f t="shared" si="8"/>
        <v>23742338.34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-2890097</v>
      </c>
      <c r="E43" s="39">
        <f t="shared" si="9"/>
        <v>-6733531</v>
      </c>
      <c r="F43" s="61">
        <f t="shared" si="9"/>
        <v>-3532309</v>
      </c>
      <c r="G43" s="39">
        <f t="shared" si="9"/>
        <v>-8453344.6600000001</v>
      </c>
      <c r="H43" s="61">
        <f t="shared" si="9"/>
        <v>-642212</v>
      </c>
      <c r="I43" s="39">
        <f t="shared" si="9"/>
        <v>-1719813.6600000001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113410.16</v>
      </c>
      <c r="H47" s="60">
        <f>F47-D47</f>
        <v>0</v>
      </c>
      <c r="I47" s="38">
        <f>G47-E47</f>
        <v>113410.16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-655168</v>
      </c>
      <c r="E49" s="66">
        <f>'TX-CON-FLSH'!M49</f>
        <v>-1489291.4583302587</v>
      </c>
      <c r="F49" s="60">
        <f>'TX-CON-GL '!D49</f>
        <v>287479</v>
      </c>
      <c r="G49" s="38">
        <f>'TX-CON-GL '!E49</f>
        <v>653439.96399999969</v>
      </c>
      <c r="H49" s="60">
        <f>F49-D49</f>
        <v>942647</v>
      </c>
      <c r="I49" s="38">
        <f>G49-E49</f>
        <v>2142731.4223302584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-13806</v>
      </c>
      <c r="G51" s="38">
        <f>'TX-CON-GL '!E51</f>
        <v>-31381.038</v>
      </c>
      <c r="H51" s="60">
        <f>F51-D51</f>
        <v>-13806</v>
      </c>
      <c r="I51" s="38">
        <f>G51-E51</f>
        <v>-31381.038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-2019388.7</v>
      </c>
      <c r="F54" s="60">
        <f>'TX-CON-GL '!D54</f>
        <v>-16680996</v>
      </c>
      <c r="G54" s="38">
        <f>'TX-CON-GL '!E54</f>
        <v>-1777098.4300000002</v>
      </c>
      <c r="H54" s="60">
        <f>F54-D54</f>
        <v>-16680996</v>
      </c>
      <c r="I54" s="38">
        <f>G54-E54</f>
        <v>242290.26999999979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2979.83</v>
      </c>
      <c r="H55" s="60">
        <f>F55-D55</f>
        <v>0</v>
      </c>
      <c r="I55" s="38">
        <f>G55-E55</f>
        <v>2979.83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-2019388.7</v>
      </c>
      <c r="F56" s="61">
        <f t="shared" si="10"/>
        <v>-16680996</v>
      </c>
      <c r="G56" s="39">
        <f t="shared" si="10"/>
        <v>-1774118.6</v>
      </c>
      <c r="H56" s="61">
        <f t="shared" si="10"/>
        <v>-16680996</v>
      </c>
      <c r="I56" s="39">
        <f t="shared" si="10"/>
        <v>245270.09999999977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33526</v>
      </c>
      <c r="H60" s="60">
        <f>F60-D60</f>
        <v>0</v>
      </c>
      <c r="I60" s="38">
        <f>G60-E60</f>
        <v>33526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33526</v>
      </c>
      <c r="H61" s="69">
        <f t="shared" si="11"/>
        <v>0</v>
      </c>
      <c r="I61" s="70">
        <f t="shared" si="11"/>
        <v>33526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-20297.379999999997</v>
      </c>
      <c r="H64" s="60">
        <f>F64-D64</f>
        <v>0</v>
      </c>
      <c r="I64" s="38">
        <f>G64-E64</f>
        <v>-20297.379999999997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-20297.379999999997</v>
      </c>
      <c r="H66" s="61">
        <f t="shared" si="12"/>
        <v>0</v>
      </c>
      <c r="I66" s="39">
        <f t="shared" si="12"/>
        <v>-20297.379999999997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-2639306.77</v>
      </c>
      <c r="F70" s="60">
        <f>'TX-CON-GL '!D70</f>
        <v>0</v>
      </c>
      <c r="G70" s="38">
        <f>'TX-CON-GL '!E70</f>
        <v>-2639306.77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739519</v>
      </c>
      <c r="F71" s="60">
        <f>'TX-CON-GL '!D71</f>
        <v>0</v>
      </c>
      <c r="G71" s="38">
        <f>'TX-CON-GL '!E71</f>
        <v>739518.78</v>
      </c>
      <c r="H71" s="60">
        <f>F71-D71</f>
        <v>0</v>
      </c>
      <c r="I71" s="38">
        <f>G71-E71</f>
        <v>-0.21999999997206032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-1899787.77</v>
      </c>
      <c r="F72" s="69">
        <f t="shared" si="13"/>
        <v>0</v>
      </c>
      <c r="G72" s="70">
        <f t="shared" si="13"/>
        <v>-1899787.99</v>
      </c>
      <c r="H72" s="69">
        <f t="shared" si="13"/>
        <v>0</v>
      </c>
      <c r="I72" s="70">
        <f t="shared" si="13"/>
        <v>-0.21999999997206032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1778233.65</v>
      </c>
      <c r="F74" s="60">
        <f>'TX-CON-GL '!D74</f>
        <v>0</v>
      </c>
      <c r="G74" s="38">
        <f>'TX-CON-GL '!E74</f>
        <v>1762479.91</v>
      </c>
      <c r="H74" s="60">
        <f t="shared" ref="H74:I79" si="14">F74-D74</f>
        <v>0</v>
      </c>
      <c r="I74" s="38">
        <f t="shared" si="14"/>
        <v>-15753.739999999991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17704</v>
      </c>
      <c r="F75" s="60">
        <f>'TX-CON-GL '!D75</f>
        <v>0</v>
      </c>
      <c r="G75" s="38">
        <f>'TX-CON-GL '!E75</f>
        <v>17700</v>
      </c>
      <c r="H75" s="60">
        <f t="shared" si="14"/>
        <v>0</v>
      </c>
      <c r="I75" s="38">
        <f t="shared" si="14"/>
        <v>-4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-2541</v>
      </c>
      <c r="F76" s="60">
        <f>'TX-CON-GL '!D76</f>
        <v>0</v>
      </c>
      <c r="G76" s="38">
        <f>'TX-CON-GL '!E76</f>
        <v>-2541.2800000000002</v>
      </c>
      <c r="H76" s="60">
        <f t="shared" si="14"/>
        <v>0</v>
      </c>
      <c r="I76" s="38">
        <f t="shared" si="14"/>
        <v>-0.28000000000020009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-207047</v>
      </c>
      <c r="F81" s="60">
        <f>'TX-CON-GL '!D81</f>
        <v>0</v>
      </c>
      <c r="G81" s="38">
        <f>'TX-CON-GL '!E81</f>
        <v>-61128</v>
      </c>
      <c r="H81" s="60">
        <f>F81-D81</f>
        <v>0</v>
      </c>
      <c r="I81" s="38">
        <f>G81-E81</f>
        <v>145919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2767144.7216697363</v>
      </c>
      <c r="F82" s="109">
        <f>F16+F24+F29+F36+F43+F45+F47+F49</f>
        <v>0</v>
      </c>
      <c r="G82" s="110">
        <f>SUM(G72:G81)+G16+G24+G29+G36+G43+G45+G47+G49+G51+G56+G61+G66</f>
        <v>1368799.7207999779</v>
      </c>
      <c r="H82" s="109">
        <f>H16+H24+H29+H36+H43+H45+H47+H49</f>
        <v>0</v>
      </c>
      <c r="I82" s="110">
        <f>SUM(I72:I81)+I16+I24+I29+I36+I43+I45+I47+I49+I51+I56+I61+I66</f>
        <v>-1398345.000869717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'TX-CON-FLSH'!L86</f>
        <v>0</v>
      </c>
      <c r="E86" s="145">
        <f>'TX-CON-FLSH'!M86</f>
        <v>2647064</v>
      </c>
      <c r="F86" s="145">
        <f>'TX-CON-GL '!D86</f>
        <v>0</v>
      </c>
      <c r="G86" s="145">
        <f>'TX-CON-GL '!E86</f>
        <v>2598320</v>
      </c>
      <c r="H86" s="145">
        <f t="shared" ref="H86:I88" si="15">F86-D86</f>
        <v>0</v>
      </c>
      <c r="I86" s="145">
        <f t="shared" si="15"/>
        <v>-48744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-2114953</v>
      </c>
      <c r="F88" s="147">
        <f>'TX-CON-GL '!D88</f>
        <v>0</v>
      </c>
      <c r="G88" s="147">
        <f>'TX-CON-GL '!E88</f>
        <v>-2057500</v>
      </c>
      <c r="H88" s="147">
        <f t="shared" si="15"/>
        <v>0</v>
      </c>
      <c r="I88" s="147">
        <f t="shared" si="15"/>
        <v>57453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532111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8709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3299255.7216697363</v>
      </c>
      <c r="F91" s="155">
        <f t="shared" si="17"/>
        <v>0</v>
      </c>
      <c r="G91" s="155">
        <f t="shared" si="17"/>
        <v>1909619.7207999779</v>
      </c>
      <c r="H91" s="155">
        <f t="shared" si="17"/>
        <v>0</v>
      </c>
      <c r="I91" s="155">
        <f t="shared" si="17"/>
        <v>-1389636.000869717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41773752</v>
      </c>
      <c r="E11" s="66">
        <f>'WE-FLSH'!M11</f>
        <v>96029433</v>
      </c>
      <c r="F11" s="60">
        <f>'WE-GL '!D11</f>
        <v>41204505</v>
      </c>
      <c r="G11" s="38">
        <f>'WE-GL '!E11</f>
        <v>92438237.320000008</v>
      </c>
      <c r="H11" s="60">
        <f>F11-D11</f>
        <v>-569247</v>
      </c>
      <c r="I11" s="38">
        <f>G11-E11</f>
        <v>-3591195.6799999923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2368361.73</v>
      </c>
      <c r="H12" s="60">
        <f>F12-D12</f>
        <v>0</v>
      </c>
      <c r="I12" s="38">
        <f>G12-E12</f>
        <v>2368361.73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19330835</v>
      </c>
      <c r="E13" s="66">
        <f>'WE-FLSH'!M13</f>
        <v>45588342</v>
      </c>
      <c r="F13" s="60">
        <f>'WE-GL '!D13</f>
        <v>19208491</v>
      </c>
      <c r="G13" s="38">
        <f>'WE-GL '!E13</f>
        <v>45307321</v>
      </c>
      <c r="H13" s="60">
        <f t="shared" ref="H13:I15" si="0">F13-D13</f>
        <v>-122344</v>
      </c>
      <c r="I13" s="38">
        <f t="shared" si="0"/>
        <v>-281021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1148070.68</v>
      </c>
      <c r="H15" s="60">
        <f t="shared" si="0"/>
        <v>0</v>
      </c>
      <c r="I15" s="38">
        <f t="shared" si="0"/>
        <v>1148070.68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61104587</v>
      </c>
      <c r="E16" s="39">
        <f t="shared" si="1"/>
        <v>141617775</v>
      </c>
      <c r="F16" s="61">
        <f t="shared" si="1"/>
        <v>60412996</v>
      </c>
      <c r="G16" s="39">
        <f t="shared" si="1"/>
        <v>141261990.73000002</v>
      </c>
      <c r="H16" s="61">
        <f t="shared" si="1"/>
        <v>-691591</v>
      </c>
      <c r="I16" s="39">
        <f t="shared" si="1"/>
        <v>-355784.26999999234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-42677322</v>
      </c>
      <c r="E19" s="66">
        <f>'WE-FLSH'!M19</f>
        <v>-95682634</v>
      </c>
      <c r="F19" s="60">
        <f>'WE-GL '!D19</f>
        <v>-42900816</v>
      </c>
      <c r="G19" s="38">
        <f>'WE-GL '!E19</f>
        <v>-95709409.299999982</v>
      </c>
      <c r="H19" s="60">
        <f>F19-D19</f>
        <v>-223494</v>
      </c>
      <c r="I19" s="38">
        <f>G19-E19</f>
        <v>-26775.299999982119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-76977.850000000006</v>
      </c>
      <c r="H20" s="60">
        <f>F20-D20</f>
        <v>0</v>
      </c>
      <c r="I20" s="38">
        <f>G20-E20</f>
        <v>-76977.850000000006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-19275990</v>
      </c>
      <c r="E21" s="66">
        <f>'WE-FLSH'!M21</f>
        <v>-45452981</v>
      </c>
      <c r="F21" s="60">
        <f>'WE-GL '!D21</f>
        <v>-19275990</v>
      </c>
      <c r="G21" s="38">
        <f>'WE-GL '!E21</f>
        <v>-45452979</v>
      </c>
      <c r="H21" s="60">
        <f t="shared" ref="H21:I23" si="2">F21-D21</f>
        <v>0</v>
      </c>
      <c r="I21" s="38">
        <f t="shared" si="2"/>
        <v>2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637065</v>
      </c>
      <c r="E23" s="66">
        <f>'WE-FLSH'!M23</f>
        <v>1420180</v>
      </c>
      <c r="F23" s="60">
        <f>'WE-GL '!D23</f>
        <v>719123</v>
      </c>
      <c r="G23" s="38">
        <f>'WE-GL '!E23</f>
        <v>1587104.4579999999</v>
      </c>
      <c r="H23" s="60">
        <f t="shared" si="2"/>
        <v>82058</v>
      </c>
      <c r="I23" s="38">
        <f t="shared" si="2"/>
        <v>166924.45799999987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-61316247</v>
      </c>
      <c r="E24" s="39">
        <f t="shared" si="3"/>
        <v>-139715435</v>
      </c>
      <c r="F24" s="61">
        <f t="shared" si="3"/>
        <v>-61457683</v>
      </c>
      <c r="G24" s="39">
        <f t="shared" si="3"/>
        <v>-139652261.69199997</v>
      </c>
      <c r="H24" s="61">
        <f t="shared" si="3"/>
        <v>-141436</v>
      </c>
      <c r="I24" s="39">
        <f t="shared" si="3"/>
        <v>63173.308000017743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857593</v>
      </c>
      <c r="G27" s="38">
        <f>'WE-GL '!E27</f>
        <v>2021036.0799999998</v>
      </c>
      <c r="H27" s="60">
        <f>F27-D27</f>
        <v>857593</v>
      </c>
      <c r="I27" s="38">
        <f>G27-E27</f>
        <v>2021036.0799999998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-6161</v>
      </c>
      <c r="G28" s="38">
        <f>'WE-GL '!E28</f>
        <v>-17065.97</v>
      </c>
      <c r="H28" s="60">
        <f>F28-D28</f>
        <v>-6161</v>
      </c>
      <c r="I28" s="38">
        <f>G28-E28</f>
        <v>-17065.97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851432</v>
      </c>
      <c r="G29" s="70">
        <f t="shared" si="4"/>
        <v>2003970.1099999999</v>
      </c>
      <c r="H29" s="69">
        <f t="shared" si="4"/>
        <v>851432</v>
      </c>
      <c r="I29" s="70">
        <f t="shared" si="4"/>
        <v>2003970.1099999999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7309</v>
      </c>
      <c r="E32" s="66">
        <f>'WE-FLSH'!M32</f>
        <v>18379</v>
      </c>
      <c r="F32" s="60">
        <f>'WE-GL '!D32</f>
        <v>-60126</v>
      </c>
      <c r="G32" s="38">
        <f>'WE-GL '!E32</f>
        <v>-132698.08199999988</v>
      </c>
      <c r="H32" s="60">
        <f>F32-D32</f>
        <v>-67435</v>
      </c>
      <c r="I32" s="38">
        <f>G32-E32</f>
        <v>-151077.08199999988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-570</v>
      </c>
      <c r="G33" s="38">
        <f>'WE-GL '!E33</f>
        <v>-1268.22</v>
      </c>
      <c r="H33" s="60">
        <f t="shared" ref="H33:I35" si="5">F33-D33</f>
        <v>-570</v>
      </c>
      <c r="I33" s="38">
        <f t="shared" si="5"/>
        <v>-1268.22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6</v>
      </c>
      <c r="G34" s="38">
        <f>'WE-GL '!E34</f>
        <v>12.9</v>
      </c>
      <c r="H34" s="60">
        <f t="shared" si="5"/>
        <v>6</v>
      </c>
      <c r="I34" s="38">
        <f t="shared" si="5"/>
        <v>12.9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219316</v>
      </c>
      <c r="E35" s="66">
        <f>'WE-FLSH'!M35</f>
        <v>531059</v>
      </c>
      <c r="F35" s="60">
        <f>'WE-GL '!D35</f>
        <v>-922</v>
      </c>
      <c r="G35" s="38">
        <f>'WE-GL '!E35</f>
        <v>-480910.27</v>
      </c>
      <c r="H35" s="60">
        <f t="shared" si="5"/>
        <v>-220238</v>
      </c>
      <c r="I35" s="38">
        <f t="shared" si="5"/>
        <v>-1011969.27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226625</v>
      </c>
      <c r="E36" s="39">
        <f t="shared" si="6"/>
        <v>549438</v>
      </c>
      <c r="F36" s="61">
        <f t="shared" si="6"/>
        <v>-61612</v>
      </c>
      <c r="G36" s="39">
        <f t="shared" si="6"/>
        <v>-614863.6719999999</v>
      </c>
      <c r="H36" s="61">
        <f t="shared" si="6"/>
        <v>-288237</v>
      </c>
      <c r="I36" s="39">
        <f t="shared" si="6"/>
        <v>-1164301.6719999998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9907</v>
      </c>
      <c r="E39" s="66">
        <f>'WE-FLSH'!M39</f>
        <v>20458</v>
      </c>
      <c r="F39" s="60">
        <f>'WE-GL '!D39</f>
        <v>222479</v>
      </c>
      <c r="G39" s="38">
        <f>'WE-GL '!E39</f>
        <v>491074.64</v>
      </c>
      <c r="H39" s="60">
        <f t="shared" ref="H39:I41" si="7">F39-D39</f>
        <v>212572</v>
      </c>
      <c r="I39" s="38">
        <f t="shared" si="7"/>
        <v>470616.64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-7621</v>
      </c>
      <c r="E40" s="66">
        <f>'WE-FLSH'!M40</f>
        <v>-17126</v>
      </c>
      <c r="F40" s="60">
        <f>'WE-GL '!D40</f>
        <v>0</v>
      </c>
      <c r="G40" s="38">
        <f>'WE-GL '!E40</f>
        <v>0</v>
      </c>
      <c r="H40" s="60">
        <f t="shared" si="7"/>
        <v>7621</v>
      </c>
      <c r="I40" s="38">
        <f t="shared" si="7"/>
        <v>17126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-7621</v>
      </c>
      <c r="E42" s="39">
        <f t="shared" si="8"/>
        <v>-17126</v>
      </c>
      <c r="F42" s="61">
        <f t="shared" si="8"/>
        <v>0</v>
      </c>
      <c r="G42" s="39">
        <f t="shared" si="8"/>
        <v>0</v>
      </c>
      <c r="H42" s="61">
        <f t="shared" si="8"/>
        <v>7621</v>
      </c>
      <c r="I42" s="39">
        <f t="shared" si="8"/>
        <v>17126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2286</v>
      </c>
      <c r="E43" s="39">
        <f t="shared" si="9"/>
        <v>3332</v>
      </c>
      <c r="F43" s="61">
        <f t="shared" si="9"/>
        <v>222479</v>
      </c>
      <c r="G43" s="39">
        <f t="shared" si="9"/>
        <v>491074.64</v>
      </c>
      <c r="H43" s="61">
        <f t="shared" si="9"/>
        <v>220193</v>
      </c>
      <c r="I43" s="39">
        <f t="shared" si="9"/>
        <v>487742.64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-17251</v>
      </c>
      <c r="E49" s="66">
        <f>'WE-FLSH'!M49</f>
        <v>-38071.940757729382</v>
      </c>
      <c r="F49" s="60">
        <f>'WE-GL '!D49</f>
        <v>32388</v>
      </c>
      <c r="G49" s="38">
        <f>'WE-GL '!E49</f>
        <v>71480.322999999931</v>
      </c>
      <c r="H49" s="60">
        <f>F49-D49</f>
        <v>49639</v>
      </c>
      <c r="I49" s="38">
        <f>G49-E49</f>
        <v>109552.26375772932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-637065</v>
      </c>
      <c r="E51" s="66">
        <f>'WE-FLSH'!M51</f>
        <v>-1420180</v>
      </c>
      <c r="F51" s="60">
        <f>'WE-GL '!D51</f>
        <v>-719123</v>
      </c>
      <c r="G51" s="38">
        <f>'WE-GL '!E51</f>
        <v>-1587104.4579999999</v>
      </c>
      <c r="H51" s="60">
        <f>F51-D51</f>
        <v>-82058</v>
      </c>
      <c r="I51" s="38">
        <f>G51-E51</f>
        <v>-166924.45799999987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-114015</v>
      </c>
      <c r="F54" s="60">
        <f>'WE-GL '!D54</f>
        <v>-25490624</v>
      </c>
      <c r="G54" s="38">
        <f>'WE-GL '!E54</f>
        <v>-393677.43000000005</v>
      </c>
      <c r="H54" s="60">
        <f>F54-D54</f>
        <v>-25490624</v>
      </c>
      <c r="I54" s="38">
        <f>G54-E54</f>
        <v>-279662.43000000005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-1113165.8400000001</v>
      </c>
      <c r="F55" s="60">
        <f>'WE-GL '!D55</f>
        <v>0</v>
      </c>
      <c r="G55" s="38">
        <f>'WE-GL '!E55</f>
        <v>-5448664.0700000003</v>
      </c>
      <c r="H55" s="60">
        <f>F55-D55</f>
        <v>0</v>
      </c>
      <c r="I55" s="38">
        <f>G55-E55</f>
        <v>-4335498.2300000004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-1227180.8400000001</v>
      </c>
      <c r="F56" s="61">
        <f t="shared" si="10"/>
        <v>-25490624</v>
      </c>
      <c r="G56" s="39">
        <f t="shared" si="10"/>
        <v>-5842341.5</v>
      </c>
      <c r="H56" s="61">
        <f t="shared" si="10"/>
        <v>-25490624</v>
      </c>
      <c r="I56" s="39">
        <f t="shared" si="10"/>
        <v>-4615160.66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6953222</v>
      </c>
      <c r="F70" s="60">
        <f>'WE-GL '!D70</f>
        <v>0</v>
      </c>
      <c r="G70" s="38">
        <f>'WE-GL '!E70</f>
        <v>6953222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-2053660</v>
      </c>
      <c r="F71" s="60">
        <f>'WE-GL '!D71</f>
        <v>0</v>
      </c>
      <c r="G71" s="38">
        <f>'WE-GL '!E71</f>
        <v>-2053660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4899562</v>
      </c>
      <c r="F72" s="61">
        <f t="shared" si="13"/>
        <v>0</v>
      </c>
      <c r="G72" s="39">
        <f t="shared" si="13"/>
        <v>4899562</v>
      </c>
      <c r="H72" s="61">
        <f t="shared" si="13"/>
        <v>0</v>
      </c>
      <c r="I72" s="3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1250153</v>
      </c>
      <c r="F74" s="60">
        <f>'WE-GL '!D74</f>
        <v>0</v>
      </c>
      <c r="G74" s="38">
        <f>'WE-GL '!E74</f>
        <v>1250129.44</v>
      </c>
      <c r="H74" s="60">
        <f t="shared" ref="H74:I79" si="14">F74-D74</f>
        <v>0</v>
      </c>
      <c r="I74" s="38">
        <f t="shared" si="14"/>
        <v>-23.560000000055879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354788</v>
      </c>
      <c r="F75" s="60">
        <f>'WE-GL '!D75</f>
        <v>0</v>
      </c>
      <c r="G75" s="38">
        <f>'WE-GL '!E75</f>
        <v>354800</v>
      </c>
      <c r="H75" s="60">
        <f t="shared" si="14"/>
        <v>0</v>
      </c>
      <c r="I75" s="38">
        <f t="shared" si="14"/>
        <v>12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-8676</v>
      </c>
      <c r="F76" s="60">
        <f>'WE-GL '!D76</f>
        <v>0</v>
      </c>
      <c r="G76" s="38">
        <f>'WE-GL '!E76</f>
        <v>-10021.69</v>
      </c>
      <c r="H76" s="60">
        <f t="shared" si="14"/>
        <v>0</v>
      </c>
      <c r="I76" s="38">
        <f t="shared" si="14"/>
        <v>-1345.6900000000005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-223008</v>
      </c>
      <c r="F81" s="60">
        <f>'WE-GL '!D81</f>
        <v>0</v>
      </c>
      <c r="G81" s="38">
        <f>'WE-GL '!E81</f>
        <v>7142.86</v>
      </c>
      <c r="H81" s="60">
        <f>F81-D81</f>
        <v>0</v>
      </c>
      <c r="I81" s="38">
        <f>G81-E81</f>
        <v>230150.86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6042496.219242271</v>
      </c>
      <c r="F82" s="109">
        <f>F16+F24+F29+F36+F43+F45+F47+F49</f>
        <v>0</v>
      </c>
      <c r="G82" s="110">
        <f>SUM(G72:G81)+G16+G24+G29+G36+G43+G45+G47+G49+G51+G56+G61+G66</f>
        <v>2633557.0910000615</v>
      </c>
      <c r="H82" s="109">
        <f>H16+H24+H29+H36+H43+H45+H47+H49</f>
        <v>0</v>
      </c>
      <c r="I82" s="110">
        <f>SUM(I72:I81)+I16+I24+I29+I36+I43+I45+I47+I49+I51+I56+I61+I66</f>
        <v>-3408939.1282422449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4265744</v>
      </c>
      <c r="E11" s="66">
        <f>'DEN-FLSH'!M11</f>
        <v>9263351</v>
      </c>
      <c r="F11" s="60">
        <f>'DEN-GL'!D11</f>
        <v>4109510</v>
      </c>
      <c r="G11" s="38">
        <f>'DEN-GL'!E11</f>
        <v>8933705.290000001</v>
      </c>
      <c r="H11" s="60">
        <f>F11-D11</f>
        <v>-156234</v>
      </c>
      <c r="I11" s="38">
        <f>G11-E11</f>
        <v>-329645.70999999903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-386881.57</v>
      </c>
      <c r="H12" s="60">
        <f>F12-D12</f>
        <v>0</v>
      </c>
      <c r="I12" s="38">
        <f>G12-E12</f>
        <v>-386881.57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4105116</v>
      </c>
      <c r="E13" s="66">
        <f>'DEN-FLSH'!M13</f>
        <v>9214231</v>
      </c>
      <c r="F13" s="60">
        <f>'DEN-GL'!D13</f>
        <v>4105116</v>
      </c>
      <c r="G13" s="38">
        <f>'DEN-GL'!E13</f>
        <v>9214231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8370860</v>
      </c>
      <c r="E16" s="39">
        <f t="shared" si="1"/>
        <v>18477582</v>
      </c>
      <c r="F16" s="61">
        <f t="shared" si="1"/>
        <v>8214626</v>
      </c>
      <c r="G16" s="39">
        <f t="shared" si="1"/>
        <v>17767187.140000001</v>
      </c>
      <c r="H16" s="61">
        <f t="shared" si="1"/>
        <v>-156234</v>
      </c>
      <c r="I16" s="39">
        <f t="shared" si="1"/>
        <v>-710394.85999999905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-5207531</v>
      </c>
      <c r="E19" s="66">
        <f>'DEN-FLSH'!M19</f>
        <v>-11111817</v>
      </c>
      <c r="F19" s="60">
        <f>'DEN-GL'!D19</f>
        <v>-4881327</v>
      </c>
      <c r="G19" s="38">
        <f>'DEN-GL'!E19</f>
        <v>-10337737.24</v>
      </c>
      <c r="H19" s="60">
        <f>F19-D19</f>
        <v>326204</v>
      </c>
      <c r="I19" s="38">
        <f>G19-E19</f>
        <v>774079.75999999978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263447.03999999998</v>
      </c>
      <c r="H20" s="60">
        <f>F20-D20</f>
        <v>0</v>
      </c>
      <c r="I20" s="38">
        <f>G20-E20</f>
        <v>263447.03999999998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-3142564</v>
      </c>
      <c r="E21" s="66">
        <f>'DEN-FLSH'!M21</f>
        <v>-7046526</v>
      </c>
      <c r="F21" s="60">
        <f>'DEN-GL'!D21</f>
        <v>-3759464</v>
      </c>
      <c r="G21" s="38">
        <f>'DEN-GL'!E21</f>
        <v>-8415663</v>
      </c>
      <c r="H21" s="60">
        <f t="shared" ref="H21:I23" si="2">F21-D21</f>
        <v>-616900</v>
      </c>
      <c r="I21" s="38">
        <f t="shared" si="2"/>
        <v>-1369137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13590</v>
      </c>
      <c r="E23" s="66">
        <f>'DEN-FLSH'!M23</f>
        <v>28931</v>
      </c>
      <c r="F23" s="60">
        <f>'DEN-GL'!D23</f>
        <v>2687</v>
      </c>
      <c r="G23" s="38">
        <f>'DEN-GL'!E23</f>
        <v>5798.5460000000003</v>
      </c>
      <c r="H23" s="60">
        <f t="shared" si="2"/>
        <v>-10903</v>
      </c>
      <c r="I23" s="38">
        <f t="shared" si="2"/>
        <v>-23132.453999999998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-8336505</v>
      </c>
      <c r="E24" s="39">
        <f t="shared" si="3"/>
        <v>-18129412</v>
      </c>
      <c r="F24" s="61">
        <f t="shared" si="3"/>
        <v>-8638104</v>
      </c>
      <c r="G24" s="39">
        <f t="shared" si="3"/>
        <v>-18484154.654000003</v>
      </c>
      <c r="H24" s="61">
        <f t="shared" si="3"/>
        <v>-301599</v>
      </c>
      <c r="I24" s="39">
        <f t="shared" si="3"/>
        <v>-354742.65400000021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14069</v>
      </c>
      <c r="E32" s="66">
        <f>'DEN-FLSH'!M32</f>
        <v>31773</v>
      </c>
      <c r="F32" s="60">
        <f>'DEN-GL'!D32</f>
        <v>-3181</v>
      </c>
      <c r="G32" s="38">
        <f>'DEN-GL'!E32</f>
        <v>14910.360000000015</v>
      </c>
      <c r="H32" s="60">
        <f>F32-D32</f>
        <v>-17250</v>
      </c>
      <c r="I32" s="38">
        <f>G32-E32</f>
        <v>-16862.639999999985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14069</v>
      </c>
      <c r="E36" s="39">
        <f t="shared" si="6"/>
        <v>31773</v>
      </c>
      <c r="F36" s="61">
        <f t="shared" si="6"/>
        <v>-3181</v>
      </c>
      <c r="G36" s="39">
        <f t="shared" si="6"/>
        <v>14910.360000000015</v>
      </c>
      <c r="H36" s="61">
        <f t="shared" si="6"/>
        <v>-17250</v>
      </c>
      <c r="I36" s="39">
        <f t="shared" si="6"/>
        <v>-16862.639999999985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891</v>
      </c>
      <c r="E39" s="66">
        <f>'DEN-FLSH'!M39</f>
        <v>2074</v>
      </c>
      <c r="F39" s="60">
        <f>'DEN-GL'!D39</f>
        <v>0</v>
      </c>
      <c r="G39" s="38">
        <f>'DEN-GL'!E39</f>
        <v>0</v>
      </c>
      <c r="H39" s="60">
        <f t="shared" ref="H39:I41" si="7">F39-D39</f>
        <v>-891</v>
      </c>
      <c r="I39" s="38">
        <f t="shared" si="7"/>
        <v>-2074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891</v>
      </c>
      <c r="E43" s="39">
        <f t="shared" si="9"/>
        <v>2074</v>
      </c>
      <c r="F43" s="61">
        <f t="shared" si="9"/>
        <v>0</v>
      </c>
      <c r="G43" s="39">
        <f t="shared" si="9"/>
        <v>0</v>
      </c>
      <c r="H43" s="61">
        <f t="shared" si="9"/>
        <v>-891</v>
      </c>
      <c r="I43" s="39">
        <f t="shared" si="9"/>
        <v>-2074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-49315</v>
      </c>
      <c r="E49" s="66">
        <f>'DEN-FLSH'!M49</f>
        <v>-106404.98028757867</v>
      </c>
      <c r="F49" s="60">
        <f>'DEN-GL'!D49</f>
        <v>426659</v>
      </c>
      <c r="G49" s="38">
        <f>'DEN-GL'!E49</f>
        <v>920730.12199999997</v>
      </c>
      <c r="H49" s="60">
        <f>F49-D49</f>
        <v>475974</v>
      </c>
      <c r="I49" s="38">
        <f>G49-E49</f>
        <v>1027135.1022875786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-13590</v>
      </c>
      <c r="E51" s="66">
        <f>'DEN-FLSH'!M51</f>
        <v>-28931</v>
      </c>
      <c r="F51" s="60">
        <f>'DEN-GL'!D51</f>
        <v>-2687</v>
      </c>
      <c r="G51" s="38">
        <f>'DEN-GL'!E51</f>
        <v>-5798.5460000000003</v>
      </c>
      <c r="H51" s="60">
        <f>F51-D51</f>
        <v>10903</v>
      </c>
      <c r="I51" s="38">
        <f>G51-E51</f>
        <v>23132.453999999998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-114253.35</v>
      </c>
      <c r="F54" s="60">
        <f>'DEN-GL'!D54</f>
        <v>-7604972</v>
      </c>
      <c r="G54" s="38">
        <f>'DEN-GL'!E54</f>
        <v>-548909.99</v>
      </c>
      <c r="H54" s="60">
        <f>F54-D54</f>
        <v>-7604972</v>
      </c>
      <c r="I54" s="38">
        <f>G54-E54</f>
        <v>-434656.64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-355437.7</v>
      </c>
      <c r="F55" s="60">
        <f>'DEN-GL'!D55</f>
        <v>0</v>
      </c>
      <c r="G55" s="38">
        <f>'DEN-GL'!E55</f>
        <v>-339324.11000000004</v>
      </c>
      <c r="H55" s="60">
        <f>F55-D55</f>
        <v>0</v>
      </c>
      <c r="I55" s="38">
        <f>G55-E55</f>
        <v>16113.589999999967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-469691.05000000005</v>
      </c>
      <c r="F56" s="61">
        <f t="shared" si="10"/>
        <v>-7604972</v>
      </c>
      <c r="G56" s="39">
        <f t="shared" si="10"/>
        <v>-888234.10000000009</v>
      </c>
      <c r="H56" s="61">
        <f t="shared" si="10"/>
        <v>-7604972</v>
      </c>
      <c r="I56" s="39">
        <f t="shared" si="10"/>
        <v>-418543.05000000005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3.9999999804422259E-2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-3.9999999804422259E-2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85587</v>
      </c>
      <c r="H74" s="60">
        <f t="shared" ref="H74:I79" si="14">F74-D74</f>
        <v>0</v>
      </c>
      <c r="I74" s="38">
        <f t="shared" si="14"/>
        <v>85587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-223009.9902875796</v>
      </c>
      <c r="F82" s="109">
        <f>F16+F24+F29+F36+F43+F45+F47+F49</f>
        <v>0</v>
      </c>
      <c r="G82" s="110">
        <f>SUM(G72:G81)+G16+G24+G29+G36+G43+G45+G47+G49+G51+G56+G61+G66</f>
        <v>-589772.6780000024</v>
      </c>
      <c r="H82" s="109">
        <f>H16+H24+H29+H36+H43+H45+H47+H49</f>
        <v>0</v>
      </c>
      <c r="I82" s="110">
        <f>SUM(I72:I81)+I16+I24+I29+I36+I43+I45+I47+I49+I51+I56+I61+I66</f>
        <v>-366762.68771242048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67">
        <f>+'DEN-FLSH'!L86</f>
        <v>0</v>
      </c>
      <c r="E86" s="223">
        <f>+'DEN-FLSH'!M86</f>
        <v>-63196</v>
      </c>
      <c r="F86" s="67">
        <f>'DEN-GL'!D86</f>
        <v>0</v>
      </c>
      <c r="G86" s="220">
        <f>'DEN-GL'!E86</f>
        <v>-101722</v>
      </c>
      <c r="H86" s="220">
        <f t="shared" ref="H86:I88" si="15">F86-D86</f>
        <v>0</v>
      </c>
      <c r="I86" s="145">
        <f t="shared" si="15"/>
        <v>-38526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-402</v>
      </c>
      <c r="H87" s="66">
        <f t="shared" si="15"/>
        <v>0</v>
      </c>
      <c r="I87" s="146">
        <f t="shared" si="15"/>
        <v>-402</v>
      </c>
    </row>
    <row r="88" spans="1:63" x14ac:dyDescent="0.25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225">
        <f t="shared" ref="D89:I89" si="16">SUM(D86:D88)</f>
        <v>0</v>
      </c>
      <c r="E89" s="225">
        <f t="shared" si="16"/>
        <v>-63196</v>
      </c>
      <c r="F89" s="225">
        <f t="shared" si="16"/>
        <v>0</v>
      </c>
      <c r="G89" s="225">
        <f t="shared" si="16"/>
        <v>-102124</v>
      </c>
      <c r="H89" s="160">
        <f t="shared" si="16"/>
        <v>0</v>
      </c>
      <c r="I89" s="160">
        <f t="shared" si="16"/>
        <v>-38928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G41" sqref="G4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4964602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-4964602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6311710</v>
      </c>
      <c r="H13" s="60">
        <f t="shared" ref="H13:I15" si="0">F13-D13</f>
        <v>0</v>
      </c>
      <c r="I13" s="38">
        <f t="shared" si="0"/>
        <v>6311710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4964602</v>
      </c>
      <c r="F16" s="61">
        <f t="shared" si="1"/>
        <v>0</v>
      </c>
      <c r="G16" s="39">
        <f t="shared" si="1"/>
        <v>6311710</v>
      </c>
      <c r="H16" s="61">
        <f t="shared" si="1"/>
        <v>0</v>
      </c>
      <c r="I16" s="39">
        <f t="shared" si="1"/>
        <v>1347108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291950</v>
      </c>
      <c r="H41" s="60">
        <f t="shared" si="7"/>
        <v>0</v>
      </c>
      <c r="I41" s="38">
        <f t="shared" si="7"/>
        <v>291950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291950</v>
      </c>
      <c r="H42" s="69">
        <f t="shared" si="8"/>
        <v>0</v>
      </c>
      <c r="I42" s="70">
        <f t="shared" si="8"/>
        <v>291950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291950</v>
      </c>
      <c r="H43" s="61">
        <f t="shared" si="9"/>
        <v>0</v>
      </c>
      <c r="I43" s="39">
        <f t="shared" si="9"/>
        <v>291950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-34336.910000000003</v>
      </c>
      <c r="H51" s="60">
        <f>F51-D51</f>
        <v>0</v>
      </c>
      <c r="I51" s="38">
        <f>G51-E51</f>
        <v>-34336.910000000003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50000</v>
      </c>
      <c r="F60" s="60">
        <f>STG_GL!D60</f>
        <v>0</v>
      </c>
      <c r="G60" s="38">
        <f>STG_GL!E60</f>
        <v>96833</v>
      </c>
      <c r="H60" s="60">
        <f>F60-D60</f>
        <v>0</v>
      </c>
      <c r="I60" s="38">
        <f>G60-E60</f>
        <v>46833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0</v>
      </c>
      <c r="G61" s="70">
        <f t="shared" si="11"/>
        <v>96833</v>
      </c>
      <c r="H61" s="69">
        <f t="shared" si="11"/>
        <v>0</v>
      </c>
      <c r="I61" s="70">
        <f t="shared" si="11"/>
        <v>46833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-4096579</v>
      </c>
      <c r="F70" s="60">
        <f>STG_GL!D70</f>
        <v>0</v>
      </c>
      <c r="G70" s="38">
        <f>STG_GL!E70</f>
        <v>-3011096</v>
      </c>
      <c r="H70" s="60">
        <f>F70-D70</f>
        <v>0</v>
      </c>
      <c r="I70" s="38">
        <f>G70-E70</f>
        <v>1085483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-1085483</v>
      </c>
      <c r="H71" s="60">
        <f>F71-D71</f>
        <v>0</v>
      </c>
      <c r="I71" s="38">
        <f>G71-E71</f>
        <v>-1085483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-4096579</v>
      </c>
      <c r="F72" s="69">
        <f t="shared" si="13"/>
        <v>0</v>
      </c>
      <c r="G72" s="70">
        <f t="shared" si="13"/>
        <v>-4096579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-541</v>
      </c>
      <c r="H73" s="60">
        <f>F73-D73</f>
        <v>0</v>
      </c>
      <c r="I73" s="38">
        <f>G73-E73</f>
        <v>-541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2331926</v>
      </c>
      <c r="F74" s="60">
        <f>STG_GL!D74</f>
        <v>0</v>
      </c>
      <c r="G74" s="38">
        <f>STG_GL!E74</f>
        <v>1656275.2999999998</v>
      </c>
      <c r="H74" s="60">
        <f t="shared" ref="H74:I79" si="14">F74-D74</f>
        <v>0</v>
      </c>
      <c r="I74" s="38">
        <f t="shared" si="14"/>
        <v>-675650.70000000019</v>
      </c>
    </row>
    <row r="75" spans="1:9" x14ac:dyDescent="0.25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-9480</v>
      </c>
      <c r="F76" s="60">
        <f>STG_GL!D76</f>
        <v>0</v>
      </c>
      <c r="G76" s="38">
        <f>STG_GL!E76</f>
        <v>-9625</v>
      </c>
      <c r="H76" s="60">
        <f t="shared" si="14"/>
        <v>0</v>
      </c>
      <c r="I76" s="38">
        <f t="shared" si="14"/>
        <v>-145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5">
      <c r="A78" s="9">
        <v>37</v>
      </c>
      <c r="B78" s="3"/>
      <c r="C78" s="10" t="s">
        <v>211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820000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212</v>
      </c>
      <c r="D79" s="65">
        <f>STG_FLSH!L79</f>
        <v>0</v>
      </c>
      <c r="E79" s="66">
        <f>STG_FLSH!M79</f>
        <v>-503709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413714</v>
      </c>
    </row>
    <row r="80" spans="1:9" x14ac:dyDescent="0.25">
      <c r="A80" s="9">
        <v>39</v>
      </c>
      <c r="B80" s="3"/>
      <c r="C80" s="10" t="s">
        <v>213</v>
      </c>
      <c r="D80" s="65">
        <f>STG_FLSH!L80</f>
        <v>0</v>
      </c>
      <c r="E80" s="66">
        <f>STG_FLSH!M80</f>
        <v>-455702</v>
      </c>
      <c r="F80" s="60">
        <f>STG_GL!D80</f>
        <v>0</v>
      </c>
      <c r="G80" s="38">
        <f>STG_GL!E80</f>
        <v>-98257</v>
      </c>
      <c r="H80" s="60">
        <f>F80-D80</f>
        <v>0</v>
      </c>
      <c r="I80" s="38">
        <f>G80-E80</f>
        <v>357445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2718631</v>
      </c>
      <c r="F82" s="109">
        <f>F16+F24+F29+F36+F43+F45+F47+F49</f>
        <v>0</v>
      </c>
      <c r="G82" s="110">
        <f>SUM(G72:G81)+G16+G24+G29+G36+G43+G45+G47+G49+G51+G56+G61+G66</f>
        <v>4470851.3899999997</v>
      </c>
      <c r="H82" s="109">
        <f>H16+H24+H29+H36+H43+H45+H47+H49</f>
        <v>0</v>
      </c>
      <c r="I82" s="110">
        <f>SUM(I72:I81)+I16+I24+I29+I36+I43+I45+I47+I49+I51+I56+I61+I66</f>
        <v>1752220.39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37751228</v>
      </c>
      <c r="E11" s="66">
        <f>ONT_FLSH!M11</f>
        <v>91989334</v>
      </c>
      <c r="F11" s="60">
        <f>'ONT_GL '!D11</f>
        <v>38378987</v>
      </c>
      <c r="G11" s="38">
        <f>'ONT_GL '!E11</f>
        <v>88075060.319999993</v>
      </c>
      <c r="H11" s="60">
        <f>F11-D11</f>
        <v>627759</v>
      </c>
      <c r="I11" s="38">
        <f>G11-E11</f>
        <v>-3914273.6800000072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5872128.6699999999</v>
      </c>
      <c r="H12" s="60">
        <f>F12-D12</f>
        <v>0</v>
      </c>
      <c r="I12" s="38">
        <f>G12-E12</f>
        <v>5872128.6699999999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3709833</v>
      </c>
      <c r="E13" s="66">
        <f>ONT_FLSH!M13</f>
        <v>9157794</v>
      </c>
      <c r="F13" s="60">
        <f>'ONT_GL '!D13</f>
        <v>3709833</v>
      </c>
      <c r="G13" s="38">
        <f>'ONT_GL '!E13</f>
        <v>9157794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41461061</v>
      </c>
      <c r="E16" s="39">
        <f t="shared" si="1"/>
        <v>101147128</v>
      </c>
      <c r="F16" s="61">
        <f t="shared" si="1"/>
        <v>42088820</v>
      </c>
      <c r="G16" s="39">
        <f t="shared" si="1"/>
        <v>103104982.98999999</v>
      </c>
      <c r="H16" s="61">
        <f t="shared" si="1"/>
        <v>627759</v>
      </c>
      <c r="I16" s="39">
        <f t="shared" si="1"/>
        <v>1957854.9899999928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-41087127</v>
      </c>
      <c r="E19" s="66">
        <f>ONT_FLSH!M19</f>
        <v>-100082949</v>
      </c>
      <c r="F19" s="60">
        <f>'ONT_GL '!D19</f>
        <v>-41717681</v>
      </c>
      <c r="G19" s="38">
        <f>'ONT_GL '!E19</f>
        <v>-97143601.280000016</v>
      </c>
      <c r="H19" s="60">
        <f>F19-D19</f>
        <v>-630554</v>
      </c>
      <c r="I19" s="38">
        <f>G19-E19</f>
        <v>2939347.7199999839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-4881100.3499999996</v>
      </c>
      <c r="H20" s="60">
        <f>F20-D20</f>
        <v>0</v>
      </c>
      <c r="I20" s="38">
        <f>G20-E20</f>
        <v>-4881100.3499999996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-414182</v>
      </c>
      <c r="E21" s="66">
        <f>ONT_FLSH!M21</f>
        <v>-997711</v>
      </c>
      <c r="F21" s="60">
        <f>'ONT_GL '!D21</f>
        <v>-414182</v>
      </c>
      <c r="G21" s="38">
        <f>'ONT_GL '!E21</f>
        <v>-997711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0</v>
      </c>
      <c r="G23" s="38">
        <f>'ONT_GL '!E23</f>
        <v>0.39999999999417923</v>
      </c>
      <c r="H23" s="60">
        <f t="shared" si="2"/>
        <v>0</v>
      </c>
      <c r="I23" s="38">
        <f t="shared" si="2"/>
        <v>0.39999999999417923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-41501309</v>
      </c>
      <c r="E24" s="39">
        <f t="shared" si="3"/>
        <v>-101080660</v>
      </c>
      <c r="F24" s="61">
        <f t="shared" si="3"/>
        <v>-42131863</v>
      </c>
      <c r="G24" s="39">
        <f t="shared" si="3"/>
        <v>-103022412.23</v>
      </c>
      <c r="H24" s="61">
        <f t="shared" si="3"/>
        <v>-630554</v>
      </c>
      <c r="I24" s="39">
        <f t="shared" si="3"/>
        <v>-1941752.2300000158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823089</v>
      </c>
      <c r="G32" s="38">
        <f>'ONT_GL '!E32</f>
        <v>2222340.3000000003</v>
      </c>
      <c r="H32" s="60">
        <f>F32-D32</f>
        <v>823089</v>
      </c>
      <c r="I32" s="38">
        <f>G32-E32</f>
        <v>2222340.3000000003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823089</v>
      </c>
      <c r="G36" s="39">
        <f t="shared" si="6"/>
        <v>2222340.3000000003</v>
      </c>
      <c r="H36" s="61">
        <f t="shared" si="6"/>
        <v>823089</v>
      </c>
      <c r="I36" s="39">
        <f t="shared" si="6"/>
        <v>2222340.3000000003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40248</v>
      </c>
      <c r="E49" s="66">
        <f>ONT_FLSH!M49</f>
        <v>108669.6</v>
      </c>
      <c r="F49" s="60">
        <f>'ONT_GL '!D49</f>
        <v>-780046</v>
      </c>
      <c r="G49" s="38">
        <f>'ONT_GL '!E49</f>
        <v>-2106124.6000000006</v>
      </c>
      <c r="H49" s="60">
        <f>F49-D49</f>
        <v>-820294</v>
      </c>
      <c r="I49" s="38">
        <f>G49-E49</f>
        <v>-2214794.2000000007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0</v>
      </c>
      <c r="G51" s="38">
        <f>'ONT_GL '!E51</f>
        <v>-0.39999999999417923</v>
      </c>
      <c r="H51" s="60">
        <f>F51-D51</f>
        <v>0</v>
      </c>
      <c r="I51" s="38">
        <f>G51-E51</f>
        <v>-0.39999999999417923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-50000</v>
      </c>
      <c r="F54" s="60">
        <f>'ONT_GL '!D54</f>
        <v>0</v>
      </c>
      <c r="G54" s="38">
        <f>'ONT_GL '!E54</f>
        <v>-138204</v>
      </c>
      <c r="H54" s="60">
        <f>F54-D54</f>
        <v>0</v>
      </c>
      <c r="I54" s="38">
        <f>G54-E54</f>
        <v>-88204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-50000</v>
      </c>
      <c r="F56" s="61">
        <f t="shared" si="10"/>
        <v>0</v>
      </c>
      <c r="G56" s="39">
        <f t="shared" si="10"/>
        <v>-138204</v>
      </c>
      <c r="H56" s="61">
        <f t="shared" si="10"/>
        <v>0</v>
      </c>
      <c r="I56" s="39">
        <f t="shared" si="10"/>
        <v>-88204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1508208.5228982903</v>
      </c>
      <c r="F70" s="60">
        <f>'ONT_GL '!D70</f>
        <v>0</v>
      </c>
      <c r="G70" s="38">
        <f>'ONT_GL '!E70</f>
        <v>1508208.52</v>
      </c>
      <c r="H70" s="60">
        <f>F70-D70</f>
        <v>0</v>
      </c>
      <c r="I70" s="38">
        <f>G70-E70</f>
        <v>-2.8982902877032757E-3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-708912</v>
      </c>
      <c r="F71" s="60">
        <f>'ONT_GL '!D71</f>
        <v>0</v>
      </c>
      <c r="G71" s="38">
        <f>'ONT_GL '!E71</f>
        <v>-708911.52</v>
      </c>
      <c r="H71" s="60">
        <f>F71-D71</f>
        <v>0</v>
      </c>
      <c r="I71" s="38">
        <f>G71-E71</f>
        <v>0.47999999998137355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799296.52289829031</v>
      </c>
      <c r="F72" s="69">
        <f t="shared" si="13"/>
        <v>0</v>
      </c>
      <c r="G72" s="70">
        <f t="shared" si="13"/>
        <v>799297</v>
      </c>
      <c r="H72" s="69">
        <f t="shared" si="13"/>
        <v>0</v>
      </c>
      <c r="I72" s="70">
        <f t="shared" si="13"/>
        <v>0.47710170969367027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-324192</v>
      </c>
      <c r="F74" s="60">
        <f>'ONT_GL '!D74</f>
        <v>0</v>
      </c>
      <c r="G74" s="38">
        <f>'ONT_GL '!E74</f>
        <v>-318309.51</v>
      </c>
      <c r="H74" s="60">
        <f t="shared" ref="H74:I79" si="14">F74-D74</f>
        <v>0</v>
      </c>
      <c r="I74" s="38">
        <f t="shared" si="14"/>
        <v>5882.4899999999907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-343</v>
      </c>
      <c r="F76" s="60">
        <f>'ONT_GL '!D76</f>
        <v>0</v>
      </c>
      <c r="G76" s="38">
        <f>'ONT_GL '!E76</f>
        <v>-342.73</v>
      </c>
      <c r="H76" s="60">
        <f t="shared" si="14"/>
        <v>0</v>
      </c>
      <c r="I76" s="38">
        <f t="shared" si="14"/>
        <v>0.26999999999998181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66067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-66067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665966.12289828656</v>
      </c>
      <c r="F82" s="109">
        <f>F16+F24+F29+F36+F43+F45+F47+F49</f>
        <v>0</v>
      </c>
      <c r="G82" s="110">
        <f>SUM(G72:G81)+G16+G24+G29+G36+G43+G45+G47+G49+G51+G56+G61+G66</f>
        <v>541226.81999999552</v>
      </c>
      <c r="H82" s="109">
        <f>H16+H24+H29+H36+H43+H45+H47+H49</f>
        <v>0</v>
      </c>
      <c r="I82" s="110">
        <f>SUM(I72:I81)+I16+I24+I29+I36+I43+I45+I47+I49+I51+I56+I61+I66</f>
        <v>-124739.30289831394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ONT_FLSH!L86</f>
        <v>0</v>
      </c>
      <c r="E86" s="145">
        <f>ONT_FLSH!M86</f>
        <v>-244880</v>
      </c>
      <c r="F86" s="145">
        <f>'ONT_GL '!D86</f>
        <v>0</v>
      </c>
      <c r="G86" s="145">
        <f>'ONT_GL '!E86</f>
        <v>-235704.59</v>
      </c>
      <c r="H86" s="145">
        <f t="shared" ref="H86:I88" si="15">F86-D86</f>
        <v>0</v>
      </c>
      <c r="I86" s="145">
        <f t="shared" si="15"/>
        <v>9175.4100000000035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-9295</v>
      </c>
      <c r="H87" s="146">
        <f t="shared" si="15"/>
        <v>0</v>
      </c>
      <c r="I87" s="146">
        <f t="shared" si="15"/>
        <v>-9295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-244880</v>
      </c>
      <c r="F89" s="160">
        <f t="shared" si="16"/>
        <v>0</v>
      </c>
      <c r="G89" s="160">
        <f t="shared" si="16"/>
        <v>-244999.59</v>
      </c>
      <c r="H89" s="160">
        <f t="shared" si="16"/>
        <v>0</v>
      </c>
      <c r="I89" s="160">
        <f t="shared" si="16"/>
        <v>-119.58999999999651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421086.12289828656</v>
      </c>
      <c r="F91" s="160">
        <f t="shared" si="17"/>
        <v>0</v>
      </c>
      <c r="G91" s="160">
        <f t="shared" si="17"/>
        <v>296227.22999999556</v>
      </c>
      <c r="H91" s="160">
        <f t="shared" si="17"/>
        <v>0</v>
      </c>
      <c r="I91" s="160">
        <f t="shared" si="17"/>
        <v>-124858.89289831393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24" activePane="bottomRight" state="frozen"/>
      <selection activeCell="D10" sqref="D10"/>
      <selection pane="topRight" activeCell="D10" sqref="D10"/>
      <selection pane="bottomLeft" activeCell="D10" sqref="D10"/>
      <selection pane="bottomRight" activeCell="G40" sqref="G4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23281203</v>
      </c>
      <c r="E11" s="66">
        <f>BUG_FLSH!E11</f>
        <v>40096055</v>
      </c>
      <c r="F11" s="60">
        <f>BUG_GL!D11</f>
        <v>23297830</v>
      </c>
      <c r="G11" s="38">
        <f>BUG_GL!E11</f>
        <v>41094922.57</v>
      </c>
      <c r="H11" s="60">
        <f>F11-D11</f>
        <v>16627</v>
      </c>
      <c r="I11" s="38">
        <f>G11-E11</f>
        <v>998867.5700000003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53673045</v>
      </c>
      <c r="E13" s="66">
        <f>BUG_FLSH!E13</f>
        <v>204754459</v>
      </c>
      <c r="F13" s="60">
        <f>BUG_GL!D13</f>
        <v>53673045</v>
      </c>
      <c r="G13" s="38">
        <f>BUG_GL!E13</f>
        <v>204754458</v>
      </c>
      <c r="H13" s="60">
        <f t="shared" ref="H13:I15" si="0">F13-D13</f>
        <v>0</v>
      </c>
      <c r="I13" s="38">
        <f t="shared" si="0"/>
        <v>-1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10490859</v>
      </c>
      <c r="F15" s="60">
        <f>BUG_GL!D15</f>
        <v>0</v>
      </c>
      <c r="G15" s="38">
        <f>BUG_GL!E15</f>
        <v>10488652.91</v>
      </c>
      <c r="H15" s="60">
        <f t="shared" si="0"/>
        <v>0</v>
      </c>
      <c r="I15" s="38">
        <f t="shared" si="0"/>
        <v>-2206.089999999851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76954248</v>
      </c>
      <c r="E16" s="39">
        <f t="shared" si="1"/>
        <v>255341373</v>
      </c>
      <c r="F16" s="61">
        <f t="shared" si="1"/>
        <v>76970875</v>
      </c>
      <c r="G16" s="39">
        <f t="shared" si="1"/>
        <v>256338033.47999999</v>
      </c>
      <c r="H16" s="61">
        <f t="shared" si="1"/>
        <v>16627</v>
      </c>
      <c r="I16" s="39">
        <f t="shared" si="1"/>
        <v>996660.48000000045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-7057755</v>
      </c>
      <c r="E19" s="66">
        <f>BUG_FLSH!E19</f>
        <v>-15351473</v>
      </c>
      <c r="F19" s="60">
        <f>BUG_GL!D19</f>
        <v>-7080372</v>
      </c>
      <c r="G19" s="38">
        <f>BUG_GL!E19</f>
        <v>-15480636.390000001</v>
      </c>
      <c r="H19" s="60">
        <f>F19-D19</f>
        <v>-22617</v>
      </c>
      <c r="I19" s="38">
        <f>G19-E19</f>
        <v>-129163.3900000006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-241521</v>
      </c>
      <c r="H20" s="60">
        <f>F20-D20</f>
        <v>0</v>
      </c>
      <c r="I20" s="38">
        <f>G20-E20</f>
        <v>-241521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-56862831</v>
      </c>
      <c r="E21" s="66">
        <f>BUG_FLSH!E21</f>
        <v>-209309089</v>
      </c>
      <c r="F21" s="60">
        <f>BUG_GL!D21</f>
        <v>-56862831</v>
      </c>
      <c r="G21" s="38">
        <f>BUG_GL!E21</f>
        <v>-209309089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841381</v>
      </c>
      <c r="E23" s="66">
        <f>BUG_FLSH!E23</f>
        <v>2424814</v>
      </c>
      <c r="F23" s="60">
        <f>BUG_GL!D23</f>
        <v>841148</v>
      </c>
      <c r="G23" s="38">
        <f>BUG_GL!E23</f>
        <v>2079318</v>
      </c>
      <c r="H23" s="60">
        <f t="shared" si="2"/>
        <v>-233</v>
      </c>
      <c r="I23" s="38">
        <f t="shared" si="2"/>
        <v>-345496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-63079205</v>
      </c>
      <c r="E24" s="39">
        <f t="shared" si="3"/>
        <v>-222235748</v>
      </c>
      <c r="F24" s="61">
        <f t="shared" si="3"/>
        <v>-63102055</v>
      </c>
      <c r="G24" s="39">
        <f t="shared" si="3"/>
        <v>-222951928.38999999</v>
      </c>
      <c r="H24" s="61">
        <f t="shared" si="3"/>
        <v>-22850</v>
      </c>
      <c r="I24" s="39">
        <f t="shared" si="3"/>
        <v>-716180.3900000006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-4</v>
      </c>
      <c r="E32" s="66">
        <f>BUG_FLSH!E32</f>
        <v>-10</v>
      </c>
      <c r="F32" s="60">
        <f>BUG_GL!D32</f>
        <v>0</v>
      </c>
      <c r="G32" s="38">
        <f>BUG_GL!E32</f>
        <v>0</v>
      </c>
      <c r="H32" s="60">
        <f>F32-D32</f>
        <v>4</v>
      </c>
      <c r="I32" s="38">
        <f>G32-E32</f>
        <v>10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-55131</v>
      </c>
      <c r="E35" s="66">
        <f>BUG_FLSH!E35</f>
        <v>-236790</v>
      </c>
      <c r="F35" s="60">
        <f>BUG_GL!D35</f>
        <v>-60039</v>
      </c>
      <c r="G35" s="38">
        <f>BUG_GL!E35</f>
        <v>-315734</v>
      </c>
      <c r="H35" s="60">
        <f t="shared" si="5"/>
        <v>-4908</v>
      </c>
      <c r="I35" s="38">
        <f t="shared" si="5"/>
        <v>-78944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-55135</v>
      </c>
      <c r="E36" s="39">
        <f t="shared" si="6"/>
        <v>-236800</v>
      </c>
      <c r="F36" s="61">
        <f t="shared" si="6"/>
        <v>-60039</v>
      </c>
      <c r="G36" s="39">
        <f t="shared" si="6"/>
        <v>-315734</v>
      </c>
      <c r="H36" s="61">
        <f t="shared" si="6"/>
        <v>-4904</v>
      </c>
      <c r="I36" s="39">
        <f t="shared" si="6"/>
        <v>-78934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310315</v>
      </c>
      <c r="E39" s="66">
        <f>BUG_FLSH!E39</f>
        <v>1222163</v>
      </c>
      <c r="F39" s="60">
        <f>BUG_GL!D39</f>
        <v>0</v>
      </c>
      <c r="G39" s="38">
        <f>BUG_GL!E39</f>
        <v>0</v>
      </c>
      <c r="H39" s="60">
        <f t="shared" ref="H39:I41" si="7">F39-D39</f>
        <v>-310315</v>
      </c>
      <c r="I39" s="38">
        <f t="shared" si="7"/>
        <v>-1222163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-15906963</v>
      </c>
      <c r="E40" s="66">
        <f>BUG_FLSH!E40</f>
        <v>-18576342</v>
      </c>
      <c r="F40" s="60">
        <f>BUG_GL!D40</f>
        <v>-14985641</v>
      </c>
      <c r="G40" s="38">
        <f>BUG_GL!E40</f>
        <v>-11083245.01</v>
      </c>
      <c r="H40" s="60">
        <f t="shared" si="7"/>
        <v>921322</v>
      </c>
      <c r="I40" s="38">
        <f t="shared" si="7"/>
        <v>7493096.9900000002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-15906963</v>
      </c>
      <c r="E42" s="70">
        <f t="shared" si="8"/>
        <v>-18576342</v>
      </c>
      <c r="F42" s="69">
        <f t="shared" si="8"/>
        <v>-14985641</v>
      </c>
      <c r="G42" s="70">
        <f t="shared" si="8"/>
        <v>-11083245.01</v>
      </c>
      <c r="H42" s="69">
        <f t="shared" si="8"/>
        <v>921322</v>
      </c>
      <c r="I42" s="70">
        <f t="shared" si="8"/>
        <v>7493096.9900000002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-15596648</v>
      </c>
      <c r="E43" s="39">
        <f t="shared" si="9"/>
        <v>-17354179</v>
      </c>
      <c r="F43" s="61">
        <f t="shared" si="9"/>
        <v>-14985641</v>
      </c>
      <c r="G43" s="39">
        <f t="shared" si="9"/>
        <v>-11083245.01</v>
      </c>
      <c r="H43" s="61">
        <f t="shared" si="9"/>
        <v>611007</v>
      </c>
      <c r="I43" s="39">
        <f t="shared" si="9"/>
        <v>6270933.9900000002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1776740</v>
      </c>
      <c r="E49" s="66">
        <f>BUG_FLSH!E49</f>
        <v>4392101.28</v>
      </c>
      <c r="F49" s="60">
        <f>BUG_GL!D49</f>
        <v>1176860</v>
      </c>
      <c r="G49" s="38">
        <f>BUG_GL!E49</f>
        <v>2909197.9159999993</v>
      </c>
      <c r="H49" s="60">
        <f>F49-D49</f>
        <v>-599880</v>
      </c>
      <c r="I49" s="38">
        <f>G49-E49</f>
        <v>-1482903.364000001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-841381</v>
      </c>
      <c r="E51" s="66">
        <f>BUG_FLSH!E51</f>
        <v>-2424814</v>
      </c>
      <c r="F51" s="60">
        <f>BUG_GL!D51</f>
        <v>-841148</v>
      </c>
      <c r="G51" s="38">
        <f>BUG_GL!E51</f>
        <v>-2079317.8540000001</v>
      </c>
      <c r="H51" s="60">
        <f>F51-D51</f>
        <v>233</v>
      </c>
      <c r="I51" s="38">
        <f>G51-E51</f>
        <v>345496.14599999995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-772877</v>
      </c>
      <c r="F54" s="60">
        <f>BUG_GL!D54</f>
        <v>-31615048</v>
      </c>
      <c r="G54" s="38">
        <f>BUG_GL!E54</f>
        <v>-1290141.0499999996</v>
      </c>
      <c r="H54" s="60">
        <f>F54-D54</f>
        <v>-31615048</v>
      </c>
      <c r="I54" s="38">
        <f>G54-E54</f>
        <v>-517264.04999999958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16</v>
      </c>
      <c r="E55" s="66">
        <f>BUG_FLSH!E55</f>
        <v>-10490859</v>
      </c>
      <c r="F55" s="60">
        <f>BUG_GL!D55</f>
        <v>0</v>
      </c>
      <c r="G55" s="38">
        <f>BUG_GL!E55</f>
        <v>-10476793.15</v>
      </c>
      <c r="H55" s="60">
        <f>F55-D55</f>
        <v>-16</v>
      </c>
      <c r="I55" s="38">
        <f>G55-E55</f>
        <v>14065.849999999627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16</v>
      </c>
      <c r="E56" s="39">
        <f t="shared" si="10"/>
        <v>-11263736</v>
      </c>
      <c r="F56" s="61">
        <f t="shared" si="10"/>
        <v>-31615048</v>
      </c>
      <c r="G56" s="39">
        <f t="shared" si="10"/>
        <v>-11766934.199999999</v>
      </c>
      <c r="H56" s="61">
        <f t="shared" si="10"/>
        <v>-31615064</v>
      </c>
      <c r="I56" s="39">
        <f t="shared" si="10"/>
        <v>-503198.19999999995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5937115.1586007997</v>
      </c>
      <c r="F70" s="60">
        <f>BUG_GL!D70</f>
        <v>0</v>
      </c>
      <c r="G70" s="38">
        <f>BUG_GL!E70</f>
        <v>-413011</v>
      </c>
      <c r="H70" s="60">
        <f>F70-D70</f>
        <v>0</v>
      </c>
      <c r="I70" s="38">
        <f>G70-E70</f>
        <v>-6350126.1586007997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-6350125.9190000035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6350125.9190000035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-413010.76039920375</v>
      </c>
      <c r="F72" s="69">
        <f t="shared" si="13"/>
        <v>0</v>
      </c>
      <c r="G72" s="70">
        <f t="shared" si="13"/>
        <v>-413011</v>
      </c>
      <c r="H72" s="69">
        <f t="shared" si="13"/>
        <v>0</v>
      </c>
      <c r="I72" s="70">
        <f t="shared" si="13"/>
        <v>-0.23960079625248909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-2403584.4093999993</v>
      </c>
      <c r="F74" s="60">
        <f>BUG_GL!D74</f>
        <v>0</v>
      </c>
      <c r="G74" s="38">
        <f>BUG_GL!E74</f>
        <v>-6638313.71</v>
      </c>
      <c r="H74" s="60">
        <f t="shared" ref="H74:I79" si="14">F74-D74</f>
        <v>0</v>
      </c>
      <c r="I74" s="38">
        <f t="shared" si="14"/>
        <v>-4234729.3006000007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72668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-72668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3474270.1102007926</v>
      </c>
      <c r="F82" s="109">
        <f>F16+F24+F29+F36+F43+F45+F47+F49</f>
        <v>0</v>
      </c>
      <c r="G82" s="110">
        <f>SUM(G72:G81)+G16+G24+G29+G36+G43+G45+G47+G49+G51+G56+G61+G66</f>
        <v>3998747.2319999952</v>
      </c>
      <c r="H82" s="109">
        <f>H16+H24+H29+H36+H43+H45+H47+H49</f>
        <v>0</v>
      </c>
      <c r="I82" s="110">
        <f>SUM(I72:I81)+I16+I24+I29+I36+I43+I45+I47+I49+I51+I56+I61+I66</f>
        <v>524477.12179920217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J633" workbookViewId="0">
      <selection activeCell="Q639" sqref="Q639"/>
    </sheetView>
  </sheetViews>
  <sheetFormatPr defaultColWidth="9.109375" defaultRowHeight="13.2" x14ac:dyDescent="0.25"/>
  <cols>
    <col min="1" max="2" width="9.109375" style="33"/>
    <col min="3" max="3" width="7.88671875" style="33" customWidth="1"/>
    <col min="4" max="4" width="25.33203125" style="33" customWidth="1"/>
    <col min="5" max="6" width="13.5546875" style="204" customWidth="1"/>
    <col min="7" max="7" width="12" style="201" customWidth="1"/>
    <col min="8" max="8" width="12.33203125" style="33" customWidth="1"/>
    <col min="9" max="9" width="12.44140625" style="201" customWidth="1"/>
    <col min="10" max="10" width="11.33203125" style="33" customWidth="1"/>
    <col min="11" max="11" width="14.6640625" style="33" customWidth="1"/>
    <col min="12" max="13" width="11.6640625" style="33" customWidth="1"/>
    <col min="14" max="14" width="12.44140625" style="33" customWidth="1"/>
    <col min="15" max="15" width="13.33203125" style="33" customWidth="1"/>
    <col min="16" max="16" width="12.33203125" style="33" customWidth="1"/>
    <col min="17" max="17" width="12.44140625" style="33" customWidth="1"/>
    <col min="18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5">
        <v>36526</v>
      </c>
      <c r="F1" s="195"/>
      <c r="G1" s="196">
        <v>36557</v>
      </c>
      <c r="H1" s="196"/>
      <c r="I1" s="196">
        <v>36586</v>
      </c>
      <c r="J1" s="196"/>
      <c r="K1" s="190">
        <v>36617</v>
      </c>
      <c r="L1" s="190"/>
      <c r="M1" s="190">
        <f>+K1+31</f>
        <v>36648</v>
      </c>
      <c r="N1" s="190"/>
      <c r="O1" s="190">
        <f>+M1+30</f>
        <v>36678</v>
      </c>
      <c r="P1" s="190"/>
      <c r="Q1" s="190">
        <f>+O1+31</f>
        <v>36709</v>
      </c>
      <c r="R1" s="190"/>
      <c r="S1" s="190">
        <f>+Q1+31</f>
        <v>36740</v>
      </c>
      <c r="T1" s="190"/>
      <c r="U1" s="190">
        <f>+S1+31</f>
        <v>36771</v>
      </c>
      <c r="V1" s="190"/>
      <c r="W1" s="190">
        <f>+U1+31</f>
        <v>36802</v>
      </c>
      <c r="X1" s="190"/>
      <c r="Y1" s="190">
        <f>+W1+31</f>
        <v>36833</v>
      </c>
      <c r="Z1" s="190"/>
      <c r="AA1" s="190">
        <f>+Y1+31</f>
        <v>36864</v>
      </c>
      <c r="AB1" s="190"/>
      <c r="AC1" s="190">
        <f>+AA1+31</f>
        <v>36895</v>
      </c>
      <c r="AD1" s="190"/>
      <c r="AE1" s="190">
        <f>+AC1+31</f>
        <v>36926</v>
      </c>
      <c r="AF1" s="190"/>
      <c r="AG1" s="190"/>
      <c r="AH1" s="190"/>
    </row>
    <row r="2" spans="1:118" x14ac:dyDescent="0.25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1" t="s">
        <v>120</v>
      </c>
    </row>
    <row r="3" spans="1:118" s="197" customFormat="1" x14ac:dyDescent="0.25">
      <c r="A3" s="113" t="s">
        <v>121</v>
      </c>
      <c r="B3" s="113" t="s">
        <v>115</v>
      </c>
      <c r="C3" s="113" t="s">
        <v>116</v>
      </c>
      <c r="D3" s="113" t="s">
        <v>117</v>
      </c>
      <c r="E3" s="198" t="s">
        <v>203</v>
      </c>
      <c r="F3" s="197" t="s">
        <v>204</v>
      </c>
      <c r="G3" s="203" t="s">
        <v>217</v>
      </c>
      <c r="H3" s="197" t="s">
        <v>218</v>
      </c>
      <c r="I3" s="203" t="s">
        <v>217</v>
      </c>
      <c r="J3" s="197" t="s">
        <v>218</v>
      </c>
      <c r="K3" s="198" t="s">
        <v>217</v>
      </c>
      <c r="L3" s="197" t="s">
        <v>218</v>
      </c>
      <c r="M3" s="198" t="s">
        <v>217</v>
      </c>
      <c r="N3" s="197" t="s">
        <v>218</v>
      </c>
      <c r="O3" s="198" t="s">
        <v>217</v>
      </c>
      <c r="P3" s="197" t="s">
        <v>218</v>
      </c>
      <c r="Q3" s="198" t="s">
        <v>122</v>
      </c>
      <c r="S3" s="198" t="s">
        <v>122</v>
      </c>
      <c r="U3" s="198" t="s">
        <v>122</v>
      </c>
      <c r="W3" s="198" t="s">
        <v>122</v>
      </c>
      <c r="Y3" s="198" t="s">
        <v>122</v>
      </c>
      <c r="AA3" s="198" t="s">
        <v>122</v>
      </c>
      <c r="AC3" s="198" t="s">
        <v>122</v>
      </c>
      <c r="AE3" s="198" t="s">
        <v>122</v>
      </c>
    </row>
    <row r="4" spans="1:118" x14ac:dyDescent="0.25">
      <c r="A4" s="114" t="s">
        <v>123</v>
      </c>
      <c r="B4" s="114" t="s">
        <v>124</v>
      </c>
      <c r="C4" s="115">
        <v>1</v>
      </c>
      <c r="D4" s="114" t="s">
        <v>25</v>
      </c>
      <c r="E4" s="200">
        <v>115828</v>
      </c>
      <c r="F4" s="199">
        <v>273469.90999999997</v>
      </c>
      <c r="G4" s="200">
        <v>892</v>
      </c>
      <c r="H4" s="199">
        <v>2106.0100000000002</v>
      </c>
      <c r="I4" s="200">
        <v>0</v>
      </c>
      <c r="J4" s="199">
        <v>0</v>
      </c>
      <c r="K4" s="199">
        <v>0</v>
      </c>
      <c r="L4" s="199">
        <v>0</v>
      </c>
      <c r="M4" s="199">
        <v>0</v>
      </c>
      <c r="N4" s="199">
        <v>0</v>
      </c>
      <c r="O4" s="199">
        <v>0</v>
      </c>
      <c r="P4" s="199">
        <v>0</v>
      </c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5">
      <c r="A5" s="114" t="s">
        <v>123</v>
      </c>
      <c r="B5" s="114" t="s">
        <v>124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>
        <v>0</v>
      </c>
      <c r="J5" s="199">
        <v>0</v>
      </c>
      <c r="K5" s="199">
        <v>0</v>
      </c>
      <c r="L5" s="199">
        <v>0</v>
      </c>
      <c r="M5" s="199">
        <v>0</v>
      </c>
      <c r="N5" s="199">
        <v>0</v>
      </c>
      <c r="O5" s="199">
        <v>0</v>
      </c>
      <c r="P5" s="199">
        <v>0</v>
      </c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5">
      <c r="A6" s="114" t="s">
        <v>123</v>
      </c>
      <c r="B6" s="114" t="s">
        <v>124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>
        <v>0</v>
      </c>
      <c r="J6" s="199">
        <v>0</v>
      </c>
      <c r="K6" s="199">
        <v>0</v>
      </c>
      <c r="L6" s="199">
        <v>0</v>
      </c>
      <c r="M6" s="199">
        <v>0</v>
      </c>
      <c r="N6" s="199">
        <v>0</v>
      </c>
      <c r="O6" s="199">
        <v>0</v>
      </c>
      <c r="P6" s="199">
        <v>0</v>
      </c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5">
      <c r="A7" s="114" t="s">
        <v>123</v>
      </c>
      <c r="B7" s="114" t="s">
        <v>124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>
        <v>0</v>
      </c>
      <c r="J7" s="199">
        <v>0</v>
      </c>
      <c r="K7" s="199">
        <v>0</v>
      </c>
      <c r="L7" s="199">
        <v>0</v>
      </c>
      <c r="M7" s="199">
        <v>0</v>
      </c>
      <c r="N7" s="199">
        <v>0</v>
      </c>
      <c r="O7" s="199">
        <v>0</v>
      </c>
      <c r="P7" s="199">
        <v>0</v>
      </c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5">
      <c r="A8" s="114" t="s">
        <v>123</v>
      </c>
      <c r="B8" s="114" t="s">
        <v>124</v>
      </c>
      <c r="C8" s="115">
        <v>5</v>
      </c>
      <c r="D8" s="114" t="s">
        <v>125</v>
      </c>
      <c r="E8" s="200">
        <v>0</v>
      </c>
      <c r="F8" s="199">
        <v>0</v>
      </c>
      <c r="G8" s="200">
        <v>0</v>
      </c>
      <c r="H8" s="199">
        <v>0</v>
      </c>
      <c r="I8" s="200">
        <v>0</v>
      </c>
      <c r="J8" s="199">
        <v>0</v>
      </c>
      <c r="K8" s="199">
        <v>0</v>
      </c>
      <c r="L8" s="199">
        <v>0</v>
      </c>
      <c r="M8" s="199">
        <v>0</v>
      </c>
      <c r="N8" s="199">
        <v>0</v>
      </c>
      <c r="O8" s="199">
        <v>0</v>
      </c>
      <c r="P8" s="199">
        <v>0</v>
      </c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5">
      <c r="A9" s="114" t="s">
        <v>123</v>
      </c>
      <c r="B9" s="114" t="s">
        <v>124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>
        <v>0</v>
      </c>
      <c r="J9" s="199">
        <v>0</v>
      </c>
      <c r="K9" s="199">
        <v>0</v>
      </c>
      <c r="L9" s="199">
        <v>0</v>
      </c>
      <c r="M9" s="199">
        <v>0</v>
      </c>
      <c r="N9" s="199">
        <v>0</v>
      </c>
      <c r="O9" s="199">
        <v>0</v>
      </c>
      <c r="P9" s="199">
        <v>0</v>
      </c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5">
      <c r="A10" s="114" t="s">
        <v>123</v>
      </c>
      <c r="B10" s="114" t="s">
        <v>124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>
        <v>0</v>
      </c>
      <c r="J10" s="199">
        <v>0</v>
      </c>
      <c r="K10" s="199">
        <v>0</v>
      </c>
      <c r="L10" s="199">
        <v>0</v>
      </c>
      <c r="M10" s="199">
        <v>0</v>
      </c>
      <c r="N10" s="199">
        <v>0</v>
      </c>
      <c r="O10" s="199">
        <v>0</v>
      </c>
      <c r="P10" s="199">
        <v>0</v>
      </c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5">
      <c r="A11" s="114" t="s">
        <v>123</v>
      </c>
      <c r="B11" s="114" t="s">
        <v>124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>
        <v>0</v>
      </c>
      <c r="J11" s="199">
        <v>0</v>
      </c>
      <c r="K11" s="199">
        <v>0</v>
      </c>
      <c r="L11" s="199">
        <v>0</v>
      </c>
      <c r="M11" s="199">
        <v>0</v>
      </c>
      <c r="N11" s="199">
        <v>0</v>
      </c>
      <c r="O11" s="199">
        <v>0</v>
      </c>
      <c r="P11" s="199">
        <v>0</v>
      </c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5">
      <c r="A12" s="114" t="s">
        <v>123</v>
      </c>
      <c r="B12" s="114" t="s">
        <v>124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>
        <v>0</v>
      </c>
      <c r="J12" s="199">
        <v>0</v>
      </c>
      <c r="K12" s="199">
        <v>0</v>
      </c>
      <c r="L12" s="199">
        <v>0</v>
      </c>
      <c r="M12" s="199">
        <v>0</v>
      </c>
      <c r="N12" s="199">
        <v>0</v>
      </c>
      <c r="O12" s="199">
        <v>0</v>
      </c>
      <c r="P12" s="199">
        <v>0</v>
      </c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5">
      <c r="A13" s="114" t="s">
        <v>123</v>
      </c>
      <c r="B13" s="114" t="s">
        <v>124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>
        <v>0</v>
      </c>
      <c r="J13" s="199">
        <v>0</v>
      </c>
      <c r="K13" s="199">
        <v>0</v>
      </c>
      <c r="L13" s="199">
        <v>0</v>
      </c>
      <c r="M13" s="199">
        <v>0</v>
      </c>
      <c r="N13" s="199">
        <v>0</v>
      </c>
      <c r="O13" s="199">
        <v>0</v>
      </c>
      <c r="P13" s="199">
        <v>0</v>
      </c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5">
      <c r="A14" s="114" t="s">
        <v>123</v>
      </c>
      <c r="B14" s="114" t="s">
        <v>124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>
        <v>0</v>
      </c>
      <c r="J14" s="199">
        <v>0</v>
      </c>
      <c r="K14" s="199">
        <v>10392</v>
      </c>
      <c r="L14" s="199">
        <v>24317.279999999999</v>
      </c>
      <c r="M14" s="199">
        <v>-10392</v>
      </c>
      <c r="N14" s="199">
        <v>-23689.603200000001</v>
      </c>
      <c r="O14" s="199">
        <v>0</v>
      </c>
      <c r="P14" s="199">
        <v>0</v>
      </c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5">
      <c r="A15" s="114" t="s">
        <v>123</v>
      </c>
      <c r="B15" s="114" t="s">
        <v>124</v>
      </c>
      <c r="C15" s="115">
        <v>12</v>
      </c>
      <c r="D15" s="114" t="s">
        <v>36</v>
      </c>
      <c r="E15" s="200">
        <v>-115828</v>
      </c>
      <c r="F15" s="199">
        <v>-5134.3100000000004</v>
      </c>
      <c r="G15" s="200">
        <v>-892</v>
      </c>
      <c r="H15" s="199">
        <v>-267990.49</v>
      </c>
      <c r="I15" s="200">
        <v>0</v>
      </c>
      <c r="J15" s="199">
        <v>0</v>
      </c>
      <c r="K15" s="199">
        <v>-10392</v>
      </c>
      <c r="L15" s="199">
        <v>-23901.599999999999</v>
      </c>
      <c r="M15" s="199">
        <v>10392</v>
      </c>
      <c r="N15" s="199">
        <v>23901.599999999999</v>
      </c>
      <c r="O15" s="199">
        <v>0</v>
      </c>
      <c r="P15" s="199">
        <v>0</v>
      </c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5">
      <c r="A16" s="114" t="s">
        <v>123</v>
      </c>
      <c r="B16" s="114" t="s">
        <v>124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>
        <v>0</v>
      </c>
      <c r="J16" s="199">
        <v>0</v>
      </c>
      <c r="K16" s="199">
        <v>0</v>
      </c>
      <c r="L16" s="199">
        <v>0</v>
      </c>
      <c r="M16" s="199">
        <v>0</v>
      </c>
      <c r="N16" s="199">
        <v>0</v>
      </c>
      <c r="O16" s="199">
        <v>0</v>
      </c>
      <c r="P16" s="199">
        <v>0</v>
      </c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5">
      <c r="A17" s="114" t="s">
        <v>123</v>
      </c>
      <c r="B17" s="114" t="s">
        <v>124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>
        <v>0</v>
      </c>
      <c r="J17" s="199">
        <v>0</v>
      </c>
      <c r="K17" s="199">
        <v>0</v>
      </c>
      <c r="L17" s="199">
        <v>0</v>
      </c>
      <c r="M17" s="199">
        <v>0</v>
      </c>
      <c r="N17" s="199">
        <v>0</v>
      </c>
      <c r="O17" s="199">
        <v>0</v>
      </c>
      <c r="P17" s="199">
        <v>0</v>
      </c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5">
      <c r="A18" s="114" t="s">
        <v>123</v>
      </c>
      <c r="B18" s="114" t="s">
        <v>124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>
        <v>0</v>
      </c>
      <c r="J18" s="199">
        <v>0</v>
      </c>
      <c r="K18" s="199">
        <v>0</v>
      </c>
      <c r="L18" s="199">
        <v>0</v>
      </c>
      <c r="M18" s="199">
        <v>0</v>
      </c>
      <c r="N18" s="199">
        <v>0</v>
      </c>
      <c r="O18" s="199">
        <v>0</v>
      </c>
      <c r="P18" s="199">
        <v>0</v>
      </c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5">
      <c r="A19" s="114" t="s">
        <v>123</v>
      </c>
      <c r="B19" s="114" t="s">
        <v>124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>
        <v>0</v>
      </c>
      <c r="J19" s="199">
        <v>0</v>
      </c>
      <c r="K19" s="199">
        <v>0</v>
      </c>
      <c r="L19" s="199">
        <v>0</v>
      </c>
      <c r="M19" s="199">
        <v>0</v>
      </c>
      <c r="N19" s="199">
        <v>0</v>
      </c>
      <c r="O19" s="199">
        <v>0</v>
      </c>
      <c r="P19" s="199">
        <v>0</v>
      </c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5">
      <c r="A20" s="114" t="s">
        <v>123</v>
      </c>
      <c r="B20" s="114" t="s">
        <v>124</v>
      </c>
      <c r="C20" s="115">
        <v>17</v>
      </c>
      <c r="D20" s="114" t="s">
        <v>126</v>
      </c>
      <c r="E20" s="200">
        <v>0</v>
      </c>
      <c r="F20" s="199">
        <v>0</v>
      </c>
      <c r="G20" s="200">
        <v>0</v>
      </c>
      <c r="H20" s="199">
        <v>0</v>
      </c>
      <c r="I20" s="200">
        <v>0</v>
      </c>
      <c r="J20" s="199">
        <v>0</v>
      </c>
      <c r="K20" s="199">
        <v>0</v>
      </c>
      <c r="L20" s="199">
        <v>0</v>
      </c>
      <c r="M20" s="199">
        <v>0</v>
      </c>
      <c r="N20" s="199">
        <v>0</v>
      </c>
      <c r="O20" s="199">
        <v>0</v>
      </c>
      <c r="P20" s="199">
        <v>0</v>
      </c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5">
      <c r="A21" s="114" t="s">
        <v>123</v>
      </c>
      <c r="B21" s="114" t="s">
        <v>124</v>
      </c>
      <c r="C21" s="115">
        <v>18</v>
      </c>
      <c r="D21" s="114" t="s">
        <v>127</v>
      </c>
      <c r="E21" s="200">
        <v>0</v>
      </c>
      <c r="F21" s="199">
        <v>0</v>
      </c>
      <c r="G21" s="200">
        <v>0</v>
      </c>
      <c r="H21" s="199">
        <v>0</v>
      </c>
      <c r="I21" s="200">
        <v>0</v>
      </c>
      <c r="J21" s="199">
        <v>0</v>
      </c>
      <c r="K21" s="199">
        <v>0</v>
      </c>
      <c r="L21" s="199">
        <v>0</v>
      </c>
      <c r="M21" s="199">
        <v>0</v>
      </c>
      <c r="N21" s="199">
        <v>0</v>
      </c>
      <c r="O21" s="199">
        <v>0</v>
      </c>
      <c r="P21" s="199">
        <v>0</v>
      </c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5">
      <c r="A22" s="114" t="s">
        <v>123</v>
      </c>
      <c r="B22" s="114" t="s">
        <v>124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>
        <v>0</v>
      </c>
      <c r="J22" s="199">
        <v>0</v>
      </c>
      <c r="K22" s="199">
        <v>0</v>
      </c>
      <c r="L22" s="199">
        <v>0</v>
      </c>
      <c r="M22" s="199">
        <v>0</v>
      </c>
      <c r="N22" s="199">
        <v>0</v>
      </c>
      <c r="O22" s="199">
        <v>0</v>
      </c>
      <c r="P22" s="199">
        <v>0</v>
      </c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5">
      <c r="A23" s="114" t="s">
        <v>123</v>
      </c>
      <c r="B23" s="114" t="s">
        <v>124</v>
      </c>
      <c r="C23" s="115">
        <v>20</v>
      </c>
      <c r="D23" s="114" t="s">
        <v>128</v>
      </c>
      <c r="E23" s="200">
        <v>0</v>
      </c>
      <c r="F23" s="199">
        <v>0</v>
      </c>
      <c r="G23" s="200">
        <v>0</v>
      </c>
      <c r="H23" s="199">
        <v>0</v>
      </c>
      <c r="I23" s="200">
        <v>0</v>
      </c>
      <c r="J23" s="199">
        <v>0</v>
      </c>
      <c r="K23" s="199">
        <v>0</v>
      </c>
      <c r="L23" s="199">
        <v>0</v>
      </c>
      <c r="M23" s="199">
        <v>0</v>
      </c>
      <c r="N23" s="199">
        <v>0</v>
      </c>
      <c r="O23" s="199">
        <v>0</v>
      </c>
      <c r="P23" s="199">
        <v>0</v>
      </c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5">
      <c r="A24" s="114" t="s">
        <v>123</v>
      </c>
      <c r="B24" s="114" t="s">
        <v>124</v>
      </c>
      <c r="C24" s="115">
        <v>21</v>
      </c>
      <c r="D24" s="114" t="s">
        <v>129</v>
      </c>
      <c r="E24" s="200">
        <v>0</v>
      </c>
      <c r="F24" s="199">
        <v>0</v>
      </c>
      <c r="G24" s="200">
        <v>0</v>
      </c>
      <c r="H24" s="199">
        <v>0</v>
      </c>
      <c r="I24" s="200">
        <v>0</v>
      </c>
      <c r="J24" s="199">
        <v>113410.16</v>
      </c>
      <c r="K24" s="199">
        <v>0</v>
      </c>
      <c r="L24" s="199">
        <v>0</v>
      </c>
      <c r="M24" s="199">
        <v>0</v>
      </c>
      <c r="N24" s="199">
        <v>0</v>
      </c>
      <c r="O24" s="199">
        <v>0</v>
      </c>
      <c r="P24" s="199">
        <v>0</v>
      </c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5">
      <c r="A25" s="114" t="s">
        <v>123</v>
      </c>
      <c r="B25" s="114" t="s">
        <v>124</v>
      </c>
      <c r="C25" s="115">
        <v>22</v>
      </c>
      <c r="D25" s="114" t="s">
        <v>130</v>
      </c>
      <c r="E25" s="200">
        <v>0</v>
      </c>
      <c r="F25" s="199">
        <v>0</v>
      </c>
      <c r="G25" s="200">
        <v>0</v>
      </c>
      <c r="H25" s="199">
        <v>0</v>
      </c>
      <c r="I25" s="200">
        <v>0</v>
      </c>
      <c r="J25" s="199">
        <v>0</v>
      </c>
      <c r="K25" s="199">
        <v>0</v>
      </c>
      <c r="L25" s="199">
        <v>0</v>
      </c>
      <c r="M25" s="199">
        <v>0</v>
      </c>
      <c r="N25" s="199">
        <v>0</v>
      </c>
      <c r="O25" s="199">
        <v>0</v>
      </c>
      <c r="P25" s="199">
        <v>0</v>
      </c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5">
      <c r="A26" s="114" t="s">
        <v>123</v>
      </c>
      <c r="B26" s="114" t="s">
        <v>124</v>
      </c>
      <c r="C26" s="115">
        <v>23</v>
      </c>
      <c r="D26" s="114" t="s">
        <v>131</v>
      </c>
      <c r="E26" s="200">
        <v>0</v>
      </c>
      <c r="F26" s="199">
        <v>0</v>
      </c>
      <c r="G26" s="200">
        <v>0</v>
      </c>
      <c r="H26" s="199">
        <v>0</v>
      </c>
      <c r="I26" s="200">
        <v>0</v>
      </c>
      <c r="J26" s="199">
        <v>0</v>
      </c>
      <c r="K26" s="199">
        <v>0</v>
      </c>
      <c r="L26" s="199">
        <v>0</v>
      </c>
      <c r="M26" s="199">
        <v>0</v>
      </c>
      <c r="N26" s="199">
        <v>0</v>
      </c>
      <c r="O26" s="199">
        <v>0</v>
      </c>
      <c r="P26" s="199">
        <v>0</v>
      </c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5">
      <c r="A27" s="114" t="s">
        <v>123</v>
      </c>
      <c r="B27" s="114" t="s">
        <v>124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>
        <v>0</v>
      </c>
      <c r="J27" s="199">
        <v>0</v>
      </c>
      <c r="K27" s="199">
        <v>0</v>
      </c>
      <c r="L27" s="199">
        <v>0</v>
      </c>
      <c r="M27" s="199">
        <v>0</v>
      </c>
      <c r="N27" s="199">
        <v>0</v>
      </c>
      <c r="O27" s="199">
        <v>0</v>
      </c>
      <c r="P27" s="199">
        <v>0</v>
      </c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5">
      <c r="A28" s="114" t="s">
        <v>123</v>
      </c>
      <c r="B28" s="114" t="s">
        <v>124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>
        <v>0</v>
      </c>
      <c r="J28" s="199">
        <v>0</v>
      </c>
      <c r="K28" s="199">
        <v>0</v>
      </c>
      <c r="L28" s="199">
        <v>0</v>
      </c>
      <c r="M28" s="199">
        <v>0</v>
      </c>
      <c r="N28" s="199">
        <v>0</v>
      </c>
      <c r="O28" s="199">
        <v>0</v>
      </c>
      <c r="P28" s="199">
        <v>0</v>
      </c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5">
      <c r="A29" s="114" t="s">
        <v>123</v>
      </c>
      <c r="B29" s="114" t="s">
        <v>124</v>
      </c>
      <c r="C29" s="115">
        <v>26</v>
      </c>
      <c r="D29" s="114" t="s">
        <v>132</v>
      </c>
      <c r="E29" s="200">
        <v>0</v>
      </c>
      <c r="F29" s="199">
        <v>0</v>
      </c>
      <c r="G29" s="200">
        <v>0</v>
      </c>
      <c r="H29" s="199">
        <v>0</v>
      </c>
      <c r="I29" s="200">
        <v>0</v>
      </c>
      <c r="J29" s="199">
        <v>0</v>
      </c>
      <c r="K29" s="199">
        <v>0</v>
      </c>
      <c r="L29" s="199">
        <v>0</v>
      </c>
      <c r="M29" s="199">
        <v>0</v>
      </c>
      <c r="N29" s="199">
        <v>0</v>
      </c>
      <c r="O29" s="199">
        <v>0</v>
      </c>
      <c r="P29" s="199">
        <v>0</v>
      </c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5">
      <c r="A30" s="114" t="s">
        <v>123</v>
      </c>
      <c r="B30" s="114" t="s">
        <v>124</v>
      </c>
      <c r="C30" s="115">
        <v>27</v>
      </c>
      <c r="D30" s="114" t="s">
        <v>133</v>
      </c>
      <c r="E30" s="200">
        <v>0</v>
      </c>
      <c r="F30" s="199">
        <v>0</v>
      </c>
      <c r="G30" s="200">
        <v>0</v>
      </c>
      <c r="H30" s="199">
        <v>0</v>
      </c>
      <c r="I30" s="200">
        <v>0</v>
      </c>
      <c r="J30" s="199">
        <v>0</v>
      </c>
      <c r="K30" s="199">
        <v>0</v>
      </c>
      <c r="L30" s="199">
        <v>0</v>
      </c>
      <c r="M30" s="199">
        <v>0</v>
      </c>
      <c r="N30" s="199">
        <v>0</v>
      </c>
      <c r="O30" s="199">
        <v>0</v>
      </c>
      <c r="P30" s="199">
        <v>0</v>
      </c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5">
      <c r="A31" s="114" t="s">
        <v>123</v>
      </c>
      <c r="B31" s="114" t="s">
        <v>124</v>
      </c>
      <c r="C31" s="115">
        <v>28</v>
      </c>
      <c r="D31" s="114" t="s">
        <v>134</v>
      </c>
      <c r="E31" s="200">
        <v>0</v>
      </c>
      <c r="F31" s="199">
        <v>0</v>
      </c>
      <c r="G31" s="200">
        <v>0</v>
      </c>
      <c r="H31" s="199">
        <v>0</v>
      </c>
      <c r="I31" s="200">
        <v>0</v>
      </c>
      <c r="J31" s="199">
        <v>0</v>
      </c>
      <c r="K31" s="199">
        <v>0</v>
      </c>
      <c r="L31" s="199">
        <v>0</v>
      </c>
      <c r="M31" s="199">
        <v>0</v>
      </c>
      <c r="N31" s="199">
        <v>0</v>
      </c>
      <c r="O31" s="199">
        <v>0</v>
      </c>
      <c r="P31" s="199">
        <v>0</v>
      </c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5">
      <c r="A32" s="114" t="s">
        <v>123</v>
      </c>
      <c r="B32" s="114" t="s">
        <v>124</v>
      </c>
      <c r="C32" s="115">
        <v>29</v>
      </c>
      <c r="D32" s="114" t="s">
        <v>135</v>
      </c>
      <c r="E32" s="200">
        <v>0</v>
      </c>
      <c r="F32" s="199">
        <v>0</v>
      </c>
      <c r="G32" s="200">
        <v>0</v>
      </c>
      <c r="H32" s="199">
        <v>0</v>
      </c>
      <c r="I32" s="200">
        <v>0</v>
      </c>
      <c r="J32" s="199">
        <v>0</v>
      </c>
      <c r="K32" s="199">
        <v>0</v>
      </c>
      <c r="L32" s="199">
        <v>0</v>
      </c>
      <c r="M32" s="199">
        <v>0</v>
      </c>
      <c r="N32" s="199">
        <v>0</v>
      </c>
      <c r="O32" s="199">
        <v>0</v>
      </c>
      <c r="P32" s="199">
        <v>0</v>
      </c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5">
      <c r="A33" s="114" t="s">
        <v>123</v>
      </c>
      <c r="B33" s="114" t="s">
        <v>124</v>
      </c>
      <c r="C33" s="115">
        <v>30</v>
      </c>
      <c r="D33" s="114" t="s">
        <v>136</v>
      </c>
      <c r="E33" s="200">
        <v>0</v>
      </c>
      <c r="F33" s="199">
        <v>0</v>
      </c>
      <c r="G33" s="200">
        <v>0</v>
      </c>
      <c r="H33" s="199">
        <v>0</v>
      </c>
      <c r="I33" s="200">
        <v>0</v>
      </c>
      <c r="J33" s="199">
        <v>0</v>
      </c>
      <c r="K33" s="199">
        <v>0</v>
      </c>
      <c r="L33" s="199">
        <v>0</v>
      </c>
      <c r="M33" s="199">
        <v>0</v>
      </c>
      <c r="N33" s="199">
        <v>0</v>
      </c>
      <c r="O33" s="199">
        <v>0</v>
      </c>
      <c r="P33" s="199">
        <v>0</v>
      </c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5">
      <c r="A34" s="114" t="s">
        <v>123</v>
      </c>
      <c r="B34" s="114" t="s">
        <v>124</v>
      </c>
      <c r="C34" s="115">
        <v>31</v>
      </c>
      <c r="D34" s="114" t="s">
        <v>137</v>
      </c>
      <c r="E34" s="200">
        <v>0</v>
      </c>
      <c r="F34" s="199">
        <v>0</v>
      </c>
      <c r="G34" s="200">
        <v>0</v>
      </c>
      <c r="H34" s="199">
        <v>0</v>
      </c>
      <c r="I34" s="200">
        <v>0</v>
      </c>
      <c r="J34" s="199">
        <v>0</v>
      </c>
      <c r="K34" s="199">
        <v>0</v>
      </c>
      <c r="L34" s="199">
        <v>0</v>
      </c>
      <c r="M34" s="199">
        <v>0</v>
      </c>
      <c r="N34" s="199">
        <v>0</v>
      </c>
      <c r="O34" s="199">
        <v>0</v>
      </c>
      <c r="P34" s="199">
        <v>0</v>
      </c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5">
      <c r="A35" s="114" t="s">
        <v>123</v>
      </c>
      <c r="B35" s="114" t="s">
        <v>124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>
        <v>0</v>
      </c>
      <c r="J35" s="199">
        <v>0</v>
      </c>
      <c r="K35" s="199">
        <v>0</v>
      </c>
      <c r="L35" s="199">
        <v>0</v>
      </c>
      <c r="M35" s="199">
        <v>0</v>
      </c>
      <c r="N35" s="199">
        <v>0</v>
      </c>
      <c r="O35" s="199">
        <v>0</v>
      </c>
      <c r="P35" s="199">
        <v>0</v>
      </c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5">
      <c r="A36" s="114" t="s">
        <v>123</v>
      </c>
      <c r="B36" s="114" t="s">
        <v>124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>
        <v>0</v>
      </c>
      <c r="J36" s="199">
        <v>0</v>
      </c>
      <c r="K36" s="199">
        <v>0</v>
      </c>
      <c r="L36" s="199">
        <v>0</v>
      </c>
      <c r="M36" s="199">
        <v>0</v>
      </c>
      <c r="N36" s="199">
        <v>0</v>
      </c>
      <c r="O36" s="199">
        <v>0</v>
      </c>
      <c r="P36" s="199">
        <v>0</v>
      </c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5">
      <c r="A37" s="114" t="s">
        <v>123</v>
      </c>
      <c r="B37" s="114" t="s">
        <v>124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>
        <v>0</v>
      </c>
      <c r="J37" s="199">
        <v>0</v>
      </c>
      <c r="K37" s="199">
        <v>0</v>
      </c>
      <c r="L37" s="199">
        <v>0</v>
      </c>
      <c r="M37" s="199">
        <v>0</v>
      </c>
      <c r="N37" s="199">
        <v>0</v>
      </c>
      <c r="O37" s="199">
        <v>0</v>
      </c>
      <c r="P37" s="199">
        <v>0</v>
      </c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5">
      <c r="A38" s="114" t="s">
        <v>123</v>
      </c>
      <c r="B38" s="114" t="s">
        <v>124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>
        <v>0</v>
      </c>
      <c r="J38" s="199">
        <v>0</v>
      </c>
      <c r="K38" s="199">
        <v>0</v>
      </c>
      <c r="L38" s="199">
        <v>0</v>
      </c>
      <c r="M38" s="199">
        <v>0</v>
      </c>
      <c r="N38" s="199">
        <v>0</v>
      </c>
      <c r="O38" s="199">
        <v>0</v>
      </c>
      <c r="P38" s="199">
        <v>0</v>
      </c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5">
      <c r="A39" s="114" t="s">
        <v>123</v>
      </c>
      <c r="B39" s="114" t="s">
        <v>124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>
        <v>0</v>
      </c>
      <c r="J39" s="199">
        <v>0</v>
      </c>
      <c r="K39" s="199">
        <v>0</v>
      </c>
      <c r="L39" s="199">
        <v>0</v>
      </c>
      <c r="M39" s="199">
        <v>0</v>
      </c>
      <c r="N39" s="199">
        <v>0</v>
      </c>
      <c r="O39" s="199">
        <v>0</v>
      </c>
      <c r="P39" s="199">
        <v>0</v>
      </c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5">
      <c r="A40" s="114" t="s">
        <v>123</v>
      </c>
      <c r="B40" s="114" t="s">
        <v>124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>
        <v>0</v>
      </c>
      <c r="J40" s="199">
        <v>0</v>
      </c>
      <c r="K40" s="199">
        <v>0</v>
      </c>
      <c r="L40" s="199">
        <v>0</v>
      </c>
      <c r="M40" s="199">
        <v>0</v>
      </c>
      <c r="N40" s="199">
        <v>0</v>
      </c>
      <c r="O40" s="199">
        <v>0</v>
      </c>
      <c r="P40" s="199">
        <v>0</v>
      </c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5">
      <c r="A41" s="114" t="s">
        <v>123</v>
      </c>
      <c r="B41" s="114" t="s">
        <v>124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>
        <v>0</v>
      </c>
      <c r="J41" s="199">
        <v>0</v>
      </c>
      <c r="K41" s="199">
        <v>0</v>
      </c>
      <c r="L41" s="199">
        <v>0</v>
      </c>
      <c r="M41" s="199">
        <v>0</v>
      </c>
      <c r="N41" s="199">
        <v>0</v>
      </c>
      <c r="O41" s="199">
        <v>0</v>
      </c>
      <c r="P41" s="199">
        <v>0</v>
      </c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5">
      <c r="A42" s="114" t="s">
        <v>123</v>
      </c>
      <c r="B42" s="114" t="s">
        <v>124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>
        <v>0</v>
      </c>
      <c r="J42" s="199">
        <v>0</v>
      </c>
      <c r="K42" s="199">
        <v>0</v>
      </c>
      <c r="L42" s="199">
        <v>0</v>
      </c>
      <c r="M42" s="199">
        <v>0</v>
      </c>
      <c r="N42" s="199">
        <v>0</v>
      </c>
      <c r="O42" s="199">
        <v>0</v>
      </c>
      <c r="P42" s="199">
        <v>0</v>
      </c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5">
      <c r="A43" s="114" t="s">
        <v>123</v>
      </c>
      <c r="B43" s="114" t="s">
        <v>124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>
        <v>0</v>
      </c>
      <c r="J43" s="199">
        <v>0</v>
      </c>
      <c r="K43" s="199">
        <v>0</v>
      </c>
      <c r="L43" s="199">
        <v>0</v>
      </c>
      <c r="M43" s="199">
        <v>0</v>
      </c>
      <c r="N43" s="199">
        <v>0</v>
      </c>
      <c r="O43" s="199">
        <v>0</v>
      </c>
      <c r="P43" s="199">
        <v>0</v>
      </c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5">
      <c r="A44" s="33" t="s">
        <v>138</v>
      </c>
      <c r="B44" s="33" t="s">
        <v>150</v>
      </c>
      <c r="C44" s="33">
        <v>1</v>
      </c>
      <c r="D44" s="33" t="s">
        <v>25</v>
      </c>
      <c r="E44" s="200">
        <v>8693022</v>
      </c>
      <c r="F44" s="199">
        <v>21002770.84</v>
      </c>
      <c r="G44" s="200">
        <v>-54467</v>
      </c>
      <c r="H44" s="199">
        <v>10689.76</v>
      </c>
      <c r="I44" s="200">
        <v>511</v>
      </c>
      <c r="J44" s="199">
        <v>-12591.21</v>
      </c>
      <c r="K44" s="199">
        <v>-34</v>
      </c>
      <c r="L44" s="199">
        <v>-83.64</v>
      </c>
      <c r="M44" s="199">
        <v>0</v>
      </c>
      <c r="N44" s="199">
        <v>0</v>
      </c>
      <c r="O44" s="199">
        <v>0</v>
      </c>
      <c r="P44" s="199">
        <v>0</v>
      </c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5">
      <c r="A45" s="33" t="s">
        <v>138</v>
      </c>
      <c r="B45" s="33" t="s">
        <v>150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>
        <v>0</v>
      </c>
      <c r="J45" s="199">
        <v>0</v>
      </c>
      <c r="K45" s="199">
        <v>0</v>
      </c>
      <c r="L45" s="199">
        <v>0</v>
      </c>
      <c r="M45" s="199">
        <v>0</v>
      </c>
      <c r="N45" s="199">
        <v>0</v>
      </c>
      <c r="O45" s="199">
        <v>0</v>
      </c>
      <c r="P45" s="199">
        <v>0</v>
      </c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5">
      <c r="A46" s="33" t="s">
        <v>138</v>
      </c>
      <c r="B46" s="33" t="s">
        <v>150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>
        <v>0</v>
      </c>
      <c r="J46" s="199">
        <v>0</v>
      </c>
      <c r="K46" s="199">
        <v>0</v>
      </c>
      <c r="L46" s="199">
        <v>0</v>
      </c>
      <c r="M46" s="199">
        <v>0</v>
      </c>
      <c r="N46" s="199">
        <v>0</v>
      </c>
      <c r="O46" s="199">
        <v>0</v>
      </c>
      <c r="P46" s="199">
        <v>0</v>
      </c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5">
      <c r="A47" s="33" t="s">
        <v>138</v>
      </c>
      <c r="B47" s="33" t="s">
        <v>150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>
        <v>0</v>
      </c>
      <c r="J47" s="199">
        <v>0</v>
      </c>
      <c r="K47" s="199">
        <v>0</v>
      </c>
      <c r="L47" s="199">
        <v>0</v>
      </c>
      <c r="M47" s="199">
        <v>0</v>
      </c>
      <c r="N47" s="199">
        <v>0</v>
      </c>
      <c r="O47" s="199">
        <v>0</v>
      </c>
      <c r="P47" s="199">
        <v>0</v>
      </c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5">
      <c r="A48" s="33" t="s">
        <v>138</v>
      </c>
      <c r="B48" s="33" t="s">
        <v>150</v>
      </c>
      <c r="C48" s="33">
        <v>5</v>
      </c>
      <c r="D48" s="33" t="s">
        <v>125</v>
      </c>
      <c r="E48" s="200">
        <v>0</v>
      </c>
      <c r="F48" s="199">
        <v>0</v>
      </c>
      <c r="G48" s="200">
        <v>0</v>
      </c>
      <c r="H48" s="199">
        <v>0</v>
      </c>
      <c r="I48" s="200">
        <v>0</v>
      </c>
      <c r="J48" s="199">
        <v>0</v>
      </c>
      <c r="K48" s="199">
        <v>0</v>
      </c>
      <c r="L48" s="199">
        <v>0</v>
      </c>
      <c r="M48" s="199">
        <v>0</v>
      </c>
      <c r="N48" s="199">
        <v>0</v>
      </c>
      <c r="O48" s="199">
        <v>0</v>
      </c>
      <c r="P48" s="199">
        <v>0</v>
      </c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5">
      <c r="A49" s="33" t="s">
        <v>138</v>
      </c>
      <c r="B49" s="33" t="s">
        <v>150</v>
      </c>
      <c r="C49" s="33">
        <v>6</v>
      </c>
      <c r="D49" s="33" t="s">
        <v>25</v>
      </c>
      <c r="E49" s="200">
        <v>-3770769</v>
      </c>
      <c r="F49" s="199">
        <v>-8869097.4100000001</v>
      </c>
      <c r="G49" s="200">
        <v>2392622</v>
      </c>
      <c r="H49" s="199">
        <v>5606121.1099999994</v>
      </c>
      <c r="I49" s="200">
        <v>-280</v>
      </c>
      <c r="J49" s="199">
        <v>-1396.13</v>
      </c>
      <c r="K49" s="199">
        <v>-94</v>
      </c>
      <c r="L49" s="199">
        <v>-215.26</v>
      </c>
      <c r="M49" s="199">
        <v>0</v>
      </c>
      <c r="N49" s="199">
        <v>0</v>
      </c>
      <c r="O49" s="199">
        <v>0</v>
      </c>
      <c r="P49" s="199">
        <v>0</v>
      </c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5">
      <c r="A50" s="33" t="s">
        <v>138</v>
      </c>
      <c r="B50" s="33" t="s">
        <v>150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>
        <v>0</v>
      </c>
      <c r="J50" s="199">
        <v>0</v>
      </c>
      <c r="K50" s="199">
        <v>0</v>
      </c>
      <c r="L50" s="199">
        <v>0</v>
      </c>
      <c r="M50" s="199">
        <v>0</v>
      </c>
      <c r="N50" s="199">
        <v>0</v>
      </c>
      <c r="O50" s="199">
        <v>0</v>
      </c>
      <c r="P50" s="199">
        <v>0</v>
      </c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5">
      <c r="A51" s="33" t="s">
        <v>138</v>
      </c>
      <c r="B51" s="33" t="s">
        <v>150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>
        <v>0</v>
      </c>
      <c r="J51" s="199">
        <v>0</v>
      </c>
      <c r="K51" s="199">
        <v>0</v>
      </c>
      <c r="L51" s="199">
        <v>0</v>
      </c>
      <c r="M51" s="199">
        <v>0</v>
      </c>
      <c r="N51" s="199">
        <v>0</v>
      </c>
      <c r="O51" s="199">
        <v>0</v>
      </c>
      <c r="P51" s="199">
        <v>0</v>
      </c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5">
      <c r="A52" s="33" t="s">
        <v>138</v>
      </c>
      <c r="B52" s="33" t="s">
        <v>150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>
        <v>0</v>
      </c>
      <c r="J52" s="199">
        <v>0</v>
      </c>
      <c r="K52" s="199">
        <v>0</v>
      </c>
      <c r="L52" s="199">
        <v>0</v>
      </c>
      <c r="M52" s="199">
        <v>0</v>
      </c>
      <c r="N52" s="199">
        <v>0</v>
      </c>
      <c r="O52" s="199">
        <v>0</v>
      </c>
      <c r="P52" s="199">
        <v>0</v>
      </c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5">
      <c r="A53" s="33" t="s">
        <v>138</v>
      </c>
      <c r="B53" s="33" t="s">
        <v>150</v>
      </c>
      <c r="C53" s="33">
        <v>10</v>
      </c>
      <c r="D53" s="33" t="s">
        <v>32</v>
      </c>
      <c r="E53" s="200">
        <v>0</v>
      </c>
      <c r="F53" s="199">
        <v>0</v>
      </c>
      <c r="G53" s="200">
        <v>42131</v>
      </c>
      <c r="H53" s="199">
        <v>101281.61</v>
      </c>
      <c r="I53" s="200">
        <v>42121</v>
      </c>
      <c r="J53" s="199">
        <v>101258.71</v>
      </c>
      <c r="K53" s="199">
        <v>-110645</v>
      </c>
      <c r="L53" s="199">
        <v>-260234.09</v>
      </c>
      <c r="M53" s="199">
        <v>0</v>
      </c>
      <c r="N53" s="199">
        <v>0</v>
      </c>
      <c r="O53" s="199">
        <v>-6124</v>
      </c>
      <c r="P53" s="199">
        <v>-16075.5</v>
      </c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5">
      <c r="A54" s="33" t="s">
        <v>138</v>
      </c>
      <c r="B54" s="33" t="s">
        <v>150</v>
      </c>
      <c r="C54" s="33">
        <v>11</v>
      </c>
      <c r="D54" s="33" t="s">
        <v>35</v>
      </c>
      <c r="E54" s="200">
        <v>7737611</v>
      </c>
      <c r="F54" s="199">
        <v>18880413.34</v>
      </c>
      <c r="G54" s="200">
        <v>-478930</v>
      </c>
      <c r="H54" s="199">
        <v>-1278050.73</v>
      </c>
      <c r="I54" s="200">
        <v>-539035</v>
      </c>
      <c r="J54" s="199">
        <v>-1327285.26</v>
      </c>
      <c r="K54" s="199">
        <v>13610</v>
      </c>
      <c r="L54" s="199">
        <v>55479.19</v>
      </c>
      <c r="M54" s="199">
        <v>-35713</v>
      </c>
      <c r="N54" s="199">
        <v>-93075.07</v>
      </c>
      <c r="O54" s="199">
        <v>0</v>
      </c>
      <c r="P54" s="199">
        <v>0</v>
      </c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5">
      <c r="A55" s="33" t="s">
        <v>138</v>
      </c>
      <c r="B55" s="33" t="s">
        <v>150</v>
      </c>
      <c r="C55" s="33">
        <v>12</v>
      </c>
      <c r="D55" s="33" t="s">
        <v>36</v>
      </c>
      <c r="E55" s="200">
        <v>-12484744</v>
      </c>
      <c r="F55" s="199">
        <v>-30071908</v>
      </c>
      <c r="G55" s="200">
        <v>443422</v>
      </c>
      <c r="H55" s="199">
        <v>1116090.1399999999</v>
      </c>
      <c r="I55" s="200">
        <v>536472</v>
      </c>
      <c r="J55" s="199">
        <v>1327896.8799999999</v>
      </c>
      <c r="K55" s="199">
        <v>22093</v>
      </c>
      <c r="L55" s="199">
        <v>37572.980000000003</v>
      </c>
      <c r="M55" s="199">
        <v>-3815</v>
      </c>
      <c r="N55" s="199">
        <v>-10766.07</v>
      </c>
      <c r="O55" s="199">
        <v>0</v>
      </c>
      <c r="P55" s="199">
        <v>0</v>
      </c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5">
      <c r="A56" s="33" t="s">
        <v>138</v>
      </c>
      <c r="B56" s="33" t="s">
        <v>150</v>
      </c>
      <c r="C56" s="33">
        <v>13</v>
      </c>
      <c r="D56" s="33" t="s">
        <v>39</v>
      </c>
      <c r="E56" s="200">
        <v>0</v>
      </c>
      <c r="F56" s="199">
        <v>0</v>
      </c>
      <c r="G56" s="200">
        <v>-176357</v>
      </c>
      <c r="H56" s="199">
        <v>-413909.87599999999</v>
      </c>
      <c r="I56" s="200">
        <v>-26899</v>
      </c>
      <c r="J56" s="199">
        <v>-63131.953000000001</v>
      </c>
      <c r="K56" s="199">
        <v>68514</v>
      </c>
      <c r="L56" s="199">
        <v>160802.35999999999</v>
      </c>
      <c r="M56" s="199">
        <v>0</v>
      </c>
      <c r="N56" s="199">
        <v>0</v>
      </c>
      <c r="O56" s="199">
        <v>0</v>
      </c>
      <c r="P56" s="199">
        <v>0</v>
      </c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5">
      <c r="A57" s="33" t="s">
        <v>138</v>
      </c>
      <c r="B57" s="33" t="s">
        <v>150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>
        <v>0</v>
      </c>
      <c r="J57" s="199">
        <v>0</v>
      </c>
      <c r="K57" s="199">
        <v>0</v>
      </c>
      <c r="L57" s="199">
        <v>0</v>
      </c>
      <c r="M57" s="199">
        <v>0</v>
      </c>
      <c r="N57" s="199">
        <v>0</v>
      </c>
      <c r="O57" s="199">
        <v>0</v>
      </c>
      <c r="P57" s="199">
        <v>0</v>
      </c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5">
      <c r="A58" s="33" t="s">
        <v>138</v>
      </c>
      <c r="B58" s="33" t="s">
        <v>150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>
        <v>0</v>
      </c>
      <c r="J58" s="199">
        <v>0</v>
      </c>
      <c r="K58" s="199">
        <v>0</v>
      </c>
      <c r="L58" s="199">
        <v>0</v>
      </c>
      <c r="M58" s="199">
        <v>0</v>
      </c>
      <c r="N58" s="199">
        <v>0</v>
      </c>
      <c r="O58" s="199">
        <v>0</v>
      </c>
      <c r="P58" s="199">
        <v>0</v>
      </c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5">
      <c r="A59" s="33" t="s">
        <v>138</v>
      </c>
      <c r="B59" s="33" t="s">
        <v>150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>
        <v>0</v>
      </c>
      <c r="J59" s="199">
        <v>0</v>
      </c>
      <c r="K59" s="199">
        <v>0</v>
      </c>
      <c r="L59" s="199">
        <v>0</v>
      </c>
      <c r="M59" s="199">
        <v>0</v>
      </c>
      <c r="N59" s="199">
        <v>0</v>
      </c>
      <c r="O59" s="199">
        <v>0</v>
      </c>
      <c r="P59" s="199">
        <v>0</v>
      </c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5">
      <c r="A60" s="33" t="s">
        <v>138</v>
      </c>
      <c r="B60" s="33" t="s">
        <v>150</v>
      </c>
      <c r="C60" s="33">
        <v>17</v>
      </c>
      <c r="D60" s="33" t="s">
        <v>126</v>
      </c>
      <c r="E60" s="200">
        <v>0</v>
      </c>
      <c r="F60" s="199">
        <v>0</v>
      </c>
      <c r="G60" s="200">
        <v>750236</v>
      </c>
      <c r="H60" s="199">
        <v>1519302.92</v>
      </c>
      <c r="I60" s="200">
        <v>0</v>
      </c>
      <c r="J60" s="199">
        <v>0</v>
      </c>
      <c r="K60" s="199">
        <v>0</v>
      </c>
      <c r="L60" s="199">
        <v>0</v>
      </c>
      <c r="M60" s="199">
        <v>0</v>
      </c>
      <c r="N60" s="199">
        <v>0</v>
      </c>
      <c r="O60" s="199">
        <v>0</v>
      </c>
      <c r="P60" s="199">
        <v>0</v>
      </c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5">
      <c r="A61" s="33" t="s">
        <v>138</v>
      </c>
      <c r="B61" s="33" t="s">
        <v>150</v>
      </c>
      <c r="C61" s="33">
        <v>18</v>
      </c>
      <c r="D61" s="33" t="s">
        <v>127</v>
      </c>
      <c r="E61" s="200">
        <v>0</v>
      </c>
      <c r="F61" s="199">
        <v>0</v>
      </c>
      <c r="G61" s="200">
        <v>-3208577</v>
      </c>
      <c r="H61" s="199">
        <v>-6497689.2800000003</v>
      </c>
      <c r="I61" s="200">
        <v>-252</v>
      </c>
      <c r="J61" s="199">
        <v>-510.33</v>
      </c>
      <c r="K61" s="199">
        <v>-35713</v>
      </c>
      <c r="L61" s="199">
        <v>-73322.399999999994</v>
      </c>
      <c r="M61" s="199">
        <v>0</v>
      </c>
      <c r="N61" s="199">
        <v>0</v>
      </c>
      <c r="O61" s="199">
        <v>0</v>
      </c>
      <c r="P61" s="199">
        <v>0</v>
      </c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5">
      <c r="A62" s="33" t="s">
        <v>138</v>
      </c>
      <c r="B62" s="33" t="s">
        <v>150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>
        <v>0</v>
      </c>
      <c r="J62" s="199">
        <v>0</v>
      </c>
      <c r="K62" s="199">
        <v>0</v>
      </c>
      <c r="L62" s="199">
        <v>0</v>
      </c>
      <c r="M62" s="199">
        <v>0</v>
      </c>
      <c r="N62" s="199">
        <v>0</v>
      </c>
      <c r="O62" s="199">
        <v>0</v>
      </c>
      <c r="P62" s="199">
        <v>0</v>
      </c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5">
      <c r="A63" s="33" t="s">
        <v>138</v>
      </c>
      <c r="B63" s="33" t="s">
        <v>150</v>
      </c>
      <c r="C63" s="33">
        <v>20</v>
      </c>
      <c r="D63" s="33" t="s">
        <v>128</v>
      </c>
      <c r="E63" s="200">
        <v>0</v>
      </c>
      <c r="F63" s="199">
        <v>0</v>
      </c>
      <c r="G63" s="200">
        <v>4326</v>
      </c>
      <c r="H63" s="199">
        <v>17.010000000000002</v>
      </c>
      <c r="I63" s="200">
        <v>4326</v>
      </c>
      <c r="J63" s="199">
        <v>17.010000000000002</v>
      </c>
      <c r="K63" s="199">
        <v>-4326</v>
      </c>
      <c r="L63" s="199">
        <v>-17.010000000000002</v>
      </c>
      <c r="M63" s="199">
        <v>0</v>
      </c>
      <c r="N63" s="199">
        <v>0</v>
      </c>
      <c r="O63" s="199">
        <v>0</v>
      </c>
      <c r="P63" s="199">
        <v>0</v>
      </c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5">
      <c r="A64" s="33" t="s">
        <v>138</v>
      </c>
      <c r="B64" s="33" t="s">
        <v>150</v>
      </c>
      <c r="C64" s="33">
        <v>21</v>
      </c>
      <c r="D64" s="33" t="s">
        <v>129</v>
      </c>
      <c r="E64" s="200">
        <v>0</v>
      </c>
      <c r="F64" s="199">
        <v>0</v>
      </c>
      <c r="G64" s="200">
        <v>0</v>
      </c>
      <c r="H64" s="199">
        <v>0</v>
      </c>
      <c r="I64" s="200">
        <v>0</v>
      </c>
      <c r="J64" s="199">
        <v>0</v>
      </c>
      <c r="K64" s="199">
        <v>0</v>
      </c>
      <c r="L64" s="199">
        <v>0</v>
      </c>
      <c r="M64" s="199">
        <v>0</v>
      </c>
      <c r="N64" s="199">
        <v>0</v>
      </c>
      <c r="O64" s="199">
        <v>0</v>
      </c>
      <c r="P64" s="199">
        <v>0</v>
      </c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5">
      <c r="A65" s="33" t="s">
        <v>138</v>
      </c>
      <c r="B65" s="33" t="s">
        <v>150</v>
      </c>
      <c r="C65" s="33">
        <v>22</v>
      </c>
      <c r="D65" s="33" t="s">
        <v>130</v>
      </c>
      <c r="E65" s="200">
        <v>-175120</v>
      </c>
      <c r="F65" s="199">
        <v>-411006.64</v>
      </c>
      <c r="G65" s="200">
        <v>285594</v>
      </c>
      <c r="H65" s="199">
        <v>670289.11800000002</v>
      </c>
      <c r="I65" s="200">
        <v>-16964</v>
      </c>
      <c r="J65" s="199">
        <v>-39814.508000000002</v>
      </c>
      <c r="K65" s="199">
        <v>46595</v>
      </c>
      <c r="L65" s="199">
        <v>109358.465</v>
      </c>
      <c r="M65" s="199">
        <v>39528</v>
      </c>
      <c r="N65" s="199">
        <v>92772.216</v>
      </c>
      <c r="O65" s="199">
        <v>6124</v>
      </c>
      <c r="P65" s="199">
        <v>14373.028</v>
      </c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5">
      <c r="A66" s="33" t="s">
        <v>138</v>
      </c>
      <c r="B66" s="33" t="s">
        <v>150</v>
      </c>
      <c r="C66" s="33">
        <v>23</v>
      </c>
      <c r="D66" s="33" t="s">
        <v>131</v>
      </c>
      <c r="E66" s="200">
        <v>0</v>
      </c>
      <c r="F66" s="199">
        <v>0</v>
      </c>
      <c r="G66" s="200">
        <v>-42131</v>
      </c>
      <c r="H66" s="199">
        <v>-101281.61</v>
      </c>
      <c r="I66" s="200">
        <v>-42121</v>
      </c>
      <c r="J66" s="199">
        <v>-101258.71</v>
      </c>
      <c r="K66" s="199">
        <v>42131</v>
      </c>
      <c r="L66" s="199">
        <v>101281.61</v>
      </c>
      <c r="M66" s="199">
        <v>0</v>
      </c>
      <c r="N66" s="199">
        <v>0</v>
      </c>
      <c r="O66" s="199">
        <v>0</v>
      </c>
      <c r="P66" s="199">
        <v>0</v>
      </c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5">
      <c r="A67" s="33" t="s">
        <v>138</v>
      </c>
      <c r="B67" s="33" t="s">
        <v>150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>
        <v>0</v>
      </c>
      <c r="J67" s="199">
        <v>0</v>
      </c>
      <c r="K67" s="199">
        <v>-796718</v>
      </c>
      <c r="L67" s="199">
        <v>-23901.54</v>
      </c>
      <c r="M67" s="199">
        <v>0</v>
      </c>
      <c r="N67" s="199">
        <v>0</v>
      </c>
      <c r="O67" s="199">
        <v>0</v>
      </c>
      <c r="P67" s="199">
        <v>0</v>
      </c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5">
      <c r="A68" s="33" t="s">
        <v>138</v>
      </c>
      <c r="B68" s="33" t="s">
        <v>150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>
        <v>0</v>
      </c>
      <c r="J68" s="199">
        <v>0</v>
      </c>
      <c r="K68" s="199">
        <v>0</v>
      </c>
      <c r="L68" s="199">
        <v>0</v>
      </c>
      <c r="M68" s="199">
        <v>0</v>
      </c>
      <c r="N68" s="199">
        <v>0</v>
      </c>
      <c r="O68" s="199">
        <v>0</v>
      </c>
      <c r="P68" s="199">
        <v>0</v>
      </c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5">
      <c r="A69" s="33" t="s">
        <v>138</v>
      </c>
      <c r="B69" s="33" t="s">
        <v>150</v>
      </c>
      <c r="C69" s="33">
        <v>26</v>
      </c>
      <c r="D69" s="33" t="s">
        <v>132</v>
      </c>
      <c r="E69" s="200">
        <v>2702272</v>
      </c>
      <c r="F69" s="199">
        <v>38805.339999999997</v>
      </c>
      <c r="G69" s="200">
        <v>447565</v>
      </c>
      <c r="H69" s="199">
        <v>22.77</v>
      </c>
      <c r="I69" s="200">
        <v>-311441</v>
      </c>
      <c r="J69" s="199">
        <v>0</v>
      </c>
      <c r="K69" s="199">
        <v>0</v>
      </c>
      <c r="L69" s="199">
        <v>0</v>
      </c>
      <c r="M69" s="199">
        <v>6050</v>
      </c>
      <c r="N69" s="199">
        <v>0</v>
      </c>
      <c r="O69" s="199">
        <v>0</v>
      </c>
      <c r="P69" s="199">
        <v>0</v>
      </c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5">
      <c r="A70" s="33" t="s">
        <v>138</v>
      </c>
      <c r="B70" s="33" t="s">
        <v>150</v>
      </c>
      <c r="C70" s="33">
        <v>27</v>
      </c>
      <c r="D70" s="33" t="s">
        <v>133</v>
      </c>
      <c r="E70" s="200">
        <v>0</v>
      </c>
      <c r="F70" s="199">
        <v>0</v>
      </c>
      <c r="G70" s="200">
        <v>0</v>
      </c>
      <c r="H70" s="199">
        <v>0</v>
      </c>
      <c r="I70" s="200">
        <v>0</v>
      </c>
      <c r="J70" s="199">
        <v>0</v>
      </c>
      <c r="K70" s="199">
        <v>0</v>
      </c>
      <c r="L70" s="199">
        <v>0</v>
      </c>
      <c r="M70" s="199">
        <v>0</v>
      </c>
      <c r="N70" s="199">
        <v>0</v>
      </c>
      <c r="O70" s="199">
        <v>0</v>
      </c>
      <c r="P70" s="199">
        <v>0</v>
      </c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5">
      <c r="A71" s="33" t="s">
        <v>138</v>
      </c>
      <c r="B71" s="33" t="s">
        <v>150</v>
      </c>
      <c r="C71" s="33">
        <v>28</v>
      </c>
      <c r="D71" s="33" t="s">
        <v>134</v>
      </c>
      <c r="E71" s="200">
        <v>-16988349</v>
      </c>
      <c r="F71" s="199">
        <v>-2723749.53</v>
      </c>
      <c r="G71" s="200">
        <v>-7389149</v>
      </c>
      <c r="H71" s="199">
        <v>-215659.62</v>
      </c>
      <c r="I71" s="200">
        <v>278840</v>
      </c>
      <c r="J71" s="199">
        <v>27884</v>
      </c>
      <c r="K71" s="199">
        <v>0</v>
      </c>
      <c r="L71" s="199">
        <v>0</v>
      </c>
      <c r="M71" s="199">
        <v>-3815</v>
      </c>
      <c r="N71" s="199">
        <v>-1934.16</v>
      </c>
      <c r="O71" s="199">
        <v>0</v>
      </c>
      <c r="P71" s="199">
        <v>0</v>
      </c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5">
      <c r="A72" s="33" t="s">
        <v>138</v>
      </c>
      <c r="B72" s="33" t="s">
        <v>150</v>
      </c>
      <c r="C72" s="33">
        <v>29</v>
      </c>
      <c r="D72" s="33" t="s">
        <v>135</v>
      </c>
      <c r="E72" s="200">
        <v>16216215</v>
      </c>
      <c r="F72" s="199">
        <v>2084036.52</v>
      </c>
      <c r="G72" s="200">
        <v>7411047</v>
      </c>
      <c r="H72" s="199">
        <v>215372.62</v>
      </c>
      <c r="I72" s="200">
        <v>-278840</v>
      </c>
      <c r="J72" s="199">
        <v>-27883.99</v>
      </c>
      <c r="K72" s="199">
        <v>0</v>
      </c>
      <c r="L72" s="199">
        <v>0</v>
      </c>
      <c r="M72" s="199">
        <v>0</v>
      </c>
      <c r="N72" s="199">
        <v>0</v>
      </c>
      <c r="O72" s="199">
        <v>3815</v>
      </c>
      <c r="P72" s="199">
        <v>1934.16</v>
      </c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5">
      <c r="A73" s="33" t="s">
        <v>138</v>
      </c>
      <c r="B73" s="33" t="s">
        <v>150</v>
      </c>
      <c r="C73" s="33">
        <v>30</v>
      </c>
      <c r="D73" s="33" t="s">
        <v>136</v>
      </c>
      <c r="E73" s="200">
        <v>0</v>
      </c>
      <c r="F73" s="199">
        <v>0</v>
      </c>
      <c r="G73" s="200">
        <v>0</v>
      </c>
      <c r="H73" s="199">
        <v>0</v>
      </c>
      <c r="I73" s="200">
        <v>0</v>
      </c>
      <c r="J73" s="199">
        <v>0</v>
      </c>
      <c r="K73" s="199">
        <v>0</v>
      </c>
      <c r="L73" s="199">
        <v>0</v>
      </c>
      <c r="M73" s="199">
        <v>0</v>
      </c>
      <c r="N73" s="199">
        <v>0</v>
      </c>
      <c r="O73" s="199">
        <v>0</v>
      </c>
      <c r="P73" s="199">
        <v>0</v>
      </c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5">
      <c r="A74" s="33" t="s">
        <v>138</v>
      </c>
      <c r="B74" s="33" t="s">
        <v>150</v>
      </c>
      <c r="C74" s="33">
        <v>31</v>
      </c>
      <c r="D74" s="33" t="s">
        <v>137</v>
      </c>
      <c r="E74" s="200">
        <v>0</v>
      </c>
      <c r="F74" s="199">
        <v>0</v>
      </c>
      <c r="G74" s="200">
        <v>0</v>
      </c>
      <c r="H74" s="199">
        <v>0</v>
      </c>
      <c r="I74" s="200">
        <v>0</v>
      </c>
      <c r="J74" s="199">
        <v>0</v>
      </c>
      <c r="K74" s="199">
        <v>0</v>
      </c>
      <c r="L74" s="199">
        <v>0</v>
      </c>
      <c r="M74" s="199">
        <v>0</v>
      </c>
      <c r="N74" s="199">
        <v>0</v>
      </c>
      <c r="O74" s="199">
        <v>0</v>
      </c>
      <c r="P74" s="199">
        <v>0</v>
      </c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5">
      <c r="A75" s="33" t="s">
        <v>138</v>
      </c>
      <c r="B75" s="33" t="s">
        <v>150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>
        <v>0</v>
      </c>
      <c r="J75" s="199">
        <v>0</v>
      </c>
      <c r="K75" s="199">
        <v>0</v>
      </c>
      <c r="L75" s="199">
        <v>0</v>
      </c>
      <c r="M75" s="199">
        <v>0</v>
      </c>
      <c r="N75" s="199">
        <v>0</v>
      </c>
      <c r="O75" s="199">
        <v>0</v>
      </c>
      <c r="P75" s="199">
        <v>0</v>
      </c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5">
      <c r="A76" s="33" t="s">
        <v>138</v>
      </c>
      <c r="B76" s="33" t="s">
        <v>150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>
        <v>0</v>
      </c>
      <c r="J76" s="199">
        <v>0</v>
      </c>
      <c r="K76" s="199">
        <v>0</v>
      </c>
      <c r="L76" s="199">
        <v>0</v>
      </c>
      <c r="M76" s="199">
        <v>0</v>
      </c>
      <c r="N76" s="199">
        <v>0</v>
      </c>
      <c r="O76" s="199">
        <v>0</v>
      </c>
      <c r="P76" s="199">
        <v>0</v>
      </c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5">
      <c r="A77" s="33" t="s">
        <v>138</v>
      </c>
      <c r="B77" s="33" t="s">
        <v>150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>
        <v>0</v>
      </c>
      <c r="J77" s="199">
        <v>0</v>
      </c>
      <c r="K77" s="199">
        <v>0</v>
      </c>
      <c r="L77" s="199">
        <v>0</v>
      </c>
      <c r="M77" s="199">
        <v>0</v>
      </c>
      <c r="N77" s="199">
        <v>0</v>
      </c>
      <c r="O77" s="199">
        <v>0</v>
      </c>
      <c r="P77" s="199">
        <v>0</v>
      </c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5">
      <c r="A78" s="33" t="s">
        <v>138</v>
      </c>
      <c r="B78" s="33" t="s">
        <v>150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>
        <v>0</v>
      </c>
      <c r="J78" s="199">
        <v>0</v>
      </c>
      <c r="K78" s="199">
        <v>0</v>
      </c>
      <c r="L78" s="199">
        <v>0</v>
      </c>
      <c r="M78" s="199">
        <v>0</v>
      </c>
      <c r="N78" s="199">
        <v>0</v>
      </c>
      <c r="O78" s="199">
        <v>0</v>
      </c>
      <c r="P78" s="199">
        <v>0</v>
      </c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5">
      <c r="A79" s="33" t="s">
        <v>138</v>
      </c>
      <c r="B79" s="33" t="s">
        <v>150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>
        <v>0</v>
      </c>
      <c r="J79" s="199">
        <v>0</v>
      </c>
      <c r="K79" s="199">
        <v>0</v>
      </c>
      <c r="L79" s="199">
        <v>0</v>
      </c>
      <c r="M79" s="199">
        <v>0</v>
      </c>
      <c r="N79" s="199">
        <v>0</v>
      </c>
      <c r="O79" s="199">
        <v>0</v>
      </c>
      <c r="P79" s="199">
        <v>0</v>
      </c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5">
      <c r="A80" s="33" t="s">
        <v>138</v>
      </c>
      <c r="B80" s="33" t="s">
        <v>150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>
        <v>0</v>
      </c>
      <c r="J80" s="199">
        <v>0</v>
      </c>
      <c r="K80" s="199">
        <v>0</v>
      </c>
      <c r="L80" s="199">
        <v>0</v>
      </c>
      <c r="M80" s="199">
        <v>0</v>
      </c>
      <c r="N80" s="199">
        <v>0</v>
      </c>
      <c r="O80" s="199">
        <v>0</v>
      </c>
      <c r="P80" s="199">
        <v>0</v>
      </c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5">
      <c r="A81" s="33" t="s">
        <v>138</v>
      </c>
      <c r="B81" s="33" t="s">
        <v>150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>
        <v>0</v>
      </c>
      <c r="J81" s="199">
        <v>0</v>
      </c>
      <c r="K81" s="199">
        <v>0</v>
      </c>
      <c r="L81" s="199">
        <v>0</v>
      </c>
      <c r="M81" s="199">
        <v>0</v>
      </c>
      <c r="N81" s="199">
        <v>0</v>
      </c>
      <c r="O81" s="199">
        <v>0</v>
      </c>
      <c r="P81" s="199">
        <v>0</v>
      </c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5">
      <c r="A82" s="33" t="s">
        <v>138</v>
      </c>
      <c r="B82" s="33" t="s">
        <v>150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>
        <v>0</v>
      </c>
      <c r="J82" s="199">
        <v>0</v>
      </c>
      <c r="K82" s="199">
        <v>0</v>
      </c>
      <c r="L82" s="199">
        <v>0</v>
      </c>
      <c r="M82" s="199">
        <v>0</v>
      </c>
      <c r="N82" s="199">
        <v>0</v>
      </c>
      <c r="O82" s="199">
        <v>0</v>
      </c>
      <c r="P82" s="199">
        <v>0</v>
      </c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5">
      <c r="A83" s="33" t="s">
        <v>138</v>
      </c>
      <c r="B83" s="33" t="s">
        <v>150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>
        <v>0</v>
      </c>
      <c r="J83" s="199">
        <v>0</v>
      </c>
      <c r="K83" s="199">
        <v>0</v>
      </c>
      <c r="L83" s="199">
        <v>0</v>
      </c>
      <c r="M83" s="199">
        <v>0</v>
      </c>
      <c r="N83" s="199">
        <v>0</v>
      </c>
      <c r="O83" s="199">
        <v>0</v>
      </c>
      <c r="P83" s="199">
        <v>0</v>
      </c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5">
      <c r="A84" s="33" t="s">
        <v>140</v>
      </c>
      <c r="B84" s="33" t="s">
        <v>206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>
        <v>0</v>
      </c>
      <c r="J84" s="199">
        <v>0</v>
      </c>
      <c r="K84" s="199">
        <v>0</v>
      </c>
      <c r="L84" s="199">
        <v>0</v>
      </c>
      <c r="M84" s="199">
        <v>0</v>
      </c>
      <c r="N84" s="199">
        <v>0</v>
      </c>
      <c r="O84" s="199">
        <v>0</v>
      </c>
      <c r="P84" s="199">
        <v>0</v>
      </c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5">
      <c r="A85" s="33" t="s">
        <v>140</v>
      </c>
      <c r="B85" s="33" t="s">
        <v>206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>
        <v>0</v>
      </c>
      <c r="J85" s="199">
        <v>0</v>
      </c>
      <c r="K85" s="199">
        <v>0</v>
      </c>
      <c r="L85" s="199">
        <v>0</v>
      </c>
      <c r="M85" s="199">
        <v>0</v>
      </c>
      <c r="N85" s="199">
        <v>0</v>
      </c>
      <c r="O85" s="199">
        <v>0</v>
      </c>
      <c r="P85" s="199">
        <v>0</v>
      </c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5">
      <c r="A86" s="33" t="s">
        <v>140</v>
      </c>
      <c r="B86" s="33" t="s">
        <v>206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>
        <v>0</v>
      </c>
      <c r="J86" s="199">
        <v>0</v>
      </c>
      <c r="K86" s="199">
        <v>0</v>
      </c>
      <c r="L86" s="199">
        <v>0</v>
      </c>
      <c r="M86" s="199">
        <v>0</v>
      </c>
      <c r="N86" s="199">
        <v>0</v>
      </c>
      <c r="O86" s="199">
        <v>0</v>
      </c>
      <c r="P86" s="199">
        <v>0</v>
      </c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5">
      <c r="A87" s="33" t="s">
        <v>140</v>
      </c>
      <c r="B87" s="33" t="s">
        <v>206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>
        <v>0</v>
      </c>
      <c r="J87" s="199">
        <v>0</v>
      </c>
      <c r="K87" s="199">
        <v>0</v>
      </c>
      <c r="L87" s="199">
        <v>0</v>
      </c>
      <c r="M87" s="199">
        <v>0</v>
      </c>
      <c r="N87" s="199">
        <v>0</v>
      </c>
      <c r="O87" s="199">
        <v>0</v>
      </c>
      <c r="P87" s="199">
        <v>0</v>
      </c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5">
      <c r="A88" s="33" t="s">
        <v>140</v>
      </c>
      <c r="B88" s="33" t="s">
        <v>206</v>
      </c>
      <c r="C88" s="33">
        <v>5</v>
      </c>
      <c r="D88" s="33" t="s">
        <v>125</v>
      </c>
      <c r="E88" s="200">
        <v>0</v>
      </c>
      <c r="F88" s="199">
        <v>0</v>
      </c>
      <c r="G88" s="200">
        <v>0</v>
      </c>
      <c r="H88" s="199">
        <v>0</v>
      </c>
      <c r="I88" s="200">
        <v>0</v>
      </c>
      <c r="J88" s="199">
        <v>0</v>
      </c>
      <c r="K88" s="199">
        <v>0</v>
      </c>
      <c r="L88" s="199">
        <v>0</v>
      </c>
      <c r="M88" s="199">
        <v>0</v>
      </c>
      <c r="N88" s="199">
        <v>0</v>
      </c>
      <c r="O88" s="199">
        <v>0</v>
      </c>
      <c r="P88" s="199">
        <v>0</v>
      </c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5">
      <c r="A89" s="33" t="s">
        <v>140</v>
      </c>
      <c r="B89" s="33" t="s">
        <v>206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>
        <v>0</v>
      </c>
      <c r="J89" s="199">
        <v>0</v>
      </c>
      <c r="K89" s="199">
        <v>0</v>
      </c>
      <c r="L89" s="199">
        <v>0</v>
      </c>
      <c r="M89" s="199">
        <v>0</v>
      </c>
      <c r="N89" s="199">
        <v>0</v>
      </c>
      <c r="O89" s="199">
        <v>0</v>
      </c>
      <c r="P89" s="199">
        <v>0</v>
      </c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5">
      <c r="A90" s="33" t="s">
        <v>140</v>
      </c>
      <c r="B90" s="33" t="s">
        <v>206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>
        <v>0</v>
      </c>
      <c r="J90" s="199">
        <v>0</v>
      </c>
      <c r="K90" s="199">
        <v>0</v>
      </c>
      <c r="L90" s="199">
        <v>0</v>
      </c>
      <c r="M90" s="199">
        <v>0</v>
      </c>
      <c r="N90" s="199">
        <v>0</v>
      </c>
      <c r="O90" s="199">
        <v>0</v>
      </c>
      <c r="P90" s="199">
        <v>0</v>
      </c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5">
      <c r="A91" s="33" t="s">
        <v>140</v>
      </c>
      <c r="B91" s="33" t="s">
        <v>206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>
        <v>0</v>
      </c>
      <c r="J91" s="199">
        <v>0</v>
      </c>
      <c r="K91" s="199">
        <v>0</v>
      </c>
      <c r="L91" s="199">
        <v>0</v>
      </c>
      <c r="M91" s="199">
        <v>0</v>
      </c>
      <c r="N91" s="199">
        <v>0</v>
      </c>
      <c r="O91" s="199">
        <v>0</v>
      </c>
      <c r="P91" s="199">
        <v>0</v>
      </c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5">
      <c r="A92" s="33" t="s">
        <v>140</v>
      </c>
      <c r="B92" s="33" t="s">
        <v>206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>
        <v>0</v>
      </c>
      <c r="J92" s="199">
        <v>0</v>
      </c>
      <c r="K92" s="199">
        <v>0</v>
      </c>
      <c r="L92" s="199">
        <v>0</v>
      </c>
      <c r="M92" s="199">
        <v>0</v>
      </c>
      <c r="N92" s="199">
        <v>0</v>
      </c>
      <c r="O92" s="199">
        <v>0</v>
      </c>
      <c r="P92" s="199">
        <v>0</v>
      </c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5">
      <c r="A93" s="33" t="s">
        <v>140</v>
      </c>
      <c r="B93" s="33" t="s">
        <v>206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>
        <v>0</v>
      </c>
      <c r="J93" s="199">
        <v>0</v>
      </c>
      <c r="K93" s="199">
        <v>0</v>
      </c>
      <c r="L93" s="199">
        <v>0</v>
      </c>
      <c r="M93" s="199">
        <v>0</v>
      </c>
      <c r="N93" s="199">
        <v>0</v>
      </c>
      <c r="O93" s="199">
        <v>0</v>
      </c>
      <c r="P93" s="199">
        <v>0</v>
      </c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5">
      <c r="A94" s="33" t="s">
        <v>140</v>
      </c>
      <c r="B94" s="33" t="s">
        <v>206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>
        <v>0</v>
      </c>
      <c r="J94" s="199">
        <v>0</v>
      </c>
      <c r="K94" s="199">
        <v>0</v>
      </c>
      <c r="L94" s="199">
        <v>0</v>
      </c>
      <c r="M94" s="199">
        <v>0</v>
      </c>
      <c r="N94" s="199">
        <v>0</v>
      </c>
      <c r="O94" s="199">
        <v>0</v>
      </c>
      <c r="P94" s="199">
        <v>0</v>
      </c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5">
      <c r="A95" s="33" t="s">
        <v>140</v>
      </c>
      <c r="B95" s="33" t="s">
        <v>206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>
        <v>0</v>
      </c>
      <c r="J95" s="199">
        <v>0</v>
      </c>
      <c r="K95" s="199">
        <v>0</v>
      </c>
      <c r="L95" s="199">
        <v>0</v>
      </c>
      <c r="M95" s="199">
        <v>0</v>
      </c>
      <c r="N95" s="199">
        <v>0</v>
      </c>
      <c r="O95" s="199">
        <v>0</v>
      </c>
      <c r="P95" s="199">
        <v>0</v>
      </c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5">
      <c r="A96" s="33" t="s">
        <v>140</v>
      </c>
      <c r="B96" s="33" t="s">
        <v>206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>
        <v>0</v>
      </c>
      <c r="J96" s="199">
        <v>0</v>
      </c>
      <c r="K96" s="199">
        <v>0</v>
      </c>
      <c r="L96" s="199">
        <v>0</v>
      </c>
      <c r="M96" s="199">
        <v>0</v>
      </c>
      <c r="N96" s="199">
        <v>0</v>
      </c>
      <c r="O96" s="199">
        <v>0</v>
      </c>
      <c r="P96" s="199">
        <v>0</v>
      </c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5">
      <c r="A97" s="33" t="s">
        <v>140</v>
      </c>
      <c r="B97" s="33" t="s">
        <v>206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>
        <v>0</v>
      </c>
      <c r="J97" s="199">
        <v>0</v>
      </c>
      <c r="K97" s="199">
        <v>0</v>
      </c>
      <c r="L97" s="199">
        <v>0</v>
      </c>
      <c r="M97" s="199">
        <v>0</v>
      </c>
      <c r="N97" s="199">
        <v>0</v>
      </c>
      <c r="O97" s="199">
        <v>0</v>
      </c>
      <c r="P97" s="199">
        <v>0</v>
      </c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5">
      <c r="A98" s="33" t="s">
        <v>140</v>
      </c>
      <c r="B98" s="33" t="s">
        <v>206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>
        <v>0</v>
      </c>
      <c r="J98" s="199">
        <v>0</v>
      </c>
      <c r="K98" s="199">
        <v>0</v>
      </c>
      <c r="L98" s="199">
        <v>0</v>
      </c>
      <c r="M98" s="199">
        <v>0</v>
      </c>
      <c r="N98" s="199">
        <v>0</v>
      </c>
      <c r="O98" s="199">
        <v>0</v>
      </c>
      <c r="P98" s="199">
        <v>0</v>
      </c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5">
      <c r="A99" s="33" t="s">
        <v>140</v>
      </c>
      <c r="B99" s="33" t="s">
        <v>206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>
        <v>0</v>
      </c>
      <c r="J99" s="199">
        <v>0</v>
      </c>
      <c r="K99" s="199">
        <v>0</v>
      </c>
      <c r="L99" s="199">
        <v>0</v>
      </c>
      <c r="M99" s="199">
        <v>0</v>
      </c>
      <c r="N99" s="199">
        <v>0</v>
      </c>
      <c r="O99" s="199">
        <v>0</v>
      </c>
      <c r="P99" s="199">
        <v>0</v>
      </c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5">
      <c r="A100" s="33" t="s">
        <v>140</v>
      </c>
      <c r="B100" s="33" t="s">
        <v>206</v>
      </c>
      <c r="C100" s="33">
        <v>17</v>
      </c>
      <c r="D100" s="33" t="s">
        <v>126</v>
      </c>
      <c r="E100" s="200">
        <v>0</v>
      </c>
      <c r="F100" s="199">
        <v>0</v>
      </c>
      <c r="G100" s="200">
        <v>0</v>
      </c>
      <c r="H100" s="199">
        <v>0</v>
      </c>
      <c r="I100" s="200">
        <v>0</v>
      </c>
      <c r="J100" s="199">
        <v>0</v>
      </c>
      <c r="K100" s="199">
        <v>0</v>
      </c>
      <c r="L100" s="199">
        <v>0</v>
      </c>
      <c r="M100" s="199">
        <v>0</v>
      </c>
      <c r="N100" s="199">
        <v>0</v>
      </c>
      <c r="O100" s="199">
        <v>0</v>
      </c>
      <c r="P100" s="199">
        <v>0</v>
      </c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5">
      <c r="A101" s="33" t="s">
        <v>140</v>
      </c>
      <c r="B101" s="33" t="s">
        <v>206</v>
      </c>
      <c r="C101" s="33">
        <v>18</v>
      </c>
      <c r="D101" s="33" t="s">
        <v>127</v>
      </c>
      <c r="E101" s="200">
        <v>0</v>
      </c>
      <c r="F101" s="199">
        <v>0</v>
      </c>
      <c r="G101" s="200">
        <v>0</v>
      </c>
      <c r="H101" s="199">
        <v>0</v>
      </c>
      <c r="I101" s="200">
        <v>0</v>
      </c>
      <c r="J101" s="199">
        <v>0</v>
      </c>
      <c r="K101" s="199">
        <v>0</v>
      </c>
      <c r="L101" s="199">
        <v>0</v>
      </c>
      <c r="M101" s="199">
        <v>0</v>
      </c>
      <c r="N101" s="199">
        <v>0</v>
      </c>
      <c r="O101" s="199">
        <v>0</v>
      </c>
      <c r="P101" s="199">
        <v>0</v>
      </c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5">
      <c r="A102" s="33" t="s">
        <v>140</v>
      </c>
      <c r="B102" s="33" t="s">
        <v>206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>
        <v>0</v>
      </c>
      <c r="J102" s="199">
        <v>0</v>
      </c>
      <c r="K102" s="199">
        <v>0</v>
      </c>
      <c r="L102" s="199">
        <v>0</v>
      </c>
      <c r="M102" s="199">
        <v>0</v>
      </c>
      <c r="N102" s="199">
        <v>0</v>
      </c>
      <c r="O102" s="199">
        <v>0</v>
      </c>
      <c r="P102" s="199">
        <v>0</v>
      </c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5">
      <c r="A103" s="33" t="s">
        <v>140</v>
      </c>
      <c r="B103" s="33" t="s">
        <v>206</v>
      </c>
      <c r="C103" s="33">
        <v>20</v>
      </c>
      <c r="D103" s="33" t="s">
        <v>128</v>
      </c>
      <c r="E103" s="200">
        <v>0</v>
      </c>
      <c r="F103" s="199">
        <v>0</v>
      </c>
      <c r="G103" s="200">
        <v>0</v>
      </c>
      <c r="H103" s="199">
        <v>0</v>
      </c>
      <c r="I103" s="200">
        <v>0</v>
      </c>
      <c r="J103" s="199">
        <v>0</v>
      </c>
      <c r="K103" s="199">
        <v>0</v>
      </c>
      <c r="L103" s="199">
        <v>0</v>
      </c>
      <c r="M103" s="199">
        <v>0</v>
      </c>
      <c r="N103" s="199">
        <v>0</v>
      </c>
      <c r="O103" s="199">
        <v>0</v>
      </c>
      <c r="P103" s="199">
        <v>0</v>
      </c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5">
      <c r="A104" s="33" t="s">
        <v>140</v>
      </c>
      <c r="B104" s="33" t="s">
        <v>206</v>
      </c>
      <c r="C104" s="33">
        <v>21</v>
      </c>
      <c r="D104" s="33" t="s">
        <v>129</v>
      </c>
      <c r="E104" s="200">
        <v>0</v>
      </c>
      <c r="F104" s="199">
        <v>0</v>
      </c>
      <c r="G104" s="200">
        <v>0</v>
      </c>
      <c r="H104" s="199">
        <v>0</v>
      </c>
      <c r="I104" s="200">
        <v>0</v>
      </c>
      <c r="J104" s="199">
        <v>0</v>
      </c>
      <c r="K104" s="199">
        <v>0</v>
      </c>
      <c r="L104" s="199">
        <v>0</v>
      </c>
      <c r="M104" s="199">
        <v>0</v>
      </c>
      <c r="N104" s="199">
        <v>0</v>
      </c>
      <c r="O104" s="199">
        <v>0</v>
      </c>
      <c r="P104" s="199">
        <v>0</v>
      </c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5">
      <c r="A105" s="33" t="s">
        <v>140</v>
      </c>
      <c r="B105" s="33" t="s">
        <v>206</v>
      </c>
      <c r="C105" s="33">
        <v>22</v>
      </c>
      <c r="D105" s="33" t="s">
        <v>130</v>
      </c>
      <c r="E105" s="200">
        <v>0</v>
      </c>
      <c r="F105" s="199">
        <v>0</v>
      </c>
      <c r="G105" s="200">
        <v>0</v>
      </c>
      <c r="H105" s="199">
        <v>0</v>
      </c>
      <c r="I105" s="200">
        <v>0</v>
      </c>
      <c r="J105" s="199">
        <v>0</v>
      </c>
      <c r="K105" s="199">
        <v>0</v>
      </c>
      <c r="L105" s="199">
        <v>0</v>
      </c>
      <c r="M105" s="199">
        <v>0</v>
      </c>
      <c r="N105" s="199">
        <v>0</v>
      </c>
      <c r="O105" s="199">
        <v>0</v>
      </c>
      <c r="P105" s="199">
        <v>0</v>
      </c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5">
      <c r="A106" s="33" t="s">
        <v>140</v>
      </c>
      <c r="B106" s="33" t="s">
        <v>206</v>
      </c>
      <c r="C106" s="33">
        <v>23</v>
      </c>
      <c r="D106" s="33" t="s">
        <v>131</v>
      </c>
      <c r="E106" s="200">
        <v>0</v>
      </c>
      <c r="F106" s="199">
        <v>0</v>
      </c>
      <c r="G106" s="200">
        <v>0</v>
      </c>
      <c r="H106" s="199">
        <v>0</v>
      </c>
      <c r="I106" s="200">
        <v>0</v>
      </c>
      <c r="J106" s="199">
        <v>0</v>
      </c>
      <c r="K106" s="199">
        <v>0</v>
      </c>
      <c r="L106" s="199">
        <v>0</v>
      </c>
      <c r="M106" s="199">
        <v>0</v>
      </c>
      <c r="N106" s="199">
        <v>0</v>
      </c>
      <c r="O106" s="199">
        <v>0</v>
      </c>
      <c r="P106" s="199">
        <v>0</v>
      </c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5">
      <c r="A107" s="33" t="s">
        <v>140</v>
      </c>
      <c r="B107" s="33" t="s">
        <v>206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>
        <v>0</v>
      </c>
      <c r="J107" s="199">
        <v>0</v>
      </c>
      <c r="K107" s="199">
        <v>0</v>
      </c>
      <c r="L107" s="199">
        <v>0</v>
      </c>
      <c r="M107" s="199">
        <v>0</v>
      </c>
      <c r="N107" s="199">
        <v>0</v>
      </c>
      <c r="O107" s="199">
        <v>0</v>
      </c>
      <c r="P107" s="199">
        <v>0</v>
      </c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5">
      <c r="A108" s="33" t="s">
        <v>140</v>
      </c>
      <c r="B108" s="33" t="s">
        <v>206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>
        <v>0</v>
      </c>
      <c r="J108" s="199">
        <v>0</v>
      </c>
      <c r="K108" s="199">
        <v>0</v>
      </c>
      <c r="L108" s="199">
        <v>0</v>
      </c>
      <c r="M108" s="199">
        <v>0</v>
      </c>
      <c r="N108" s="199">
        <v>0</v>
      </c>
      <c r="O108" s="199">
        <v>0</v>
      </c>
      <c r="P108" s="199">
        <v>0</v>
      </c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5">
      <c r="A109" s="33" t="s">
        <v>140</v>
      </c>
      <c r="B109" s="33" t="s">
        <v>206</v>
      </c>
      <c r="C109" s="33">
        <v>26</v>
      </c>
      <c r="D109" s="33" t="s">
        <v>132</v>
      </c>
      <c r="E109" s="200">
        <v>0</v>
      </c>
      <c r="F109" s="199">
        <v>0</v>
      </c>
      <c r="G109" s="200">
        <v>0</v>
      </c>
      <c r="H109" s="199">
        <v>0</v>
      </c>
      <c r="I109" s="200">
        <v>0</v>
      </c>
      <c r="J109" s="199">
        <v>0</v>
      </c>
      <c r="K109" s="199">
        <v>0</v>
      </c>
      <c r="L109" s="199">
        <v>0</v>
      </c>
      <c r="M109" s="199">
        <v>0</v>
      </c>
      <c r="N109" s="199">
        <v>0</v>
      </c>
      <c r="O109" s="199">
        <v>0</v>
      </c>
      <c r="P109" s="199">
        <v>0</v>
      </c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5">
      <c r="A110" s="33" t="s">
        <v>140</v>
      </c>
      <c r="B110" s="33" t="s">
        <v>206</v>
      </c>
      <c r="C110" s="33">
        <v>27</v>
      </c>
      <c r="D110" s="33" t="s">
        <v>133</v>
      </c>
      <c r="E110" s="200">
        <v>0</v>
      </c>
      <c r="F110" s="199">
        <v>0</v>
      </c>
      <c r="G110" s="200">
        <v>0</v>
      </c>
      <c r="H110" s="199">
        <v>0</v>
      </c>
      <c r="I110" s="200">
        <v>0</v>
      </c>
      <c r="J110" s="199">
        <v>0</v>
      </c>
      <c r="K110" s="199">
        <v>0</v>
      </c>
      <c r="L110" s="199">
        <v>0</v>
      </c>
      <c r="M110" s="199">
        <v>0</v>
      </c>
      <c r="N110" s="199">
        <v>0</v>
      </c>
      <c r="O110" s="199">
        <v>0</v>
      </c>
      <c r="P110" s="199">
        <v>0</v>
      </c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5">
      <c r="A111" s="33" t="s">
        <v>140</v>
      </c>
      <c r="B111" s="33" t="s">
        <v>206</v>
      </c>
      <c r="C111" s="33">
        <v>28</v>
      </c>
      <c r="D111" s="33" t="s">
        <v>134</v>
      </c>
      <c r="E111" s="200">
        <v>0</v>
      </c>
      <c r="F111" s="199">
        <v>0</v>
      </c>
      <c r="G111" s="200">
        <v>0</v>
      </c>
      <c r="H111" s="199">
        <v>0</v>
      </c>
      <c r="I111" s="200">
        <v>0</v>
      </c>
      <c r="J111" s="199">
        <v>0</v>
      </c>
      <c r="K111" s="199">
        <v>0</v>
      </c>
      <c r="L111" s="199">
        <v>0</v>
      </c>
      <c r="M111" s="199">
        <v>0</v>
      </c>
      <c r="N111" s="199">
        <v>0</v>
      </c>
      <c r="O111" s="199">
        <v>0</v>
      </c>
      <c r="P111" s="199">
        <v>0</v>
      </c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5">
      <c r="A112" s="33" t="s">
        <v>140</v>
      </c>
      <c r="B112" s="33" t="s">
        <v>206</v>
      </c>
      <c r="C112" s="33">
        <v>29</v>
      </c>
      <c r="D112" s="33" t="s">
        <v>135</v>
      </c>
      <c r="E112" s="200">
        <v>0</v>
      </c>
      <c r="F112" s="199">
        <v>0</v>
      </c>
      <c r="G112" s="200">
        <v>0</v>
      </c>
      <c r="H112" s="199">
        <v>0</v>
      </c>
      <c r="I112" s="200">
        <v>0</v>
      </c>
      <c r="J112" s="199">
        <v>0</v>
      </c>
      <c r="K112" s="199">
        <v>0</v>
      </c>
      <c r="L112" s="199">
        <v>0</v>
      </c>
      <c r="M112" s="199">
        <v>0</v>
      </c>
      <c r="N112" s="199">
        <v>0</v>
      </c>
      <c r="O112" s="199">
        <v>0</v>
      </c>
      <c r="P112" s="199">
        <v>0</v>
      </c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5">
      <c r="A113" s="33" t="s">
        <v>140</v>
      </c>
      <c r="B113" s="33" t="s">
        <v>206</v>
      </c>
      <c r="C113" s="33">
        <v>30</v>
      </c>
      <c r="D113" s="33" t="s">
        <v>136</v>
      </c>
      <c r="E113" s="200">
        <v>0</v>
      </c>
      <c r="F113" s="199">
        <v>0</v>
      </c>
      <c r="G113" s="200">
        <v>0</v>
      </c>
      <c r="H113" s="199">
        <v>0</v>
      </c>
      <c r="I113" s="200">
        <v>0</v>
      </c>
      <c r="J113" s="199">
        <v>0</v>
      </c>
      <c r="K113" s="199">
        <v>0</v>
      </c>
      <c r="L113" s="199">
        <v>0</v>
      </c>
      <c r="M113" s="199">
        <v>0</v>
      </c>
      <c r="N113" s="199">
        <v>0</v>
      </c>
      <c r="O113" s="199">
        <v>0</v>
      </c>
      <c r="P113" s="199">
        <v>0</v>
      </c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5">
      <c r="A114" s="33" t="s">
        <v>140</v>
      </c>
      <c r="B114" s="33" t="s">
        <v>206</v>
      </c>
      <c r="C114" s="33">
        <v>31</v>
      </c>
      <c r="D114" s="33" t="s">
        <v>137</v>
      </c>
      <c r="E114" s="200">
        <v>0</v>
      </c>
      <c r="F114" s="199">
        <v>0</v>
      </c>
      <c r="G114" s="200">
        <v>0</v>
      </c>
      <c r="H114" s="199">
        <v>0</v>
      </c>
      <c r="I114" s="200">
        <v>0</v>
      </c>
      <c r="J114" s="199">
        <v>0</v>
      </c>
      <c r="K114" s="199">
        <v>0</v>
      </c>
      <c r="L114" s="199">
        <v>0</v>
      </c>
      <c r="M114" s="199">
        <v>0</v>
      </c>
      <c r="N114" s="199">
        <v>0</v>
      </c>
      <c r="O114" s="199">
        <v>0</v>
      </c>
      <c r="P114" s="199">
        <v>0</v>
      </c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5">
      <c r="A115" s="33" t="s">
        <v>140</v>
      </c>
      <c r="B115" s="33" t="s">
        <v>206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>
        <v>0</v>
      </c>
      <c r="J115" s="199">
        <v>0</v>
      </c>
      <c r="K115" s="199">
        <v>0</v>
      </c>
      <c r="L115" s="199">
        <v>0</v>
      </c>
      <c r="M115" s="199">
        <v>0</v>
      </c>
      <c r="N115" s="199">
        <v>0</v>
      </c>
      <c r="O115" s="199">
        <v>0</v>
      </c>
      <c r="P115" s="199">
        <v>0</v>
      </c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5">
      <c r="A116" s="33" t="s">
        <v>140</v>
      </c>
      <c r="B116" s="33" t="s">
        <v>206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>
        <v>0</v>
      </c>
      <c r="J116" s="199">
        <v>0</v>
      </c>
      <c r="K116" s="199">
        <v>0</v>
      </c>
      <c r="L116" s="199">
        <v>0</v>
      </c>
      <c r="M116" s="199">
        <v>0</v>
      </c>
      <c r="N116" s="199">
        <v>0</v>
      </c>
      <c r="O116" s="199">
        <v>0</v>
      </c>
      <c r="P116" s="199">
        <v>0</v>
      </c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5">
      <c r="A117" s="33" t="s">
        <v>140</v>
      </c>
      <c r="B117" s="33" t="s">
        <v>206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>
        <v>0</v>
      </c>
      <c r="J117" s="199">
        <v>0</v>
      </c>
      <c r="K117" s="199">
        <v>0</v>
      </c>
      <c r="L117" s="199">
        <v>0</v>
      </c>
      <c r="M117" s="199">
        <v>0</v>
      </c>
      <c r="N117" s="199">
        <v>0</v>
      </c>
      <c r="O117" s="199">
        <v>0</v>
      </c>
      <c r="P117" s="199">
        <v>0</v>
      </c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5">
      <c r="A118" s="33" t="s">
        <v>140</v>
      </c>
      <c r="B118" s="33" t="s">
        <v>206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>
        <v>0</v>
      </c>
      <c r="J118" s="199">
        <v>0</v>
      </c>
      <c r="K118" s="199">
        <v>0</v>
      </c>
      <c r="L118" s="199">
        <v>0</v>
      </c>
      <c r="M118" s="199">
        <v>0</v>
      </c>
      <c r="N118" s="199">
        <v>0</v>
      </c>
      <c r="O118" s="199">
        <v>0</v>
      </c>
      <c r="P118" s="199">
        <v>0</v>
      </c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5">
      <c r="A119" s="33" t="s">
        <v>140</v>
      </c>
      <c r="B119" s="33" t="s">
        <v>206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>
        <v>0</v>
      </c>
      <c r="J119" s="199">
        <v>0</v>
      </c>
      <c r="K119" s="199">
        <v>0</v>
      </c>
      <c r="L119" s="199">
        <v>0</v>
      </c>
      <c r="M119" s="199">
        <v>0</v>
      </c>
      <c r="N119" s="199">
        <v>0</v>
      </c>
      <c r="O119" s="199">
        <v>0</v>
      </c>
      <c r="P119" s="199">
        <v>0</v>
      </c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5">
      <c r="A120" s="33" t="s">
        <v>140</v>
      </c>
      <c r="B120" s="33" t="s">
        <v>206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>
        <v>0</v>
      </c>
      <c r="J120" s="199">
        <v>0</v>
      </c>
      <c r="K120" s="199">
        <v>0</v>
      </c>
      <c r="L120" s="199">
        <v>0</v>
      </c>
      <c r="M120" s="199">
        <v>0</v>
      </c>
      <c r="N120" s="199">
        <v>0</v>
      </c>
      <c r="O120" s="199">
        <v>0</v>
      </c>
      <c r="P120" s="199">
        <v>0</v>
      </c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5">
      <c r="A121" s="33" t="s">
        <v>140</v>
      </c>
      <c r="B121" s="33" t="s">
        <v>206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>
        <v>0</v>
      </c>
      <c r="J121" s="199">
        <v>0</v>
      </c>
      <c r="K121" s="199">
        <v>0</v>
      </c>
      <c r="L121" s="199">
        <v>0</v>
      </c>
      <c r="M121" s="199">
        <v>0</v>
      </c>
      <c r="N121" s="199">
        <v>0</v>
      </c>
      <c r="O121" s="199">
        <v>0</v>
      </c>
      <c r="P121" s="199">
        <v>0</v>
      </c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5">
      <c r="A122" s="33" t="s">
        <v>140</v>
      </c>
      <c r="B122" s="33" t="s">
        <v>206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>
        <v>0</v>
      </c>
      <c r="J122" s="199">
        <v>0</v>
      </c>
      <c r="K122" s="199">
        <v>0</v>
      </c>
      <c r="L122" s="199">
        <v>0</v>
      </c>
      <c r="M122" s="199">
        <v>0</v>
      </c>
      <c r="N122" s="199">
        <v>0</v>
      </c>
      <c r="O122" s="199">
        <v>0</v>
      </c>
      <c r="P122" s="199">
        <v>0</v>
      </c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5">
      <c r="A123" s="33" t="s">
        <v>140</v>
      </c>
      <c r="B123" s="33" t="s">
        <v>206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>
        <v>0</v>
      </c>
      <c r="J123" s="199">
        <v>0</v>
      </c>
      <c r="K123" s="199">
        <v>0</v>
      </c>
      <c r="L123" s="199">
        <v>0</v>
      </c>
      <c r="M123" s="199">
        <v>0</v>
      </c>
      <c r="N123" s="199">
        <v>0</v>
      </c>
      <c r="O123" s="199">
        <v>0</v>
      </c>
      <c r="P123" s="199">
        <v>0</v>
      </c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5">
      <c r="A124" s="33" t="s">
        <v>140</v>
      </c>
      <c r="B124" s="33" t="s">
        <v>113</v>
      </c>
      <c r="C124" s="33">
        <v>1</v>
      </c>
      <c r="D124" s="33" t="s">
        <v>25</v>
      </c>
      <c r="E124" s="200">
        <v>23096407</v>
      </c>
      <c r="F124" s="199">
        <v>65418776.439999998</v>
      </c>
      <c r="G124" s="200">
        <v>213423</v>
      </c>
      <c r="H124" s="199">
        <v>448095.63</v>
      </c>
      <c r="I124" s="200">
        <v>-7000</v>
      </c>
      <c r="J124" s="199">
        <v>-17304</v>
      </c>
      <c r="K124" s="199">
        <v>2000</v>
      </c>
      <c r="L124" s="199">
        <v>16890.5</v>
      </c>
      <c r="M124" s="199">
        <v>-7000</v>
      </c>
      <c r="N124" s="199">
        <v>-17304</v>
      </c>
      <c r="O124" s="199">
        <v>0</v>
      </c>
      <c r="P124" s="199">
        <v>0</v>
      </c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5">
      <c r="A125" s="33" t="s">
        <v>140</v>
      </c>
      <c r="B125" s="33" t="s">
        <v>113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>
        <v>0</v>
      </c>
      <c r="J125" s="199">
        <v>0</v>
      </c>
      <c r="K125" s="199">
        <v>0</v>
      </c>
      <c r="L125" s="199">
        <v>0</v>
      </c>
      <c r="M125" s="199">
        <v>0</v>
      </c>
      <c r="N125" s="199">
        <v>0</v>
      </c>
      <c r="O125" s="199">
        <v>0</v>
      </c>
      <c r="P125" s="199">
        <v>0</v>
      </c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5">
      <c r="A126" s="33" t="s">
        <v>140</v>
      </c>
      <c r="B126" s="33" t="s">
        <v>113</v>
      </c>
      <c r="C126" s="33">
        <v>3</v>
      </c>
      <c r="D126" s="33" t="s">
        <v>27</v>
      </c>
      <c r="E126" s="200">
        <v>53673045</v>
      </c>
      <c r="F126" s="199">
        <v>204754459</v>
      </c>
      <c r="G126" s="200">
        <v>-38317994</v>
      </c>
      <c r="H126" s="199">
        <v>-161443485</v>
      </c>
      <c r="I126" s="200">
        <v>0</v>
      </c>
      <c r="J126" s="199">
        <v>0</v>
      </c>
      <c r="K126" s="199">
        <v>0</v>
      </c>
      <c r="L126" s="199">
        <v>0</v>
      </c>
      <c r="M126" s="199">
        <v>0</v>
      </c>
      <c r="N126" s="199">
        <v>0</v>
      </c>
      <c r="O126" s="199">
        <v>38317994</v>
      </c>
      <c r="P126" s="199">
        <v>161443484</v>
      </c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5">
      <c r="A127" s="33" t="s">
        <v>140</v>
      </c>
      <c r="B127" s="33" t="s">
        <v>113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>
        <v>0</v>
      </c>
      <c r="J127" s="199">
        <v>0</v>
      </c>
      <c r="K127" s="199">
        <v>0</v>
      </c>
      <c r="L127" s="199">
        <v>0</v>
      </c>
      <c r="M127" s="199">
        <v>0</v>
      </c>
      <c r="N127" s="199">
        <v>0</v>
      </c>
      <c r="O127" s="199">
        <v>0</v>
      </c>
      <c r="P127" s="199">
        <v>0</v>
      </c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5">
      <c r="A128" s="33" t="s">
        <v>140</v>
      </c>
      <c r="B128" s="33" t="s">
        <v>113</v>
      </c>
      <c r="C128" s="33">
        <v>5</v>
      </c>
      <c r="D128" s="33" t="s">
        <v>125</v>
      </c>
      <c r="E128" s="200">
        <v>0</v>
      </c>
      <c r="F128" s="199">
        <v>14447150</v>
      </c>
      <c r="G128" s="200">
        <v>0</v>
      </c>
      <c r="H128" s="199">
        <v>-10449416</v>
      </c>
      <c r="I128" s="200">
        <v>0</v>
      </c>
      <c r="J128" s="199">
        <v>-17523.09</v>
      </c>
      <c r="K128" s="199">
        <v>0</v>
      </c>
      <c r="L128" s="199">
        <v>0</v>
      </c>
      <c r="M128" s="199">
        <v>0</v>
      </c>
      <c r="N128" s="199">
        <v>0</v>
      </c>
      <c r="O128" s="199">
        <v>0</v>
      </c>
      <c r="P128" s="199">
        <v>0</v>
      </c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5">
      <c r="A129" s="33" t="s">
        <v>140</v>
      </c>
      <c r="B129" s="33" t="s">
        <v>113</v>
      </c>
      <c r="C129" s="33">
        <v>6</v>
      </c>
      <c r="D129" s="33" t="s">
        <v>25</v>
      </c>
      <c r="E129" s="200">
        <v>-6914217</v>
      </c>
      <c r="F129" s="199">
        <v>-18314703.440000001</v>
      </c>
      <c r="G129" s="200">
        <v>-143367</v>
      </c>
      <c r="H129" s="199">
        <v>-748218.44</v>
      </c>
      <c r="I129" s="200">
        <v>2465</v>
      </c>
      <c r="J129" s="199">
        <v>2757.47</v>
      </c>
      <c r="K129" s="199">
        <v>0</v>
      </c>
      <c r="L129" s="199">
        <v>0</v>
      </c>
      <c r="M129" s="199">
        <v>0</v>
      </c>
      <c r="N129" s="199">
        <v>0</v>
      </c>
      <c r="O129" s="199">
        <v>-25253</v>
      </c>
      <c r="P129" s="199">
        <v>-345256.98</v>
      </c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5">
      <c r="A130" s="33" t="s">
        <v>140</v>
      </c>
      <c r="B130" s="33" t="s">
        <v>113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>
        <v>0</v>
      </c>
      <c r="J130" s="199">
        <v>0</v>
      </c>
      <c r="K130" s="199">
        <v>0</v>
      </c>
      <c r="L130" s="199">
        <v>0</v>
      </c>
      <c r="M130" s="199">
        <v>0</v>
      </c>
      <c r="N130" s="199">
        <v>0</v>
      </c>
      <c r="O130" s="199">
        <v>0</v>
      </c>
      <c r="P130" s="199">
        <v>0</v>
      </c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5">
      <c r="A131" s="33" t="s">
        <v>140</v>
      </c>
      <c r="B131" s="33" t="s">
        <v>113</v>
      </c>
      <c r="C131" s="33">
        <v>8</v>
      </c>
      <c r="D131" s="33" t="s">
        <v>27</v>
      </c>
      <c r="E131" s="200">
        <v>-56862831</v>
      </c>
      <c r="F131" s="199">
        <v>-209309087</v>
      </c>
      <c r="G131" s="200">
        <v>38286561</v>
      </c>
      <c r="H131" s="199">
        <v>161527669</v>
      </c>
      <c r="I131" s="200">
        <v>-24727</v>
      </c>
      <c r="J131" s="199">
        <v>-64116</v>
      </c>
      <c r="K131" s="199">
        <v>303</v>
      </c>
      <c r="L131" s="199">
        <v>761</v>
      </c>
      <c r="M131" s="199">
        <v>0</v>
      </c>
      <c r="N131" s="199">
        <v>0</v>
      </c>
      <c r="O131" s="199">
        <v>-38262137</v>
      </c>
      <c r="P131" s="199">
        <v>-161464316</v>
      </c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5">
      <c r="A132" s="33" t="s">
        <v>140</v>
      </c>
      <c r="B132" s="33" t="s">
        <v>113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>
        <v>0</v>
      </c>
      <c r="J132" s="199">
        <v>0</v>
      </c>
      <c r="K132" s="199">
        <v>0</v>
      </c>
      <c r="L132" s="199">
        <v>0</v>
      </c>
      <c r="M132" s="199">
        <v>0</v>
      </c>
      <c r="N132" s="199">
        <v>0</v>
      </c>
      <c r="O132" s="199">
        <v>0</v>
      </c>
      <c r="P132" s="199">
        <v>0</v>
      </c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5">
      <c r="A133" s="33" t="s">
        <v>140</v>
      </c>
      <c r="B133" s="33" t="s">
        <v>113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>
        <v>0</v>
      </c>
      <c r="J133" s="199">
        <v>0</v>
      </c>
      <c r="K133" s="199">
        <v>0</v>
      </c>
      <c r="L133" s="199">
        <v>0</v>
      </c>
      <c r="M133" s="199">
        <v>0</v>
      </c>
      <c r="N133" s="199">
        <v>0</v>
      </c>
      <c r="O133" s="199">
        <v>0</v>
      </c>
      <c r="P133" s="199">
        <v>0</v>
      </c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5">
      <c r="A134" s="33" t="s">
        <v>140</v>
      </c>
      <c r="B134" s="33" t="s">
        <v>113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>
        <v>0</v>
      </c>
      <c r="J134" s="199">
        <v>0</v>
      </c>
      <c r="K134" s="199">
        <v>0</v>
      </c>
      <c r="L134" s="199">
        <v>0</v>
      </c>
      <c r="M134" s="199">
        <v>0</v>
      </c>
      <c r="N134" s="199">
        <v>0</v>
      </c>
      <c r="O134" s="199">
        <v>0</v>
      </c>
      <c r="P134" s="199">
        <v>0</v>
      </c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5">
      <c r="A135" s="33" t="s">
        <v>140</v>
      </c>
      <c r="B135" s="33" t="s">
        <v>113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>
        <v>0</v>
      </c>
      <c r="J135" s="199">
        <v>0</v>
      </c>
      <c r="K135" s="199">
        <v>0</v>
      </c>
      <c r="L135" s="199">
        <v>0</v>
      </c>
      <c r="M135" s="199">
        <v>0</v>
      </c>
      <c r="N135" s="199">
        <v>0</v>
      </c>
      <c r="O135" s="199">
        <v>0</v>
      </c>
      <c r="P135" s="199">
        <v>0</v>
      </c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5">
      <c r="A136" s="33" t="s">
        <v>140</v>
      </c>
      <c r="B136" s="33" t="s">
        <v>113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>
        <v>0</v>
      </c>
      <c r="J136" s="199">
        <v>0</v>
      </c>
      <c r="K136" s="199">
        <v>0</v>
      </c>
      <c r="L136" s="199">
        <v>0</v>
      </c>
      <c r="M136" s="199">
        <v>0</v>
      </c>
      <c r="N136" s="199">
        <v>0</v>
      </c>
      <c r="O136" s="199">
        <v>0</v>
      </c>
      <c r="P136" s="199">
        <v>0</v>
      </c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5">
      <c r="A137" s="33" t="s">
        <v>140</v>
      </c>
      <c r="B137" s="33" t="s">
        <v>113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>
        <v>0</v>
      </c>
      <c r="J137" s="199">
        <v>0</v>
      </c>
      <c r="K137" s="199">
        <v>0</v>
      </c>
      <c r="L137" s="199">
        <v>0</v>
      </c>
      <c r="M137" s="199">
        <v>0</v>
      </c>
      <c r="N137" s="199">
        <v>0</v>
      </c>
      <c r="O137" s="199">
        <v>0</v>
      </c>
      <c r="P137" s="199">
        <v>0</v>
      </c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5">
      <c r="A138" s="33" t="s">
        <v>140</v>
      </c>
      <c r="B138" s="33" t="s">
        <v>113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>
        <v>0</v>
      </c>
      <c r="J138" s="199">
        <v>0</v>
      </c>
      <c r="K138" s="199">
        <v>0</v>
      </c>
      <c r="L138" s="199">
        <v>0</v>
      </c>
      <c r="M138" s="199">
        <v>0</v>
      </c>
      <c r="N138" s="199">
        <v>0</v>
      </c>
      <c r="O138" s="199">
        <v>0</v>
      </c>
      <c r="P138" s="199">
        <v>0</v>
      </c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5">
      <c r="A139" s="33" t="s">
        <v>140</v>
      </c>
      <c r="B139" s="33" t="s">
        <v>113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>
        <v>0</v>
      </c>
      <c r="J139" s="199">
        <v>0</v>
      </c>
      <c r="K139" s="199">
        <v>0</v>
      </c>
      <c r="L139" s="199">
        <v>0</v>
      </c>
      <c r="M139" s="199">
        <v>0</v>
      </c>
      <c r="N139" s="199">
        <v>0</v>
      </c>
      <c r="O139" s="199">
        <v>0</v>
      </c>
      <c r="P139" s="199">
        <v>0</v>
      </c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5">
      <c r="A140" s="33" t="s">
        <v>140</v>
      </c>
      <c r="B140" s="33" t="s">
        <v>113</v>
      </c>
      <c r="C140" s="33">
        <v>17</v>
      </c>
      <c r="D140" s="33" t="s">
        <v>126</v>
      </c>
      <c r="E140" s="200">
        <v>0</v>
      </c>
      <c r="F140" s="199">
        <v>0</v>
      </c>
      <c r="G140" s="200">
        <v>0</v>
      </c>
      <c r="H140" s="199">
        <v>0</v>
      </c>
      <c r="I140" s="200">
        <v>0</v>
      </c>
      <c r="J140" s="199">
        <v>0</v>
      </c>
      <c r="K140" s="199">
        <v>0</v>
      </c>
      <c r="L140" s="199">
        <v>0</v>
      </c>
      <c r="M140" s="199">
        <v>0</v>
      </c>
      <c r="N140" s="199">
        <v>0</v>
      </c>
      <c r="O140" s="199">
        <v>0</v>
      </c>
      <c r="P140" s="199">
        <v>0</v>
      </c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5">
      <c r="A141" s="33" t="s">
        <v>140</v>
      </c>
      <c r="B141" s="33" t="s">
        <v>113</v>
      </c>
      <c r="C141" s="33">
        <v>18</v>
      </c>
      <c r="D141" s="33" t="s">
        <v>127</v>
      </c>
      <c r="E141" s="200">
        <v>-15713032</v>
      </c>
      <c r="F141" s="199">
        <v>-41116357.149999999</v>
      </c>
      <c r="G141" s="200">
        <v>13877</v>
      </c>
      <c r="H141" s="199">
        <v>234820.85</v>
      </c>
      <c r="I141" s="200">
        <v>-1183</v>
      </c>
      <c r="J141" s="199">
        <v>-3266.96</v>
      </c>
      <c r="K141" s="199">
        <v>-1930</v>
      </c>
      <c r="L141" s="199">
        <v>-5280.72</v>
      </c>
      <c r="M141" s="199">
        <v>656588</v>
      </c>
      <c r="N141" s="199">
        <v>4683993.24</v>
      </c>
      <c r="O141" s="199">
        <v>0</v>
      </c>
      <c r="P141" s="199">
        <v>-0.27</v>
      </c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5">
      <c r="A142" s="33" t="s">
        <v>140</v>
      </c>
      <c r="B142" s="33" t="s">
        <v>113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>
        <v>0</v>
      </c>
      <c r="J142" s="199">
        <v>0</v>
      </c>
      <c r="K142" s="199">
        <v>0</v>
      </c>
      <c r="L142" s="199">
        <v>0</v>
      </c>
      <c r="M142" s="199">
        <v>0</v>
      </c>
      <c r="N142" s="199">
        <v>0</v>
      </c>
      <c r="O142" s="199">
        <v>0</v>
      </c>
      <c r="P142" s="199">
        <v>0</v>
      </c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5">
      <c r="A143" s="33" t="s">
        <v>140</v>
      </c>
      <c r="B143" s="33" t="s">
        <v>113</v>
      </c>
      <c r="C143" s="33">
        <v>20</v>
      </c>
      <c r="D143" s="33" t="s">
        <v>128</v>
      </c>
      <c r="E143" s="200">
        <v>0</v>
      </c>
      <c r="F143" s="199">
        <v>0</v>
      </c>
      <c r="G143" s="200">
        <v>0</v>
      </c>
      <c r="H143" s="199">
        <v>0</v>
      </c>
      <c r="I143" s="200">
        <v>0</v>
      </c>
      <c r="J143" s="199">
        <v>0</v>
      </c>
      <c r="K143" s="199">
        <v>0</v>
      </c>
      <c r="L143" s="199">
        <v>0</v>
      </c>
      <c r="M143" s="199">
        <v>0</v>
      </c>
      <c r="N143" s="199">
        <v>0</v>
      </c>
      <c r="O143" s="199">
        <v>0</v>
      </c>
      <c r="P143" s="199">
        <v>0</v>
      </c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5">
      <c r="A144" s="33" t="s">
        <v>140</v>
      </c>
      <c r="B144" s="33" t="s">
        <v>113</v>
      </c>
      <c r="C144" s="33">
        <v>21</v>
      </c>
      <c r="D144" s="33" t="s">
        <v>129</v>
      </c>
      <c r="E144" s="200">
        <v>0</v>
      </c>
      <c r="F144" s="199">
        <v>0</v>
      </c>
      <c r="G144" s="200">
        <v>0</v>
      </c>
      <c r="H144" s="199">
        <v>0</v>
      </c>
      <c r="I144" s="200">
        <v>0</v>
      </c>
      <c r="J144" s="199">
        <v>0</v>
      </c>
      <c r="K144" s="199">
        <v>0</v>
      </c>
      <c r="L144" s="199">
        <v>0</v>
      </c>
      <c r="M144" s="199">
        <v>0</v>
      </c>
      <c r="N144" s="199">
        <v>0</v>
      </c>
      <c r="O144" s="199">
        <v>0</v>
      </c>
      <c r="P144" s="199">
        <v>0</v>
      </c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5">
      <c r="A145" s="33" t="s">
        <v>140</v>
      </c>
      <c r="B145" s="33" t="s">
        <v>113</v>
      </c>
      <c r="C145" s="33">
        <v>22</v>
      </c>
      <c r="D145" s="33" t="s">
        <v>130</v>
      </c>
      <c r="E145" s="200">
        <v>2720628</v>
      </c>
      <c r="F145" s="199">
        <v>6725392.4160000002</v>
      </c>
      <c r="G145" s="200">
        <v>-52500</v>
      </c>
      <c r="H145" s="199">
        <v>-129780</v>
      </c>
      <c r="I145" s="200">
        <v>30445</v>
      </c>
      <c r="J145" s="199">
        <v>75260.039999999994</v>
      </c>
      <c r="K145" s="199">
        <v>-373</v>
      </c>
      <c r="L145" s="199">
        <v>-922.05600000000004</v>
      </c>
      <c r="M145" s="199">
        <v>-649588</v>
      </c>
      <c r="N145" s="199">
        <v>-1605781.5360000001</v>
      </c>
      <c r="O145" s="199">
        <v>-30604</v>
      </c>
      <c r="P145" s="199">
        <v>-75653.088000000003</v>
      </c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5">
      <c r="A146" s="33" t="s">
        <v>140</v>
      </c>
      <c r="B146" s="33" t="s">
        <v>113</v>
      </c>
      <c r="C146" s="33">
        <v>23</v>
      </c>
      <c r="D146" s="33" t="s">
        <v>131</v>
      </c>
      <c r="E146" s="200">
        <v>0</v>
      </c>
      <c r="F146" s="199">
        <v>0</v>
      </c>
      <c r="G146" s="200">
        <v>0</v>
      </c>
      <c r="H146" s="199">
        <v>0</v>
      </c>
      <c r="I146" s="200">
        <v>0</v>
      </c>
      <c r="J146" s="199">
        <v>0</v>
      </c>
      <c r="K146" s="199">
        <v>732012</v>
      </c>
      <c r="L146" s="199">
        <v>1809533.6640000001</v>
      </c>
      <c r="M146" s="199">
        <v>-1464024</v>
      </c>
      <c r="N146" s="199">
        <v>-3619067.3280000002</v>
      </c>
      <c r="O146" s="199">
        <v>0</v>
      </c>
      <c r="P146" s="199">
        <v>0</v>
      </c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5">
      <c r="A147" s="33" t="s">
        <v>140</v>
      </c>
      <c r="B147" s="33" t="s">
        <v>113</v>
      </c>
      <c r="C147" s="33">
        <v>24</v>
      </c>
      <c r="D147" s="33" t="s">
        <v>55</v>
      </c>
      <c r="E147" s="200">
        <v>-29851311</v>
      </c>
      <c r="F147" s="199">
        <v>-1140474.8999999999</v>
      </c>
      <c r="G147" s="200">
        <v>-1649603</v>
      </c>
      <c r="H147" s="199">
        <v>-92298.69</v>
      </c>
      <c r="I147" s="200">
        <v>4524</v>
      </c>
      <c r="J147" s="199">
        <v>5834.12</v>
      </c>
      <c r="K147" s="199">
        <v>-6508</v>
      </c>
      <c r="L147" s="199">
        <v>-412.17</v>
      </c>
      <c r="M147" s="199">
        <v>-112150</v>
      </c>
      <c r="N147" s="199">
        <v>-5562.64</v>
      </c>
      <c r="O147" s="199">
        <v>0</v>
      </c>
      <c r="P147" s="199">
        <v>-0.01</v>
      </c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5">
      <c r="A148" s="33" t="s">
        <v>140</v>
      </c>
      <c r="B148" s="33" t="s">
        <v>113</v>
      </c>
      <c r="C148" s="33">
        <v>25</v>
      </c>
      <c r="D148" s="33" t="s">
        <v>56</v>
      </c>
      <c r="E148" s="200">
        <v>0</v>
      </c>
      <c r="F148" s="199">
        <v>-10481852.52</v>
      </c>
      <c r="G148" s="200">
        <v>0</v>
      </c>
      <c r="H148" s="199">
        <v>86576.37</v>
      </c>
      <c r="I148" s="200">
        <v>0</v>
      </c>
      <c r="J148" s="199">
        <v>0</v>
      </c>
      <c r="K148" s="199">
        <v>0</v>
      </c>
      <c r="L148" s="199">
        <v>0</v>
      </c>
      <c r="M148" s="199">
        <v>0</v>
      </c>
      <c r="N148" s="199">
        <v>0</v>
      </c>
      <c r="O148" s="199">
        <v>0</v>
      </c>
      <c r="P148" s="199">
        <v>0</v>
      </c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5">
      <c r="A149" s="33" t="s">
        <v>140</v>
      </c>
      <c r="B149" s="33" t="s">
        <v>113</v>
      </c>
      <c r="C149" s="33">
        <v>26</v>
      </c>
      <c r="D149" s="33" t="s">
        <v>132</v>
      </c>
      <c r="E149" s="200">
        <v>0</v>
      </c>
      <c r="F149" s="199">
        <v>0</v>
      </c>
      <c r="G149" s="200">
        <v>0</v>
      </c>
      <c r="H149" s="199">
        <v>0</v>
      </c>
      <c r="I149" s="200">
        <v>0</v>
      </c>
      <c r="J149" s="199">
        <v>0</v>
      </c>
      <c r="K149" s="199">
        <v>0</v>
      </c>
      <c r="L149" s="199">
        <v>0</v>
      </c>
      <c r="M149" s="199">
        <v>0</v>
      </c>
      <c r="N149" s="199">
        <v>0</v>
      </c>
      <c r="O149" s="199">
        <v>0</v>
      </c>
      <c r="P149" s="199">
        <v>0</v>
      </c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5">
      <c r="A150" s="33" t="s">
        <v>140</v>
      </c>
      <c r="B150" s="33" t="s">
        <v>113</v>
      </c>
      <c r="C150" s="33">
        <v>27</v>
      </c>
      <c r="D150" s="33" t="s">
        <v>133</v>
      </c>
      <c r="E150" s="200">
        <v>0</v>
      </c>
      <c r="F150" s="199">
        <v>0</v>
      </c>
      <c r="G150" s="200">
        <v>0</v>
      </c>
      <c r="H150" s="199">
        <v>0</v>
      </c>
      <c r="I150" s="200">
        <v>0</v>
      </c>
      <c r="J150" s="199">
        <v>0</v>
      </c>
      <c r="K150" s="199">
        <v>0</v>
      </c>
      <c r="L150" s="199">
        <v>0</v>
      </c>
      <c r="M150" s="199">
        <v>0</v>
      </c>
      <c r="N150" s="199">
        <v>0</v>
      </c>
      <c r="O150" s="199">
        <v>0</v>
      </c>
      <c r="P150" s="199">
        <v>0</v>
      </c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5">
      <c r="A151" s="33" t="s">
        <v>140</v>
      </c>
      <c r="B151" s="33" t="s">
        <v>113</v>
      </c>
      <c r="C151" s="33">
        <v>28</v>
      </c>
      <c r="D151" s="33" t="s">
        <v>134</v>
      </c>
      <c r="E151" s="200">
        <v>0</v>
      </c>
      <c r="F151" s="199">
        <v>0</v>
      </c>
      <c r="G151" s="200">
        <v>0</v>
      </c>
      <c r="H151" s="199">
        <v>0</v>
      </c>
      <c r="I151" s="200">
        <v>0</v>
      </c>
      <c r="J151" s="199">
        <v>0</v>
      </c>
      <c r="K151" s="199">
        <v>0</v>
      </c>
      <c r="L151" s="199">
        <v>0</v>
      </c>
      <c r="M151" s="199">
        <v>0</v>
      </c>
      <c r="N151" s="199">
        <v>0</v>
      </c>
      <c r="O151" s="199">
        <v>0</v>
      </c>
      <c r="P151" s="199">
        <v>0</v>
      </c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5">
      <c r="A152" s="33" t="s">
        <v>140</v>
      </c>
      <c r="B152" s="33" t="s">
        <v>113</v>
      </c>
      <c r="C152" s="33">
        <v>29</v>
      </c>
      <c r="D152" s="33" t="s">
        <v>135</v>
      </c>
      <c r="E152" s="200">
        <v>0</v>
      </c>
      <c r="F152" s="199">
        <v>0</v>
      </c>
      <c r="G152" s="200">
        <v>0</v>
      </c>
      <c r="H152" s="199">
        <v>0</v>
      </c>
      <c r="I152" s="200">
        <v>0</v>
      </c>
      <c r="J152" s="199">
        <v>0</v>
      </c>
      <c r="K152" s="199">
        <v>0</v>
      </c>
      <c r="L152" s="199">
        <v>0</v>
      </c>
      <c r="M152" s="199">
        <v>0</v>
      </c>
      <c r="N152" s="199">
        <v>0</v>
      </c>
      <c r="O152" s="199">
        <v>0</v>
      </c>
      <c r="P152" s="199">
        <v>0</v>
      </c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5">
      <c r="A153" s="33" t="s">
        <v>140</v>
      </c>
      <c r="B153" s="33" t="s">
        <v>113</v>
      </c>
      <c r="C153" s="33">
        <v>30</v>
      </c>
      <c r="D153" s="33" t="s">
        <v>136</v>
      </c>
      <c r="E153" s="200">
        <v>0</v>
      </c>
      <c r="F153" s="199">
        <v>0</v>
      </c>
      <c r="G153" s="200">
        <v>0</v>
      </c>
      <c r="H153" s="199">
        <v>0</v>
      </c>
      <c r="I153" s="200">
        <v>0</v>
      </c>
      <c r="J153" s="199">
        <v>0</v>
      </c>
      <c r="K153" s="199">
        <v>0</v>
      </c>
      <c r="L153" s="199">
        <v>0</v>
      </c>
      <c r="M153" s="199">
        <v>0</v>
      </c>
      <c r="N153" s="199">
        <v>0</v>
      </c>
      <c r="O153" s="199">
        <v>0</v>
      </c>
      <c r="P153" s="199">
        <v>0</v>
      </c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5">
      <c r="A154" s="33" t="s">
        <v>140</v>
      </c>
      <c r="B154" s="33" t="s">
        <v>113</v>
      </c>
      <c r="C154" s="33">
        <v>31</v>
      </c>
      <c r="D154" s="33" t="s">
        <v>137</v>
      </c>
      <c r="E154" s="200">
        <v>0</v>
      </c>
      <c r="F154" s="199">
        <v>0</v>
      </c>
      <c r="G154" s="200">
        <v>0</v>
      </c>
      <c r="H154" s="199">
        <v>0</v>
      </c>
      <c r="I154" s="200">
        <v>0</v>
      </c>
      <c r="J154" s="199">
        <v>0</v>
      </c>
      <c r="K154" s="199">
        <v>0</v>
      </c>
      <c r="L154" s="199">
        <v>0</v>
      </c>
      <c r="M154" s="199">
        <v>0</v>
      </c>
      <c r="N154" s="199">
        <v>0</v>
      </c>
      <c r="O154" s="199">
        <v>0</v>
      </c>
      <c r="P154" s="199">
        <v>0</v>
      </c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5">
      <c r="A155" s="33" t="s">
        <v>140</v>
      </c>
      <c r="B155" s="33" t="s">
        <v>113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>
        <v>0</v>
      </c>
      <c r="J155" s="199">
        <v>0</v>
      </c>
      <c r="K155" s="199">
        <v>0</v>
      </c>
      <c r="L155" s="199">
        <v>0</v>
      </c>
      <c r="M155" s="199">
        <v>0</v>
      </c>
      <c r="N155" s="199">
        <v>0</v>
      </c>
      <c r="O155" s="199">
        <v>0</v>
      </c>
      <c r="P155" s="199">
        <v>0</v>
      </c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5">
      <c r="A156" s="33" t="s">
        <v>140</v>
      </c>
      <c r="B156" s="33" t="s">
        <v>113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>
        <v>0</v>
      </c>
      <c r="J156" s="199">
        <v>0</v>
      </c>
      <c r="K156" s="199">
        <v>0</v>
      </c>
      <c r="L156" s="199">
        <v>0</v>
      </c>
      <c r="M156" s="199">
        <v>0</v>
      </c>
      <c r="N156" s="199">
        <v>0</v>
      </c>
      <c r="O156" s="199">
        <v>0</v>
      </c>
      <c r="P156" s="199">
        <v>0</v>
      </c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5">
      <c r="A157" s="33" t="s">
        <v>140</v>
      </c>
      <c r="B157" s="33" t="s">
        <v>113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>
        <v>0</v>
      </c>
      <c r="J157" s="199">
        <v>0</v>
      </c>
      <c r="K157" s="199">
        <v>0</v>
      </c>
      <c r="L157" s="199">
        <v>0</v>
      </c>
      <c r="M157" s="199">
        <v>0</v>
      </c>
      <c r="N157" s="199">
        <v>0</v>
      </c>
      <c r="O157" s="199">
        <v>0</v>
      </c>
      <c r="P157" s="199">
        <v>0</v>
      </c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5">
      <c r="A158" s="33" t="s">
        <v>140</v>
      </c>
      <c r="B158" s="33" t="s">
        <v>113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>
        <v>0</v>
      </c>
      <c r="J158" s="199">
        <v>0</v>
      </c>
      <c r="K158" s="199">
        <v>0</v>
      </c>
      <c r="L158" s="199">
        <v>0</v>
      </c>
      <c r="M158" s="199">
        <v>0</v>
      </c>
      <c r="N158" s="199">
        <v>0</v>
      </c>
      <c r="O158" s="199">
        <v>0</v>
      </c>
      <c r="P158" s="199">
        <v>0</v>
      </c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5">
      <c r="A159" s="33" t="s">
        <v>140</v>
      </c>
      <c r="B159" s="33" t="s">
        <v>113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>
        <v>0</v>
      </c>
      <c r="J159" s="199">
        <v>0</v>
      </c>
      <c r="K159" s="199">
        <v>0</v>
      </c>
      <c r="L159" s="199">
        <v>0</v>
      </c>
      <c r="M159" s="199">
        <v>0</v>
      </c>
      <c r="N159" s="199">
        <v>0</v>
      </c>
      <c r="O159" s="199">
        <v>0</v>
      </c>
      <c r="P159" s="199">
        <v>0</v>
      </c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5">
      <c r="A160" s="33" t="s">
        <v>140</v>
      </c>
      <c r="B160" s="33" t="s">
        <v>113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>
        <v>0</v>
      </c>
      <c r="J160" s="199">
        <v>0</v>
      </c>
      <c r="K160" s="199">
        <v>0</v>
      </c>
      <c r="L160" s="199">
        <v>0</v>
      </c>
      <c r="M160" s="199">
        <v>0</v>
      </c>
      <c r="N160" s="199">
        <v>0</v>
      </c>
      <c r="O160" s="199">
        <v>0</v>
      </c>
      <c r="P160" s="199">
        <v>0</v>
      </c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5">
      <c r="A161" s="33" t="s">
        <v>140</v>
      </c>
      <c r="B161" s="33" t="s">
        <v>113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>
        <v>0</v>
      </c>
      <c r="J161" s="199">
        <v>0</v>
      </c>
      <c r="K161" s="199">
        <v>0</v>
      </c>
      <c r="L161" s="199">
        <v>0</v>
      </c>
      <c r="M161" s="199">
        <v>0</v>
      </c>
      <c r="N161" s="199">
        <v>0</v>
      </c>
      <c r="O161" s="199">
        <v>0</v>
      </c>
      <c r="P161" s="199">
        <v>0</v>
      </c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5">
      <c r="A162" s="33" t="s">
        <v>140</v>
      </c>
      <c r="B162" s="33" t="s">
        <v>113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>
        <v>0</v>
      </c>
      <c r="J162" s="199">
        <v>0</v>
      </c>
      <c r="K162" s="199">
        <v>0</v>
      </c>
      <c r="L162" s="199">
        <v>0</v>
      </c>
      <c r="M162" s="199">
        <v>0</v>
      </c>
      <c r="N162" s="199">
        <v>0</v>
      </c>
      <c r="O162" s="199">
        <v>0</v>
      </c>
      <c r="P162" s="199">
        <v>0</v>
      </c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5">
      <c r="A163" s="33" t="s">
        <v>140</v>
      </c>
      <c r="B163" s="33" t="s">
        <v>113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>
        <v>0</v>
      </c>
      <c r="J163" s="199">
        <v>0</v>
      </c>
      <c r="K163" s="199">
        <v>0</v>
      </c>
      <c r="L163" s="199">
        <v>0</v>
      </c>
      <c r="M163" s="199">
        <v>0</v>
      </c>
      <c r="N163" s="199">
        <v>0</v>
      </c>
      <c r="O163" s="199">
        <v>0</v>
      </c>
      <c r="P163" s="199">
        <v>0</v>
      </c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5">
      <c r="A164" s="33" t="s">
        <v>140</v>
      </c>
      <c r="B164" s="33" t="s">
        <v>141</v>
      </c>
      <c r="C164" s="33">
        <v>1</v>
      </c>
      <c r="D164" s="33" t="s">
        <v>25</v>
      </c>
      <c r="E164" s="200">
        <v>86078748</v>
      </c>
      <c r="F164" s="199">
        <v>202360835.04000002</v>
      </c>
      <c r="G164" s="200">
        <v>673291</v>
      </c>
      <c r="H164" s="199">
        <v>-233132.46</v>
      </c>
      <c r="I164" s="200">
        <v>-472241</v>
      </c>
      <c r="J164" s="199">
        <v>-1045546.73</v>
      </c>
      <c r="K164" s="199">
        <v>0</v>
      </c>
      <c r="L164" s="199">
        <v>-15522.9</v>
      </c>
      <c r="M164" s="199">
        <v>5195</v>
      </c>
      <c r="N164" s="199">
        <v>12323.35</v>
      </c>
      <c r="O164" s="199">
        <v>70052</v>
      </c>
      <c r="P164" s="199">
        <v>-710012.57</v>
      </c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5">
      <c r="A165" s="33" t="s">
        <v>140</v>
      </c>
      <c r="B165" s="33" t="s">
        <v>141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>
        <v>0</v>
      </c>
      <c r="J165" s="199">
        <v>0</v>
      </c>
      <c r="K165" s="199">
        <v>0</v>
      </c>
      <c r="L165" s="199">
        <v>0</v>
      </c>
      <c r="M165" s="199">
        <v>0</v>
      </c>
      <c r="N165" s="199">
        <v>0</v>
      </c>
      <c r="O165" s="199">
        <v>0</v>
      </c>
      <c r="P165" s="199">
        <v>0</v>
      </c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5">
      <c r="A166" s="33" t="s">
        <v>140</v>
      </c>
      <c r="B166" s="33" t="s">
        <v>141</v>
      </c>
      <c r="C166" s="33">
        <v>3</v>
      </c>
      <c r="D166" s="33" t="s">
        <v>27</v>
      </c>
      <c r="E166" s="200">
        <v>41011971</v>
      </c>
      <c r="F166" s="199">
        <v>97311530</v>
      </c>
      <c r="G166" s="200">
        <v>-21241576</v>
      </c>
      <c r="H166" s="199">
        <v>-50373718</v>
      </c>
      <c r="I166" s="200">
        <v>-39502</v>
      </c>
      <c r="J166" s="199">
        <v>-86115</v>
      </c>
      <c r="K166" s="199">
        <v>-3018</v>
      </c>
      <c r="L166" s="199">
        <v>-6797</v>
      </c>
      <c r="M166" s="199">
        <v>0</v>
      </c>
      <c r="N166" s="199">
        <v>0</v>
      </c>
      <c r="O166" s="199">
        <v>21284096</v>
      </c>
      <c r="P166" s="199">
        <v>50466630</v>
      </c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5">
      <c r="A167" s="33" t="s">
        <v>140</v>
      </c>
      <c r="B167" s="33" t="s">
        <v>141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>
        <v>0</v>
      </c>
      <c r="J167" s="199">
        <v>0</v>
      </c>
      <c r="K167" s="199">
        <v>0</v>
      </c>
      <c r="L167" s="199">
        <v>0</v>
      </c>
      <c r="M167" s="199">
        <v>0</v>
      </c>
      <c r="N167" s="199">
        <v>0</v>
      </c>
      <c r="O167" s="199">
        <v>0</v>
      </c>
      <c r="P167" s="199">
        <v>0</v>
      </c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5">
      <c r="A168" s="33" t="s">
        <v>140</v>
      </c>
      <c r="B168" s="33" t="s">
        <v>141</v>
      </c>
      <c r="C168" s="33">
        <v>5</v>
      </c>
      <c r="D168" s="33" t="s">
        <v>125</v>
      </c>
      <c r="E168" s="200">
        <v>0</v>
      </c>
      <c r="F168" s="199">
        <v>3301469.18</v>
      </c>
      <c r="G168" s="200">
        <v>0</v>
      </c>
      <c r="H168" s="199">
        <v>-351055</v>
      </c>
      <c r="I168" s="200">
        <v>0</v>
      </c>
      <c r="J168" s="199">
        <v>1711</v>
      </c>
      <c r="K168" s="199">
        <v>0</v>
      </c>
      <c r="L168" s="199">
        <v>0</v>
      </c>
      <c r="M168" s="199">
        <v>0</v>
      </c>
      <c r="N168" s="199">
        <v>46227</v>
      </c>
      <c r="O168" s="199">
        <v>0</v>
      </c>
      <c r="P168" s="199">
        <v>0</v>
      </c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5">
      <c r="A169" s="33" t="s">
        <v>140</v>
      </c>
      <c r="B169" s="33" t="s">
        <v>141</v>
      </c>
      <c r="C169" s="33">
        <v>6</v>
      </c>
      <c r="D169" s="33" t="s">
        <v>25</v>
      </c>
      <c r="E169" s="200">
        <v>-95111952</v>
      </c>
      <c r="F169" s="199">
        <v>-225959083.73999998</v>
      </c>
      <c r="G169" s="200">
        <v>-7081861</v>
      </c>
      <c r="H169" s="199">
        <v>-15854578.98</v>
      </c>
      <c r="I169" s="200">
        <v>7139069</v>
      </c>
      <c r="J169" s="199">
        <v>16453478.619999999</v>
      </c>
      <c r="K169" s="199">
        <v>-1177405</v>
      </c>
      <c r="L169" s="199">
        <v>-2634301.37</v>
      </c>
      <c r="M169" s="199">
        <v>1113508</v>
      </c>
      <c r="N169" s="199">
        <v>2652220.92</v>
      </c>
      <c r="O169" s="199">
        <v>0</v>
      </c>
      <c r="P169" s="199">
        <v>0</v>
      </c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5">
      <c r="A170" s="33" t="s">
        <v>140</v>
      </c>
      <c r="B170" s="33" t="s">
        <v>141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>
        <v>0</v>
      </c>
      <c r="J170" s="199">
        <v>0</v>
      </c>
      <c r="K170" s="199">
        <v>0</v>
      </c>
      <c r="L170" s="199">
        <v>0</v>
      </c>
      <c r="M170" s="199">
        <v>0</v>
      </c>
      <c r="N170" s="199">
        <v>0</v>
      </c>
      <c r="O170" s="199">
        <v>0</v>
      </c>
      <c r="P170" s="199">
        <v>0</v>
      </c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5">
      <c r="A171" s="33" t="s">
        <v>140</v>
      </c>
      <c r="B171" s="33" t="s">
        <v>141</v>
      </c>
      <c r="C171" s="33">
        <v>8</v>
      </c>
      <c r="D171" s="33" t="s">
        <v>27</v>
      </c>
      <c r="E171" s="200">
        <v>-32019356</v>
      </c>
      <c r="F171" s="199">
        <v>-76398505</v>
      </c>
      <c r="G171" s="200">
        <v>20524645</v>
      </c>
      <c r="H171" s="199">
        <v>49151111</v>
      </c>
      <c r="I171" s="200">
        <v>20324</v>
      </c>
      <c r="J171" s="199">
        <v>49834</v>
      </c>
      <c r="K171" s="199">
        <v>3997</v>
      </c>
      <c r="L171" s="199">
        <v>8698</v>
      </c>
      <c r="M171" s="199">
        <v>0</v>
      </c>
      <c r="N171" s="199">
        <v>0</v>
      </c>
      <c r="O171" s="199">
        <v>-20278966</v>
      </c>
      <c r="P171" s="199">
        <v>-48554352</v>
      </c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5">
      <c r="A172" s="33" t="s">
        <v>140</v>
      </c>
      <c r="B172" s="33" t="s">
        <v>141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>
        <v>0</v>
      </c>
      <c r="J172" s="199">
        <v>0</v>
      </c>
      <c r="K172" s="199">
        <v>0</v>
      </c>
      <c r="L172" s="199">
        <v>0</v>
      </c>
      <c r="M172" s="199">
        <v>0</v>
      </c>
      <c r="N172" s="199">
        <v>0</v>
      </c>
      <c r="O172" s="199">
        <v>0</v>
      </c>
      <c r="P172" s="199">
        <v>0</v>
      </c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5">
      <c r="A173" s="33" t="s">
        <v>140</v>
      </c>
      <c r="B173" s="33" t="s">
        <v>141</v>
      </c>
      <c r="C173" s="33">
        <v>10</v>
      </c>
      <c r="D173" s="33" t="s">
        <v>32</v>
      </c>
      <c r="E173" s="200">
        <v>808041</v>
      </c>
      <c r="F173" s="199">
        <v>1876271.202</v>
      </c>
      <c r="G173" s="200">
        <v>3138</v>
      </c>
      <c r="H173" s="199">
        <v>7286.4359999999997</v>
      </c>
      <c r="I173" s="200">
        <v>361</v>
      </c>
      <c r="J173" s="199">
        <v>838.24199999999996</v>
      </c>
      <c r="K173" s="199">
        <v>0</v>
      </c>
      <c r="L173" s="199">
        <v>0</v>
      </c>
      <c r="M173" s="199">
        <v>-308718</v>
      </c>
      <c r="N173" s="199">
        <v>-716843.196</v>
      </c>
      <c r="O173" s="199">
        <v>0</v>
      </c>
      <c r="P173" s="199">
        <v>0</v>
      </c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5">
      <c r="A174" s="33" t="s">
        <v>140</v>
      </c>
      <c r="B174" s="33" t="s">
        <v>141</v>
      </c>
      <c r="C174" s="33">
        <v>11</v>
      </c>
      <c r="D174" s="33" t="s">
        <v>35</v>
      </c>
      <c r="E174" s="200">
        <v>156898</v>
      </c>
      <c r="F174" s="199">
        <v>360096.24</v>
      </c>
      <c r="G174" s="200">
        <v>0</v>
      </c>
      <c r="H174" s="199">
        <v>0</v>
      </c>
      <c r="I174" s="200">
        <v>0</v>
      </c>
      <c r="J174" s="199">
        <v>0</v>
      </c>
      <c r="K174" s="199">
        <v>0</v>
      </c>
      <c r="L174" s="199">
        <v>0</v>
      </c>
      <c r="M174" s="199">
        <v>0</v>
      </c>
      <c r="N174" s="199">
        <v>0</v>
      </c>
      <c r="O174" s="199">
        <v>0</v>
      </c>
      <c r="P174" s="199">
        <v>0</v>
      </c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5">
      <c r="A175" s="33" t="s">
        <v>140</v>
      </c>
      <c r="B175" s="33" t="s">
        <v>141</v>
      </c>
      <c r="C175" s="33">
        <v>12</v>
      </c>
      <c r="D175" s="33" t="s">
        <v>36</v>
      </c>
      <c r="E175" s="200">
        <v>-108664</v>
      </c>
      <c r="F175" s="199">
        <v>-275999.67</v>
      </c>
      <c r="G175" s="200">
        <v>0</v>
      </c>
      <c r="H175" s="199">
        <v>0</v>
      </c>
      <c r="I175" s="200">
        <v>0</v>
      </c>
      <c r="J175" s="199">
        <v>0</v>
      </c>
      <c r="K175" s="199">
        <v>0</v>
      </c>
      <c r="L175" s="199">
        <v>0</v>
      </c>
      <c r="M175" s="199">
        <v>0</v>
      </c>
      <c r="N175" s="199">
        <v>0</v>
      </c>
      <c r="O175" s="199">
        <v>0</v>
      </c>
      <c r="P175" s="199">
        <v>0</v>
      </c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5">
      <c r="A176" s="33" t="s">
        <v>140</v>
      </c>
      <c r="B176" s="33" t="s">
        <v>141</v>
      </c>
      <c r="C176" s="33">
        <v>13</v>
      </c>
      <c r="D176" s="33" t="s">
        <v>39</v>
      </c>
      <c r="E176" s="200">
        <v>2513996</v>
      </c>
      <c r="F176" s="199">
        <v>5837498.7120000003</v>
      </c>
      <c r="G176" s="200">
        <v>-2793778</v>
      </c>
      <c r="H176" s="199">
        <v>-6487152.5159999998</v>
      </c>
      <c r="I176" s="200">
        <v>-19251</v>
      </c>
      <c r="J176" s="199">
        <v>-44700.822</v>
      </c>
      <c r="K176" s="199">
        <v>55135</v>
      </c>
      <c r="L176" s="199">
        <v>128023.47</v>
      </c>
      <c r="M176" s="199">
        <v>-55394</v>
      </c>
      <c r="N176" s="199">
        <v>-128624.868</v>
      </c>
      <c r="O176" s="199">
        <v>0</v>
      </c>
      <c r="P176" s="199">
        <v>0</v>
      </c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5">
      <c r="A177" s="33" t="s">
        <v>140</v>
      </c>
      <c r="B177" s="33" t="s">
        <v>141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-69488</v>
      </c>
      <c r="H177" s="199">
        <v>-167230.47</v>
      </c>
      <c r="I177" s="200">
        <v>-13756</v>
      </c>
      <c r="J177" s="199">
        <v>-34162.620000000003</v>
      </c>
      <c r="K177" s="199">
        <v>-300</v>
      </c>
      <c r="L177" s="199">
        <v>-692.73</v>
      </c>
      <c r="M177" s="199">
        <v>-18299</v>
      </c>
      <c r="N177" s="199">
        <v>-34228.04</v>
      </c>
      <c r="O177" s="199">
        <v>0</v>
      </c>
      <c r="P177" s="199">
        <v>0</v>
      </c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5">
      <c r="A178" s="33" t="s">
        <v>140</v>
      </c>
      <c r="B178" s="33" t="s">
        <v>141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29637</v>
      </c>
      <c r="H178" s="199">
        <v>73280.08</v>
      </c>
      <c r="I178" s="200">
        <v>30898</v>
      </c>
      <c r="J178" s="199">
        <v>61726.91</v>
      </c>
      <c r="K178" s="199">
        <v>0</v>
      </c>
      <c r="L178" s="199">
        <v>0</v>
      </c>
      <c r="M178" s="199">
        <v>0</v>
      </c>
      <c r="N178" s="199">
        <v>0</v>
      </c>
      <c r="O178" s="199">
        <v>0</v>
      </c>
      <c r="P178" s="199">
        <v>0</v>
      </c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5">
      <c r="A179" s="33" t="s">
        <v>140</v>
      </c>
      <c r="B179" s="33" t="s">
        <v>141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>
        <v>0</v>
      </c>
      <c r="J179" s="199">
        <v>0</v>
      </c>
      <c r="K179" s="199">
        <v>0</v>
      </c>
      <c r="L179" s="199">
        <v>0</v>
      </c>
      <c r="M179" s="199">
        <v>0</v>
      </c>
      <c r="N179" s="199">
        <v>0</v>
      </c>
      <c r="O179" s="199">
        <v>0</v>
      </c>
      <c r="P179" s="199">
        <v>-224280</v>
      </c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5">
      <c r="A180" s="33" t="s">
        <v>140</v>
      </c>
      <c r="B180" s="33" t="s">
        <v>141</v>
      </c>
      <c r="C180" s="33">
        <v>17</v>
      </c>
      <c r="D180" s="33" t="s">
        <v>126</v>
      </c>
      <c r="E180" s="200">
        <v>4906</v>
      </c>
      <c r="F180" s="199">
        <v>11391.73</v>
      </c>
      <c r="G180" s="200">
        <v>516982</v>
      </c>
      <c r="H180" s="199">
        <v>1200432.2</v>
      </c>
      <c r="I180" s="200">
        <v>0</v>
      </c>
      <c r="J180" s="199">
        <v>0</v>
      </c>
      <c r="K180" s="199">
        <v>0</v>
      </c>
      <c r="L180" s="199">
        <v>0</v>
      </c>
      <c r="M180" s="199">
        <v>0</v>
      </c>
      <c r="N180" s="199">
        <v>0</v>
      </c>
      <c r="O180" s="199">
        <v>0</v>
      </c>
      <c r="P180" s="199">
        <v>0</v>
      </c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5">
      <c r="A181" s="33" t="s">
        <v>140</v>
      </c>
      <c r="B181" s="33" t="s">
        <v>141</v>
      </c>
      <c r="C181" s="33">
        <v>18</v>
      </c>
      <c r="D181" s="33" t="s">
        <v>127</v>
      </c>
      <c r="E181" s="200">
        <v>-461755</v>
      </c>
      <c r="F181" s="199">
        <v>-942186.99</v>
      </c>
      <c r="G181" s="200">
        <v>-181659</v>
      </c>
      <c r="H181" s="199">
        <v>-455933.31</v>
      </c>
      <c r="I181" s="200">
        <v>-1712</v>
      </c>
      <c r="J181" s="199">
        <v>-3601.92</v>
      </c>
      <c r="K181" s="199">
        <v>0</v>
      </c>
      <c r="L181" s="199">
        <v>0</v>
      </c>
      <c r="M181" s="199">
        <v>0</v>
      </c>
      <c r="N181" s="199">
        <v>0</v>
      </c>
      <c r="O181" s="199">
        <v>0</v>
      </c>
      <c r="P181" s="199">
        <v>0</v>
      </c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5">
      <c r="A182" s="33" t="s">
        <v>140</v>
      </c>
      <c r="B182" s="33" t="s">
        <v>141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>
        <v>0</v>
      </c>
      <c r="J182" s="199">
        <v>0</v>
      </c>
      <c r="K182" s="199">
        <v>0</v>
      </c>
      <c r="L182" s="199">
        <v>0</v>
      </c>
      <c r="M182" s="199">
        <v>0</v>
      </c>
      <c r="N182" s="199">
        <v>0</v>
      </c>
      <c r="O182" s="199">
        <v>0</v>
      </c>
      <c r="P182" s="199">
        <v>0</v>
      </c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5">
      <c r="A183" s="33" t="s">
        <v>140</v>
      </c>
      <c r="B183" s="33" t="s">
        <v>141</v>
      </c>
      <c r="C183" s="33">
        <v>20</v>
      </c>
      <c r="D183" s="33" t="s">
        <v>128</v>
      </c>
      <c r="E183" s="200">
        <v>0</v>
      </c>
      <c r="F183" s="199">
        <v>0</v>
      </c>
      <c r="G183" s="200">
        <v>0</v>
      </c>
      <c r="H183" s="199">
        <v>0</v>
      </c>
      <c r="I183" s="200">
        <v>0</v>
      </c>
      <c r="J183" s="199">
        <v>0</v>
      </c>
      <c r="K183" s="199">
        <v>0</v>
      </c>
      <c r="L183" s="199">
        <v>0</v>
      </c>
      <c r="M183" s="199">
        <v>0</v>
      </c>
      <c r="N183" s="199">
        <v>0</v>
      </c>
      <c r="O183" s="199">
        <v>0</v>
      </c>
      <c r="P183" s="199">
        <v>0</v>
      </c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5">
      <c r="A184" s="33" t="s">
        <v>140</v>
      </c>
      <c r="B184" s="33" t="s">
        <v>141</v>
      </c>
      <c r="C184" s="33">
        <v>21</v>
      </c>
      <c r="D184" s="33" t="s">
        <v>129</v>
      </c>
      <c r="E184" s="200">
        <v>0</v>
      </c>
      <c r="F184" s="199">
        <v>0</v>
      </c>
      <c r="G184" s="200">
        <v>0</v>
      </c>
      <c r="H184" s="199">
        <v>0</v>
      </c>
      <c r="I184" s="200">
        <v>0</v>
      </c>
      <c r="J184" s="199">
        <v>0</v>
      </c>
      <c r="K184" s="199">
        <v>0</v>
      </c>
      <c r="L184" s="199">
        <v>0</v>
      </c>
      <c r="M184" s="199">
        <v>0</v>
      </c>
      <c r="N184" s="199">
        <v>0</v>
      </c>
      <c r="O184" s="199">
        <v>0</v>
      </c>
      <c r="P184" s="199">
        <v>0</v>
      </c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5">
      <c r="A185" s="33" t="s">
        <v>140</v>
      </c>
      <c r="B185" s="33" t="s">
        <v>141</v>
      </c>
      <c r="C185" s="33">
        <v>22</v>
      </c>
      <c r="D185" s="33" t="s">
        <v>130</v>
      </c>
      <c r="E185" s="200">
        <v>-2872833</v>
      </c>
      <c r="F185" s="199">
        <v>-6670718.2259999998</v>
      </c>
      <c r="G185" s="200">
        <v>9620669</v>
      </c>
      <c r="H185" s="199">
        <v>22339193.417999998</v>
      </c>
      <c r="I185" s="200">
        <v>-6644190</v>
      </c>
      <c r="J185" s="199">
        <v>-15427809.18</v>
      </c>
      <c r="K185" s="199">
        <v>1121591</v>
      </c>
      <c r="L185" s="199">
        <v>2604334.3020000001</v>
      </c>
      <c r="M185" s="199">
        <v>-736292</v>
      </c>
      <c r="N185" s="199">
        <v>-1709670.024</v>
      </c>
      <c r="O185" s="199">
        <v>-1075182</v>
      </c>
      <c r="P185" s="199">
        <v>-2496572.6039999998</v>
      </c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5">
      <c r="A186" s="33" t="s">
        <v>140</v>
      </c>
      <c r="B186" s="33" t="s">
        <v>141</v>
      </c>
      <c r="C186" s="33">
        <v>23</v>
      </c>
      <c r="D186" s="33" t="s">
        <v>131</v>
      </c>
      <c r="E186" s="200">
        <v>-808041</v>
      </c>
      <c r="F186" s="199">
        <v>-1876271.202</v>
      </c>
      <c r="G186" s="200">
        <v>-3138</v>
      </c>
      <c r="H186" s="199">
        <v>-7286.4359999999997</v>
      </c>
      <c r="I186" s="200">
        <v>-361</v>
      </c>
      <c r="J186" s="199">
        <v>-838.24199999999996</v>
      </c>
      <c r="K186" s="199">
        <v>0</v>
      </c>
      <c r="L186" s="199">
        <v>0</v>
      </c>
      <c r="M186" s="199">
        <v>308718</v>
      </c>
      <c r="N186" s="199">
        <v>716843.196</v>
      </c>
      <c r="O186" s="199">
        <v>0</v>
      </c>
      <c r="P186" s="199">
        <v>0</v>
      </c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5">
      <c r="A187" s="33" t="s">
        <v>140</v>
      </c>
      <c r="B187" s="33" t="s">
        <v>141</v>
      </c>
      <c r="C187" s="33">
        <v>24</v>
      </c>
      <c r="D187" s="33" t="s">
        <v>55</v>
      </c>
      <c r="E187" s="200">
        <v>-61042926</v>
      </c>
      <c r="F187" s="199">
        <v>68650.179999999993</v>
      </c>
      <c r="G187" s="200">
        <v>1001693</v>
      </c>
      <c r="H187" s="199">
        <v>-393789</v>
      </c>
      <c r="I187" s="200">
        <v>-12780</v>
      </c>
      <c r="J187" s="199">
        <v>-229969.01</v>
      </c>
      <c r="K187" s="199">
        <v>-2423437</v>
      </c>
      <c r="L187" s="199">
        <v>16716.75</v>
      </c>
      <c r="M187" s="199">
        <v>-980307</v>
      </c>
      <c r="N187" s="199">
        <v>198930.08</v>
      </c>
      <c r="O187" s="199">
        <v>0</v>
      </c>
      <c r="P187" s="199">
        <v>872286.33</v>
      </c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5">
      <c r="A188" s="33" t="s">
        <v>140</v>
      </c>
      <c r="B188" s="33" t="s">
        <v>141</v>
      </c>
      <c r="C188" s="33">
        <v>25</v>
      </c>
      <c r="D188" s="33" t="s">
        <v>56</v>
      </c>
      <c r="E188" s="200">
        <v>0</v>
      </c>
      <c r="F188" s="199">
        <v>-2620911.2200000002</v>
      </c>
      <c r="G188" s="200">
        <v>0</v>
      </c>
      <c r="H188" s="199">
        <v>-91043.31</v>
      </c>
      <c r="I188" s="200">
        <v>0</v>
      </c>
      <c r="J188" s="199">
        <v>-76293</v>
      </c>
      <c r="K188" s="199">
        <v>0</v>
      </c>
      <c r="L188" s="199">
        <v>546707.73</v>
      </c>
      <c r="M188" s="199">
        <v>0</v>
      </c>
      <c r="N188" s="199">
        <v>-4985.8500000000004</v>
      </c>
      <c r="O188" s="199">
        <v>0</v>
      </c>
      <c r="P188" s="199">
        <v>0</v>
      </c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5">
      <c r="A189" s="33" t="s">
        <v>140</v>
      </c>
      <c r="B189" s="33" t="s">
        <v>141</v>
      </c>
      <c r="C189" s="33">
        <v>26</v>
      </c>
      <c r="D189" s="33" t="s">
        <v>132</v>
      </c>
      <c r="E189" s="200">
        <v>0</v>
      </c>
      <c r="F189" s="199">
        <v>0</v>
      </c>
      <c r="G189" s="200">
        <v>0</v>
      </c>
      <c r="H189" s="199">
        <v>0</v>
      </c>
      <c r="I189" s="200">
        <v>0</v>
      </c>
      <c r="J189" s="199">
        <v>0</v>
      </c>
      <c r="K189" s="199">
        <v>0</v>
      </c>
      <c r="L189" s="199">
        <v>0</v>
      </c>
      <c r="M189" s="199">
        <v>0</v>
      </c>
      <c r="N189" s="199">
        <v>0</v>
      </c>
      <c r="O189" s="199">
        <v>0</v>
      </c>
      <c r="P189" s="199">
        <v>0</v>
      </c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5">
      <c r="A190" s="33" t="s">
        <v>140</v>
      </c>
      <c r="B190" s="33" t="s">
        <v>141</v>
      </c>
      <c r="C190" s="33">
        <v>27</v>
      </c>
      <c r="D190" s="33" t="s">
        <v>133</v>
      </c>
      <c r="E190" s="200">
        <v>0</v>
      </c>
      <c r="F190" s="199">
        <v>0</v>
      </c>
      <c r="G190" s="200">
        <v>0</v>
      </c>
      <c r="H190" s="199">
        <v>0</v>
      </c>
      <c r="I190" s="200">
        <v>0</v>
      </c>
      <c r="J190" s="199">
        <v>0</v>
      </c>
      <c r="K190" s="199">
        <v>0</v>
      </c>
      <c r="L190" s="199">
        <v>0</v>
      </c>
      <c r="M190" s="199">
        <v>0</v>
      </c>
      <c r="N190" s="199">
        <v>0</v>
      </c>
      <c r="O190" s="199">
        <v>0</v>
      </c>
      <c r="P190" s="199">
        <v>0</v>
      </c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5">
      <c r="A191" s="33" t="s">
        <v>140</v>
      </c>
      <c r="B191" s="33" t="s">
        <v>141</v>
      </c>
      <c r="C191" s="33">
        <v>28</v>
      </c>
      <c r="D191" s="33" t="s">
        <v>134</v>
      </c>
      <c r="E191" s="200">
        <v>0</v>
      </c>
      <c r="F191" s="199">
        <v>0</v>
      </c>
      <c r="G191" s="200">
        <v>0</v>
      </c>
      <c r="H191" s="199">
        <v>0</v>
      </c>
      <c r="I191" s="200">
        <v>0</v>
      </c>
      <c r="J191" s="199">
        <v>0</v>
      </c>
      <c r="K191" s="199">
        <v>0</v>
      </c>
      <c r="L191" s="199">
        <v>0</v>
      </c>
      <c r="M191" s="199">
        <v>0</v>
      </c>
      <c r="N191" s="199">
        <v>0</v>
      </c>
      <c r="O191" s="199">
        <v>0</v>
      </c>
      <c r="P191" s="199">
        <v>0</v>
      </c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5">
      <c r="A192" s="33" t="s">
        <v>140</v>
      </c>
      <c r="B192" s="33" t="s">
        <v>141</v>
      </c>
      <c r="C192" s="33">
        <v>29</v>
      </c>
      <c r="D192" s="33" t="s">
        <v>135</v>
      </c>
      <c r="E192" s="200">
        <v>0</v>
      </c>
      <c r="F192" s="199">
        <v>0</v>
      </c>
      <c r="G192" s="200">
        <v>0</v>
      </c>
      <c r="H192" s="199">
        <v>0</v>
      </c>
      <c r="I192" s="200">
        <v>0</v>
      </c>
      <c r="J192" s="199">
        <v>0</v>
      </c>
      <c r="K192" s="199">
        <v>0</v>
      </c>
      <c r="L192" s="199">
        <v>0</v>
      </c>
      <c r="M192" s="199">
        <v>0</v>
      </c>
      <c r="N192" s="199">
        <v>0</v>
      </c>
      <c r="O192" s="199">
        <v>0</v>
      </c>
      <c r="P192" s="199">
        <v>0</v>
      </c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5">
      <c r="A193" s="33" t="s">
        <v>140</v>
      </c>
      <c r="B193" s="33" t="s">
        <v>141</v>
      </c>
      <c r="C193" s="33">
        <v>30</v>
      </c>
      <c r="D193" s="33" t="s">
        <v>136</v>
      </c>
      <c r="E193" s="200">
        <v>0</v>
      </c>
      <c r="F193" s="199">
        <v>0</v>
      </c>
      <c r="G193" s="200">
        <v>0</v>
      </c>
      <c r="H193" s="199">
        <v>0</v>
      </c>
      <c r="I193" s="200">
        <v>0</v>
      </c>
      <c r="J193" s="199">
        <v>0</v>
      </c>
      <c r="K193" s="199">
        <v>0</v>
      </c>
      <c r="L193" s="199">
        <v>0</v>
      </c>
      <c r="M193" s="199">
        <v>0</v>
      </c>
      <c r="N193" s="199">
        <v>0</v>
      </c>
      <c r="O193" s="199">
        <v>0</v>
      </c>
      <c r="P193" s="199">
        <v>0</v>
      </c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5">
      <c r="A194" s="33" t="s">
        <v>140</v>
      </c>
      <c r="B194" s="33" t="s">
        <v>141</v>
      </c>
      <c r="C194" s="33">
        <v>31</v>
      </c>
      <c r="D194" s="33" t="s">
        <v>137</v>
      </c>
      <c r="E194" s="200">
        <v>0</v>
      </c>
      <c r="F194" s="199">
        <v>0</v>
      </c>
      <c r="G194" s="200">
        <v>0</v>
      </c>
      <c r="H194" s="199">
        <v>0</v>
      </c>
      <c r="I194" s="200">
        <v>0</v>
      </c>
      <c r="J194" s="199">
        <v>0</v>
      </c>
      <c r="K194" s="199">
        <v>0</v>
      </c>
      <c r="L194" s="199">
        <v>0</v>
      </c>
      <c r="M194" s="199">
        <v>0</v>
      </c>
      <c r="N194" s="199">
        <v>0</v>
      </c>
      <c r="O194" s="199">
        <v>0</v>
      </c>
      <c r="P194" s="199">
        <v>0</v>
      </c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5">
      <c r="A195" s="33" t="s">
        <v>140</v>
      </c>
      <c r="B195" s="33" t="s">
        <v>141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>
        <v>0</v>
      </c>
      <c r="J195" s="199">
        <v>0</v>
      </c>
      <c r="K195" s="199">
        <v>0</v>
      </c>
      <c r="L195" s="199">
        <v>0</v>
      </c>
      <c r="M195" s="199">
        <v>0</v>
      </c>
      <c r="N195" s="199">
        <v>0</v>
      </c>
      <c r="O195" s="199">
        <v>0</v>
      </c>
      <c r="P195" s="199">
        <v>0</v>
      </c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5">
      <c r="A196" s="33" t="s">
        <v>140</v>
      </c>
      <c r="B196" s="33" t="s">
        <v>141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>
        <v>0</v>
      </c>
      <c r="J196" s="199">
        <v>0</v>
      </c>
      <c r="K196" s="199">
        <v>0</v>
      </c>
      <c r="L196" s="199">
        <v>0</v>
      </c>
      <c r="M196" s="199">
        <v>0</v>
      </c>
      <c r="N196" s="199">
        <v>0</v>
      </c>
      <c r="O196" s="199">
        <v>0</v>
      </c>
      <c r="P196" s="199">
        <v>0</v>
      </c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5">
      <c r="A197" s="33" t="s">
        <v>140</v>
      </c>
      <c r="B197" s="33" t="s">
        <v>141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>
        <v>0</v>
      </c>
      <c r="J197" s="199">
        <v>0</v>
      </c>
      <c r="K197" s="199">
        <v>0</v>
      </c>
      <c r="L197" s="199">
        <v>0</v>
      </c>
      <c r="M197" s="199">
        <v>0</v>
      </c>
      <c r="N197" s="199">
        <v>0</v>
      </c>
      <c r="O197" s="199">
        <v>0</v>
      </c>
      <c r="P197" s="199">
        <v>0</v>
      </c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5">
      <c r="A198" s="33" t="s">
        <v>140</v>
      </c>
      <c r="B198" s="33" t="s">
        <v>141</v>
      </c>
      <c r="C198" s="33">
        <v>35</v>
      </c>
      <c r="D198" s="33" t="s">
        <v>73</v>
      </c>
      <c r="E198" s="200">
        <v>0</v>
      </c>
      <c r="F198" s="199">
        <v>-13639.36</v>
      </c>
      <c r="G198" s="200">
        <v>0</v>
      </c>
      <c r="H198" s="199">
        <v>1175.7</v>
      </c>
      <c r="I198" s="200">
        <v>0</v>
      </c>
      <c r="J198" s="199">
        <v>0</v>
      </c>
      <c r="K198" s="199">
        <v>0</v>
      </c>
      <c r="L198" s="199">
        <v>0</v>
      </c>
      <c r="M198" s="199">
        <v>0</v>
      </c>
      <c r="N198" s="199">
        <v>0</v>
      </c>
      <c r="O198" s="199">
        <v>0</v>
      </c>
      <c r="P198" s="199">
        <v>0</v>
      </c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5">
      <c r="A199" s="33" t="s">
        <v>140</v>
      </c>
      <c r="B199" s="33" t="s">
        <v>141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>
        <v>0</v>
      </c>
      <c r="J199" s="199">
        <v>0</v>
      </c>
      <c r="K199" s="199">
        <v>0</v>
      </c>
      <c r="L199" s="199">
        <v>0</v>
      </c>
      <c r="M199" s="199">
        <v>0</v>
      </c>
      <c r="N199" s="199">
        <v>0</v>
      </c>
      <c r="O199" s="199">
        <v>0</v>
      </c>
      <c r="P199" s="199">
        <v>0</v>
      </c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5">
      <c r="A200" s="33" t="s">
        <v>140</v>
      </c>
      <c r="B200" s="33" t="s">
        <v>141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>
        <v>0</v>
      </c>
      <c r="J200" s="199">
        <v>0</v>
      </c>
      <c r="K200" s="199">
        <v>0</v>
      </c>
      <c r="L200" s="199">
        <v>0</v>
      </c>
      <c r="M200" s="199">
        <v>0</v>
      </c>
      <c r="N200" s="199">
        <v>0</v>
      </c>
      <c r="O200" s="199">
        <v>0</v>
      </c>
      <c r="P200" s="199">
        <v>0</v>
      </c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5">
      <c r="A201" s="33" t="s">
        <v>140</v>
      </c>
      <c r="B201" s="33" t="s">
        <v>141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>
        <v>0</v>
      </c>
      <c r="J201" s="199">
        <v>0</v>
      </c>
      <c r="K201" s="199">
        <v>0</v>
      </c>
      <c r="L201" s="199">
        <v>0</v>
      </c>
      <c r="M201" s="199">
        <v>0</v>
      </c>
      <c r="N201" s="199">
        <v>0</v>
      </c>
      <c r="O201" s="199">
        <v>0</v>
      </c>
      <c r="P201" s="199">
        <v>0</v>
      </c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5">
      <c r="A202" s="33" t="s">
        <v>140</v>
      </c>
      <c r="B202" s="33" t="s">
        <v>141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>
        <v>0</v>
      </c>
      <c r="J202" s="199">
        <v>0</v>
      </c>
      <c r="K202" s="199">
        <v>0</v>
      </c>
      <c r="L202" s="199">
        <v>0</v>
      </c>
      <c r="M202" s="199">
        <v>0</v>
      </c>
      <c r="N202" s="199">
        <v>0</v>
      </c>
      <c r="O202" s="199">
        <v>0</v>
      </c>
      <c r="P202" s="199">
        <v>0</v>
      </c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5">
      <c r="A203" s="33" t="s">
        <v>140</v>
      </c>
      <c r="B203" s="33" t="s">
        <v>141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>
        <v>0</v>
      </c>
      <c r="J203" s="199">
        <v>0</v>
      </c>
      <c r="K203" s="199">
        <v>0</v>
      </c>
      <c r="L203" s="199">
        <v>0</v>
      </c>
      <c r="M203" s="199">
        <v>0</v>
      </c>
      <c r="N203" s="199">
        <v>0</v>
      </c>
      <c r="O203" s="199">
        <v>0</v>
      </c>
      <c r="P203" s="199">
        <v>0</v>
      </c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5">
      <c r="A204" s="33" t="s">
        <v>140</v>
      </c>
      <c r="B204" s="33" t="s">
        <v>202</v>
      </c>
      <c r="C204" s="33">
        <v>1</v>
      </c>
      <c r="D204" s="33" t="s">
        <v>25</v>
      </c>
      <c r="E204" s="200">
        <v>4255797</v>
      </c>
      <c r="F204" s="199">
        <v>9230933.0700000003</v>
      </c>
      <c r="G204" s="200">
        <v>-800585</v>
      </c>
      <c r="H204" s="199">
        <v>-1724157.76</v>
      </c>
      <c r="I204" s="200">
        <v>654073</v>
      </c>
      <c r="J204" s="199">
        <v>1426449.98</v>
      </c>
      <c r="K204" s="199">
        <v>0</v>
      </c>
      <c r="L204" s="199">
        <v>0</v>
      </c>
      <c r="M204" s="199">
        <v>0</v>
      </c>
      <c r="N204" s="199">
        <v>0</v>
      </c>
      <c r="O204" s="199">
        <v>0</v>
      </c>
      <c r="P204" s="199">
        <v>0</v>
      </c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5">
      <c r="A205" s="33" t="s">
        <v>140</v>
      </c>
      <c r="B205" s="33" t="s">
        <v>202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>
        <v>0</v>
      </c>
      <c r="J205" s="199">
        <v>0</v>
      </c>
      <c r="K205" s="199">
        <v>0</v>
      </c>
      <c r="L205" s="199">
        <v>0</v>
      </c>
      <c r="M205" s="199">
        <v>0</v>
      </c>
      <c r="N205" s="199">
        <v>0</v>
      </c>
      <c r="O205" s="199">
        <v>0</v>
      </c>
      <c r="P205" s="199">
        <v>0</v>
      </c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5">
      <c r="A206" s="33" t="s">
        <v>140</v>
      </c>
      <c r="B206" s="33" t="s">
        <v>202</v>
      </c>
      <c r="C206" s="33">
        <v>3</v>
      </c>
      <c r="D206" s="33" t="s">
        <v>27</v>
      </c>
      <c r="E206" s="200">
        <v>4105116</v>
      </c>
      <c r="F206" s="199">
        <v>9214231</v>
      </c>
      <c r="G206" s="200">
        <v>-3750647</v>
      </c>
      <c r="H206" s="199">
        <v>-8395295</v>
      </c>
      <c r="I206" s="200">
        <v>0</v>
      </c>
      <c r="J206" s="199">
        <v>0</v>
      </c>
      <c r="K206" s="199">
        <v>0</v>
      </c>
      <c r="L206" s="199">
        <v>0</v>
      </c>
      <c r="M206" s="199">
        <v>0</v>
      </c>
      <c r="N206" s="199">
        <v>0</v>
      </c>
      <c r="O206" s="199">
        <v>3750647</v>
      </c>
      <c r="P206" s="199">
        <v>8395295</v>
      </c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5">
      <c r="A207" s="33" t="s">
        <v>140</v>
      </c>
      <c r="B207" s="33" t="s">
        <v>202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>
        <v>0</v>
      </c>
      <c r="J207" s="199">
        <v>0</v>
      </c>
      <c r="K207" s="199">
        <v>0</v>
      </c>
      <c r="L207" s="199">
        <v>0</v>
      </c>
      <c r="M207" s="199">
        <v>0</v>
      </c>
      <c r="N207" s="199">
        <v>0</v>
      </c>
      <c r="O207" s="199">
        <v>0</v>
      </c>
      <c r="P207" s="199">
        <v>0</v>
      </c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5">
      <c r="A208" s="33" t="s">
        <v>140</v>
      </c>
      <c r="B208" s="33" t="s">
        <v>202</v>
      </c>
      <c r="C208" s="33">
        <v>5</v>
      </c>
      <c r="D208" s="33" t="s">
        <v>125</v>
      </c>
      <c r="E208" s="200">
        <v>0</v>
      </c>
      <c r="F208" s="199">
        <v>6132.42</v>
      </c>
      <c r="G208" s="200">
        <v>0</v>
      </c>
      <c r="H208" s="199">
        <v>0</v>
      </c>
      <c r="I208" s="200">
        <v>0</v>
      </c>
      <c r="J208" s="199">
        <v>0</v>
      </c>
      <c r="K208" s="199">
        <v>0</v>
      </c>
      <c r="L208" s="199">
        <v>0</v>
      </c>
      <c r="M208" s="199">
        <v>0</v>
      </c>
      <c r="N208" s="199">
        <v>0</v>
      </c>
      <c r="O208" s="199">
        <v>0</v>
      </c>
      <c r="P208" s="199">
        <v>0</v>
      </c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5">
      <c r="A209" s="33" t="s">
        <v>140</v>
      </c>
      <c r="B209" s="33" t="s">
        <v>202</v>
      </c>
      <c r="C209" s="33">
        <v>6</v>
      </c>
      <c r="D209" s="33" t="s">
        <v>25</v>
      </c>
      <c r="E209" s="200">
        <v>-5156799</v>
      </c>
      <c r="F209" s="199">
        <v>-11003538.18</v>
      </c>
      <c r="G209" s="200">
        <v>1015831</v>
      </c>
      <c r="H209" s="199">
        <v>2401256.29</v>
      </c>
      <c r="I209" s="200">
        <v>-739759</v>
      </c>
      <c r="J209" s="199">
        <v>-1586091.69</v>
      </c>
      <c r="K209" s="199">
        <v>0</v>
      </c>
      <c r="L209" s="199">
        <v>0</v>
      </c>
      <c r="M209" s="199">
        <v>0</v>
      </c>
      <c r="N209" s="199">
        <v>0</v>
      </c>
      <c r="O209" s="199">
        <v>0</v>
      </c>
      <c r="P209" s="199">
        <v>0</v>
      </c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5">
      <c r="A210" s="33" t="s">
        <v>140</v>
      </c>
      <c r="B210" s="33" t="s">
        <v>202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>
        <v>0</v>
      </c>
      <c r="J210" s="199">
        <v>0</v>
      </c>
      <c r="K210" s="199">
        <v>0</v>
      </c>
      <c r="L210" s="199">
        <v>0</v>
      </c>
      <c r="M210" s="199">
        <v>0</v>
      </c>
      <c r="N210" s="199">
        <v>0</v>
      </c>
      <c r="O210" s="199">
        <v>0</v>
      </c>
      <c r="P210" s="199">
        <v>0</v>
      </c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5">
      <c r="A211" s="33" t="s">
        <v>140</v>
      </c>
      <c r="B211" s="33" t="s">
        <v>202</v>
      </c>
      <c r="C211" s="33">
        <v>8</v>
      </c>
      <c r="D211" s="33" t="s">
        <v>27</v>
      </c>
      <c r="E211" s="200">
        <v>-3759464</v>
      </c>
      <c r="F211" s="199">
        <v>-8415663</v>
      </c>
      <c r="G211" s="200">
        <v>3759371</v>
      </c>
      <c r="H211" s="199">
        <v>8415444</v>
      </c>
      <c r="I211" s="200">
        <v>0</v>
      </c>
      <c r="J211" s="199">
        <v>0</v>
      </c>
      <c r="K211" s="199">
        <v>0</v>
      </c>
      <c r="L211" s="199">
        <v>0</v>
      </c>
      <c r="M211" s="199">
        <v>0</v>
      </c>
      <c r="N211" s="199">
        <v>0</v>
      </c>
      <c r="O211" s="199">
        <v>-3759371</v>
      </c>
      <c r="P211" s="199">
        <v>-8415444</v>
      </c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5">
      <c r="A212" s="33" t="s">
        <v>140</v>
      </c>
      <c r="B212" s="33" t="s">
        <v>202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>
        <v>0</v>
      </c>
      <c r="J212" s="199">
        <v>0</v>
      </c>
      <c r="K212" s="199">
        <v>0</v>
      </c>
      <c r="L212" s="199">
        <v>0</v>
      </c>
      <c r="M212" s="199">
        <v>0</v>
      </c>
      <c r="N212" s="199">
        <v>0</v>
      </c>
      <c r="O212" s="199">
        <v>0</v>
      </c>
      <c r="P212" s="199">
        <v>0</v>
      </c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5">
      <c r="A213" s="33" t="s">
        <v>140</v>
      </c>
      <c r="B213" s="33" t="s">
        <v>202</v>
      </c>
      <c r="C213" s="33">
        <v>10</v>
      </c>
      <c r="D213" s="33" t="s">
        <v>32</v>
      </c>
      <c r="E213" s="200">
        <v>2687</v>
      </c>
      <c r="F213" s="199">
        <v>5798.5460000000003</v>
      </c>
      <c r="G213" s="200">
        <v>0</v>
      </c>
      <c r="H213" s="199">
        <v>0</v>
      </c>
      <c r="I213" s="200">
        <v>0</v>
      </c>
      <c r="J213" s="199">
        <v>0</v>
      </c>
      <c r="K213" s="199">
        <v>0</v>
      </c>
      <c r="L213" s="199">
        <v>0</v>
      </c>
      <c r="M213" s="199">
        <v>0</v>
      </c>
      <c r="N213" s="199">
        <v>0</v>
      </c>
      <c r="O213" s="199">
        <v>0</v>
      </c>
      <c r="P213" s="199">
        <v>0</v>
      </c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5">
      <c r="A214" s="33" t="s">
        <v>140</v>
      </c>
      <c r="B214" s="33" t="s">
        <v>202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>
        <v>0</v>
      </c>
      <c r="J214" s="199">
        <v>0</v>
      </c>
      <c r="K214" s="199">
        <v>0</v>
      </c>
      <c r="L214" s="199">
        <v>0</v>
      </c>
      <c r="M214" s="199">
        <v>0</v>
      </c>
      <c r="N214" s="199">
        <v>0</v>
      </c>
      <c r="O214" s="199">
        <v>0</v>
      </c>
      <c r="P214" s="199">
        <v>0</v>
      </c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5">
      <c r="A215" s="33" t="s">
        <v>140</v>
      </c>
      <c r="B215" s="33" t="s">
        <v>202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>
        <v>0</v>
      </c>
      <c r="J215" s="199">
        <v>0</v>
      </c>
      <c r="K215" s="199">
        <v>0</v>
      </c>
      <c r="L215" s="199">
        <v>0</v>
      </c>
      <c r="M215" s="199">
        <v>0</v>
      </c>
      <c r="N215" s="199">
        <v>0</v>
      </c>
      <c r="O215" s="199">
        <v>0</v>
      </c>
      <c r="P215" s="199">
        <v>0</v>
      </c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5">
      <c r="A216" s="33" t="s">
        <v>140</v>
      </c>
      <c r="B216" s="33" t="s">
        <v>202</v>
      </c>
      <c r="C216" s="33">
        <v>13</v>
      </c>
      <c r="D216" s="33" t="s">
        <v>39</v>
      </c>
      <c r="E216" s="200">
        <v>69347</v>
      </c>
      <c r="F216" s="199">
        <v>171425.78400000001</v>
      </c>
      <c r="G216" s="200">
        <v>-72528</v>
      </c>
      <c r="H216" s="199">
        <v>-156515.424</v>
      </c>
      <c r="I216" s="200">
        <v>0</v>
      </c>
      <c r="J216" s="199">
        <v>0</v>
      </c>
      <c r="K216" s="199">
        <v>0</v>
      </c>
      <c r="L216" s="199">
        <v>0</v>
      </c>
      <c r="M216" s="199">
        <v>0</v>
      </c>
      <c r="N216" s="199">
        <v>0</v>
      </c>
      <c r="O216" s="199">
        <v>0</v>
      </c>
      <c r="P216" s="199">
        <v>0</v>
      </c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5">
      <c r="A217" s="33" t="s">
        <v>140</v>
      </c>
      <c r="B217" s="33" t="s">
        <v>202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>
        <v>0</v>
      </c>
      <c r="J217" s="199">
        <v>0</v>
      </c>
      <c r="K217" s="199">
        <v>0</v>
      </c>
      <c r="L217" s="199">
        <v>0</v>
      </c>
      <c r="M217" s="199">
        <v>0</v>
      </c>
      <c r="N217" s="199">
        <v>0</v>
      </c>
      <c r="O217" s="199">
        <v>0</v>
      </c>
      <c r="P217" s="199">
        <v>0</v>
      </c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5">
      <c r="A218" s="33" t="s">
        <v>140</v>
      </c>
      <c r="B218" s="33" t="s">
        <v>202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>
        <v>0</v>
      </c>
      <c r="J218" s="199">
        <v>0</v>
      </c>
      <c r="K218" s="199">
        <v>0</v>
      </c>
      <c r="L218" s="199">
        <v>0</v>
      </c>
      <c r="M218" s="199">
        <v>0</v>
      </c>
      <c r="N218" s="199">
        <v>0</v>
      </c>
      <c r="O218" s="199">
        <v>0</v>
      </c>
      <c r="P218" s="199">
        <v>0</v>
      </c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5">
      <c r="A219" s="33" t="s">
        <v>140</v>
      </c>
      <c r="B219" s="33" t="s">
        <v>202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>
        <v>0</v>
      </c>
      <c r="J219" s="199">
        <v>0</v>
      </c>
      <c r="K219" s="199">
        <v>0</v>
      </c>
      <c r="L219" s="199">
        <v>0</v>
      </c>
      <c r="M219" s="199">
        <v>0</v>
      </c>
      <c r="N219" s="199">
        <v>0</v>
      </c>
      <c r="O219" s="199">
        <v>0</v>
      </c>
      <c r="P219" s="199">
        <v>0</v>
      </c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5">
      <c r="A220" s="33" t="s">
        <v>140</v>
      </c>
      <c r="B220" s="33" t="s">
        <v>202</v>
      </c>
      <c r="C220" s="33">
        <v>17</v>
      </c>
      <c r="D220" s="33" t="s">
        <v>126</v>
      </c>
      <c r="E220" s="200">
        <v>0</v>
      </c>
      <c r="F220" s="199">
        <v>0</v>
      </c>
      <c r="G220" s="200">
        <v>0</v>
      </c>
      <c r="H220" s="199">
        <v>0</v>
      </c>
      <c r="I220" s="200">
        <v>0</v>
      </c>
      <c r="J220" s="199">
        <v>0</v>
      </c>
      <c r="K220" s="199">
        <v>0</v>
      </c>
      <c r="L220" s="199">
        <v>0</v>
      </c>
      <c r="M220" s="199">
        <v>0</v>
      </c>
      <c r="N220" s="199">
        <v>0</v>
      </c>
      <c r="O220" s="199">
        <v>0</v>
      </c>
      <c r="P220" s="199">
        <v>0</v>
      </c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5">
      <c r="A221" s="33" t="s">
        <v>140</v>
      </c>
      <c r="B221" s="33" t="s">
        <v>202</v>
      </c>
      <c r="C221" s="33">
        <v>18</v>
      </c>
      <c r="D221" s="33" t="s">
        <v>127</v>
      </c>
      <c r="E221" s="200">
        <v>0</v>
      </c>
      <c r="F221" s="199">
        <v>0</v>
      </c>
      <c r="G221" s="200">
        <v>0</v>
      </c>
      <c r="H221" s="199">
        <v>0</v>
      </c>
      <c r="I221" s="200">
        <v>0</v>
      </c>
      <c r="J221" s="199">
        <v>0</v>
      </c>
      <c r="K221" s="199">
        <v>0</v>
      </c>
      <c r="L221" s="199">
        <v>0</v>
      </c>
      <c r="M221" s="199">
        <v>0</v>
      </c>
      <c r="N221" s="199">
        <v>0</v>
      </c>
      <c r="O221" s="199">
        <v>0</v>
      </c>
      <c r="P221" s="199">
        <v>0</v>
      </c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5">
      <c r="A222" s="33" t="s">
        <v>140</v>
      </c>
      <c r="B222" s="33" t="s">
        <v>202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>
        <v>0</v>
      </c>
      <c r="J222" s="199">
        <v>0</v>
      </c>
      <c r="K222" s="199">
        <v>0</v>
      </c>
      <c r="L222" s="199">
        <v>0</v>
      </c>
      <c r="M222" s="199">
        <v>0</v>
      </c>
      <c r="N222" s="199">
        <v>0</v>
      </c>
      <c r="O222" s="199">
        <v>0</v>
      </c>
      <c r="P222" s="199">
        <v>0</v>
      </c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5">
      <c r="A223" s="33" t="s">
        <v>140</v>
      </c>
      <c r="B223" s="33" t="s">
        <v>202</v>
      </c>
      <c r="C223" s="33">
        <v>20</v>
      </c>
      <c r="D223" s="33" t="s">
        <v>128</v>
      </c>
      <c r="E223" s="200">
        <v>0</v>
      </c>
      <c r="F223" s="199">
        <v>0</v>
      </c>
      <c r="G223" s="200">
        <v>0</v>
      </c>
      <c r="H223" s="199">
        <v>0</v>
      </c>
      <c r="I223" s="200">
        <v>0</v>
      </c>
      <c r="J223" s="199">
        <v>0</v>
      </c>
      <c r="K223" s="199">
        <v>0</v>
      </c>
      <c r="L223" s="199">
        <v>0</v>
      </c>
      <c r="M223" s="199">
        <v>0</v>
      </c>
      <c r="N223" s="199">
        <v>0</v>
      </c>
      <c r="O223" s="199">
        <v>0</v>
      </c>
      <c r="P223" s="199">
        <v>0</v>
      </c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5">
      <c r="A224" s="33" t="s">
        <v>140</v>
      </c>
      <c r="B224" s="33" t="s">
        <v>202</v>
      </c>
      <c r="C224" s="33">
        <v>21</v>
      </c>
      <c r="D224" s="33" t="s">
        <v>129</v>
      </c>
      <c r="E224" s="200">
        <v>0</v>
      </c>
      <c r="F224" s="199">
        <v>0</v>
      </c>
      <c r="G224" s="200">
        <v>0</v>
      </c>
      <c r="H224" s="199">
        <v>0</v>
      </c>
      <c r="I224" s="200">
        <v>0</v>
      </c>
      <c r="J224" s="199">
        <v>0</v>
      </c>
      <c r="K224" s="199">
        <v>0</v>
      </c>
      <c r="L224" s="199">
        <v>0</v>
      </c>
      <c r="M224" s="199">
        <v>0</v>
      </c>
      <c r="N224" s="199">
        <v>0</v>
      </c>
      <c r="O224" s="199">
        <v>0</v>
      </c>
      <c r="P224" s="199">
        <v>0</v>
      </c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5">
      <c r="A225" s="33" t="s">
        <v>140</v>
      </c>
      <c r="B225" s="33" t="s">
        <v>202</v>
      </c>
      <c r="C225" s="33">
        <v>22</v>
      </c>
      <c r="D225" s="33" t="s">
        <v>130</v>
      </c>
      <c r="E225" s="200">
        <v>483316</v>
      </c>
      <c r="F225" s="199">
        <v>1042995.928</v>
      </c>
      <c r="G225" s="200">
        <v>-151442</v>
      </c>
      <c r="H225" s="199">
        <v>-326811.83600000001</v>
      </c>
      <c r="I225" s="200">
        <v>85686</v>
      </c>
      <c r="J225" s="199">
        <v>184910.38800000001</v>
      </c>
      <c r="K225" s="199">
        <v>0</v>
      </c>
      <c r="L225" s="199">
        <v>0</v>
      </c>
      <c r="M225" s="199">
        <v>0</v>
      </c>
      <c r="N225" s="199">
        <v>0</v>
      </c>
      <c r="O225" s="199">
        <v>8724</v>
      </c>
      <c r="P225" s="199">
        <v>18826.392</v>
      </c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5">
      <c r="A226" s="33" t="s">
        <v>140</v>
      </c>
      <c r="B226" s="33" t="s">
        <v>202</v>
      </c>
      <c r="C226" s="33">
        <v>23</v>
      </c>
      <c r="D226" s="33" t="s">
        <v>131</v>
      </c>
      <c r="E226" s="200">
        <v>-2687</v>
      </c>
      <c r="F226" s="199">
        <v>-5798.5460000000003</v>
      </c>
      <c r="G226" s="200">
        <v>0</v>
      </c>
      <c r="H226" s="199">
        <v>0</v>
      </c>
      <c r="I226" s="200">
        <v>0</v>
      </c>
      <c r="J226" s="199">
        <v>0</v>
      </c>
      <c r="K226" s="199">
        <v>0</v>
      </c>
      <c r="L226" s="199">
        <v>0</v>
      </c>
      <c r="M226" s="199">
        <v>0</v>
      </c>
      <c r="N226" s="199">
        <v>0</v>
      </c>
      <c r="O226" s="199">
        <v>0</v>
      </c>
      <c r="P226" s="199">
        <v>0</v>
      </c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5">
      <c r="A227" s="33" t="s">
        <v>140</v>
      </c>
      <c r="B227" s="33" t="s">
        <v>202</v>
      </c>
      <c r="C227" s="33">
        <v>24</v>
      </c>
      <c r="D227" s="33" t="s">
        <v>55</v>
      </c>
      <c r="E227" s="200">
        <v>-7210765</v>
      </c>
      <c r="F227" s="199">
        <v>-87576.6</v>
      </c>
      <c r="G227" s="200">
        <v>1817205</v>
      </c>
      <c r="H227" s="199">
        <v>-39282.769999999997</v>
      </c>
      <c r="I227" s="200">
        <v>-2182684</v>
      </c>
      <c r="J227" s="199">
        <v>0</v>
      </c>
      <c r="K227" s="199">
        <v>72746</v>
      </c>
      <c r="L227" s="199">
        <v>18356.28</v>
      </c>
      <c r="M227" s="199">
        <v>0</v>
      </c>
      <c r="N227" s="199">
        <v>0</v>
      </c>
      <c r="O227" s="199">
        <v>-101506</v>
      </c>
      <c r="P227" s="199">
        <v>-23914.6</v>
      </c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5">
      <c r="A228" s="33" t="s">
        <v>140</v>
      </c>
      <c r="B228" s="33" t="s">
        <v>202</v>
      </c>
      <c r="C228" s="33">
        <v>25</v>
      </c>
      <c r="D228" s="33" t="s">
        <v>56</v>
      </c>
      <c r="E228" s="200">
        <v>0</v>
      </c>
      <c r="F228" s="199">
        <v>-718092.03</v>
      </c>
      <c r="G228" s="200">
        <v>0</v>
      </c>
      <c r="H228" s="199">
        <v>16113.92</v>
      </c>
      <c r="I228" s="200">
        <v>0</v>
      </c>
      <c r="J228" s="199">
        <v>0</v>
      </c>
      <c r="K228" s="199">
        <v>0</v>
      </c>
      <c r="L228" s="199">
        <v>0</v>
      </c>
      <c r="M228" s="199">
        <v>0</v>
      </c>
      <c r="N228" s="199">
        <v>0</v>
      </c>
      <c r="O228" s="199">
        <v>0</v>
      </c>
      <c r="P228" s="199">
        <v>0</v>
      </c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5">
      <c r="A229" s="33" t="s">
        <v>140</v>
      </c>
      <c r="B229" s="33" t="s">
        <v>202</v>
      </c>
      <c r="C229" s="33">
        <v>26</v>
      </c>
      <c r="D229" s="33" t="s">
        <v>132</v>
      </c>
      <c r="E229" s="200">
        <v>0</v>
      </c>
      <c r="F229" s="199">
        <v>0</v>
      </c>
      <c r="G229" s="200">
        <v>0</v>
      </c>
      <c r="H229" s="199">
        <v>0</v>
      </c>
      <c r="I229" s="200">
        <v>0</v>
      </c>
      <c r="J229" s="199">
        <v>0</v>
      </c>
      <c r="K229" s="199">
        <v>0</v>
      </c>
      <c r="L229" s="199">
        <v>0</v>
      </c>
      <c r="M229" s="199">
        <v>0</v>
      </c>
      <c r="N229" s="199">
        <v>0</v>
      </c>
      <c r="O229" s="199">
        <v>0</v>
      </c>
      <c r="P229" s="199">
        <v>0</v>
      </c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5">
      <c r="A230" s="33" t="s">
        <v>140</v>
      </c>
      <c r="B230" s="33" t="s">
        <v>202</v>
      </c>
      <c r="C230" s="33">
        <v>27</v>
      </c>
      <c r="D230" s="33" t="s">
        <v>133</v>
      </c>
      <c r="E230" s="200">
        <v>0</v>
      </c>
      <c r="F230" s="199">
        <v>0</v>
      </c>
      <c r="G230" s="200">
        <v>0</v>
      </c>
      <c r="H230" s="199">
        <v>0</v>
      </c>
      <c r="I230" s="200">
        <v>0</v>
      </c>
      <c r="J230" s="199">
        <v>0</v>
      </c>
      <c r="K230" s="199">
        <v>0</v>
      </c>
      <c r="L230" s="199">
        <v>0</v>
      </c>
      <c r="M230" s="199">
        <v>0</v>
      </c>
      <c r="N230" s="199">
        <v>0</v>
      </c>
      <c r="O230" s="199">
        <v>0</v>
      </c>
      <c r="P230" s="199">
        <v>0</v>
      </c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5">
      <c r="A231" s="33" t="s">
        <v>140</v>
      </c>
      <c r="B231" s="33" t="s">
        <v>202</v>
      </c>
      <c r="C231" s="33">
        <v>28</v>
      </c>
      <c r="D231" s="33" t="s">
        <v>134</v>
      </c>
      <c r="E231" s="200">
        <v>0</v>
      </c>
      <c r="F231" s="199">
        <v>0</v>
      </c>
      <c r="G231" s="200">
        <v>0</v>
      </c>
      <c r="H231" s="199">
        <v>0</v>
      </c>
      <c r="I231" s="200">
        <v>0</v>
      </c>
      <c r="J231" s="199">
        <v>0</v>
      </c>
      <c r="K231" s="199">
        <v>0</v>
      </c>
      <c r="L231" s="199">
        <v>0</v>
      </c>
      <c r="M231" s="199">
        <v>0</v>
      </c>
      <c r="N231" s="199">
        <v>0</v>
      </c>
      <c r="O231" s="199">
        <v>0</v>
      </c>
      <c r="P231" s="199">
        <v>0</v>
      </c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5">
      <c r="A232" s="33" t="s">
        <v>140</v>
      </c>
      <c r="B232" s="33" t="s">
        <v>202</v>
      </c>
      <c r="C232" s="33">
        <v>29</v>
      </c>
      <c r="D232" s="33" t="s">
        <v>135</v>
      </c>
      <c r="E232" s="200">
        <v>0</v>
      </c>
      <c r="F232" s="199">
        <v>0</v>
      </c>
      <c r="G232" s="200">
        <v>0</v>
      </c>
      <c r="H232" s="199">
        <v>0</v>
      </c>
      <c r="I232" s="200">
        <v>0</v>
      </c>
      <c r="J232" s="199">
        <v>0</v>
      </c>
      <c r="K232" s="199">
        <v>0</v>
      </c>
      <c r="L232" s="199">
        <v>0</v>
      </c>
      <c r="M232" s="199">
        <v>0</v>
      </c>
      <c r="N232" s="199">
        <v>0</v>
      </c>
      <c r="O232" s="199">
        <v>0</v>
      </c>
      <c r="P232" s="199">
        <v>0</v>
      </c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5">
      <c r="A233" s="33" t="s">
        <v>140</v>
      </c>
      <c r="B233" s="33" t="s">
        <v>202</v>
      </c>
      <c r="C233" s="33">
        <v>30</v>
      </c>
      <c r="D233" s="33" t="s">
        <v>136</v>
      </c>
      <c r="E233" s="200">
        <v>0</v>
      </c>
      <c r="F233" s="199">
        <v>0</v>
      </c>
      <c r="G233" s="200">
        <v>0</v>
      </c>
      <c r="H233" s="199">
        <v>0</v>
      </c>
      <c r="I233" s="200">
        <v>0</v>
      </c>
      <c r="J233" s="199">
        <v>0</v>
      </c>
      <c r="K233" s="199">
        <v>0</v>
      </c>
      <c r="L233" s="199">
        <v>0</v>
      </c>
      <c r="M233" s="199">
        <v>0</v>
      </c>
      <c r="N233" s="199">
        <v>0</v>
      </c>
      <c r="O233" s="199">
        <v>0</v>
      </c>
      <c r="P233" s="199">
        <v>0</v>
      </c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5">
      <c r="A234" s="33" t="s">
        <v>140</v>
      </c>
      <c r="B234" s="33" t="s">
        <v>202</v>
      </c>
      <c r="C234" s="33">
        <v>31</v>
      </c>
      <c r="D234" s="33" t="s">
        <v>137</v>
      </c>
      <c r="E234" s="200">
        <v>0</v>
      </c>
      <c r="F234" s="199">
        <v>0</v>
      </c>
      <c r="G234" s="200">
        <v>0</v>
      </c>
      <c r="H234" s="199">
        <v>0</v>
      </c>
      <c r="I234" s="200">
        <v>0</v>
      </c>
      <c r="J234" s="199">
        <v>0</v>
      </c>
      <c r="K234" s="199">
        <v>0</v>
      </c>
      <c r="L234" s="199">
        <v>0</v>
      </c>
      <c r="M234" s="199">
        <v>0</v>
      </c>
      <c r="N234" s="199">
        <v>0</v>
      </c>
      <c r="O234" s="199">
        <v>0</v>
      </c>
      <c r="P234" s="199">
        <v>0</v>
      </c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5">
      <c r="A235" s="33" t="s">
        <v>140</v>
      </c>
      <c r="B235" s="33" t="s">
        <v>202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>
        <v>0</v>
      </c>
      <c r="J235" s="199">
        <v>0</v>
      </c>
      <c r="K235" s="199">
        <v>0</v>
      </c>
      <c r="L235" s="199">
        <v>0</v>
      </c>
      <c r="M235" s="199">
        <v>0</v>
      </c>
      <c r="N235" s="199">
        <v>0</v>
      </c>
      <c r="O235" s="199">
        <v>0</v>
      </c>
      <c r="P235" s="199">
        <v>0</v>
      </c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5">
      <c r="A236" s="33" t="s">
        <v>140</v>
      </c>
      <c r="B236" s="33" t="s">
        <v>202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>
        <v>0</v>
      </c>
      <c r="J236" s="199">
        <v>0</v>
      </c>
      <c r="K236" s="199">
        <v>0</v>
      </c>
      <c r="L236" s="199">
        <v>0</v>
      </c>
      <c r="M236" s="199">
        <v>0</v>
      </c>
      <c r="N236" s="199">
        <v>0</v>
      </c>
      <c r="O236" s="199">
        <v>0</v>
      </c>
      <c r="P236" s="199">
        <v>0</v>
      </c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5">
      <c r="A237" s="33" t="s">
        <v>140</v>
      </c>
      <c r="B237" s="33" t="s">
        <v>202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>
        <v>0</v>
      </c>
      <c r="J237" s="199">
        <v>0</v>
      </c>
      <c r="K237" s="199">
        <v>0</v>
      </c>
      <c r="L237" s="199">
        <v>0</v>
      </c>
      <c r="M237" s="199">
        <v>0</v>
      </c>
      <c r="N237" s="199">
        <v>0</v>
      </c>
      <c r="O237" s="199">
        <v>0</v>
      </c>
      <c r="P237" s="199">
        <v>0</v>
      </c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5">
      <c r="A238" s="33" t="s">
        <v>140</v>
      </c>
      <c r="B238" s="33" t="s">
        <v>202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>
        <v>0</v>
      </c>
      <c r="J238" s="199">
        <v>0</v>
      </c>
      <c r="K238" s="199">
        <v>0</v>
      </c>
      <c r="L238" s="199">
        <v>0</v>
      </c>
      <c r="M238" s="199">
        <v>0</v>
      </c>
      <c r="N238" s="199">
        <v>0</v>
      </c>
      <c r="O238" s="199">
        <v>0</v>
      </c>
      <c r="P238" s="199">
        <v>0</v>
      </c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5">
      <c r="A239" s="33" t="s">
        <v>140</v>
      </c>
      <c r="B239" s="33" t="s">
        <v>202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>
        <v>0</v>
      </c>
      <c r="J239" s="199">
        <v>0</v>
      </c>
      <c r="K239" s="199">
        <v>0</v>
      </c>
      <c r="L239" s="199">
        <v>0</v>
      </c>
      <c r="M239" s="199">
        <v>0</v>
      </c>
      <c r="N239" s="199">
        <v>0</v>
      </c>
      <c r="O239" s="199">
        <v>0</v>
      </c>
      <c r="P239" s="199">
        <v>0</v>
      </c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5">
      <c r="A240" s="33" t="s">
        <v>140</v>
      </c>
      <c r="B240" s="33" t="s">
        <v>202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>
        <v>0</v>
      </c>
      <c r="J240" s="199">
        <v>0</v>
      </c>
      <c r="K240" s="199">
        <v>0</v>
      </c>
      <c r="L240" s="199">
        <v>0</v>
      </c>
      <c r="M240" s="199">
        <v>0</v>
      </c>
      <c r="N240" s="199">
        <v>0</v>
      </c>
      <c r="O240" s="199">
        <v>0</v>
      </c>
      <c r="P240" s="199">
        <v>0</v>
      </c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5">
      <c r="A241" s="33" t="s">
        <v>140</v>
      </c>
      <c r="B241" s="33" t="s">
        <v>202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>
        <v>0</v>
      </c>
      <c r="J241" s="199">
        <v>0</v>
      </c>
      <c r="K241" s="199">
        <v>0</v>
      </c>
      <c r="L241" s="199">
        <v>0</v>
      </c>
      <c r="M241" s="199">
        <v>0</v>
      </c>
      <c r="N241" s="199">
        <v>0</v>
      </c>
      <c r="O241" s="199">
        <v>0</v>
      </c>
      <c r="P241" s="199">
        <v>0</v>
      </c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5">
      <c r="A242" s="33" t="s">
        <v>140</v>
      </c>
      <c r="B242" s="33" t="s">
        <v>202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>
        <v>0</v>
      </c>
      <c r="J242" s="199">
        <v>0</v>
      </c>
      <c r="K242" s="199">
        <v>0</v>
      </c>
      <c r="L242" s="199">
        <v>0</v>
      </c>
      <c r="M242" s="199">
        <v>0</v>
      </c>
      <c r="N242" s="199">
        <v>0</v>
      </c>
      <c r="O242" s="199">
        <v>0</v>
      </c>
      <c r="P242" s="199">
        <v>0</v>
      </c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5">
      <c r="A243" s="33" t="s">
        <v>140</v>
      </c>
      <c r="B243" s="33" t="s">
        <v>202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>
        <v>0</v>
      </c>
      <c r="J243" s="199">
        <v>0</v>
      </c>
      <c r="K243" s="199">
        <v>0</v>
      </c>
      <c r="L243" s="199">
        <v>0</v>
      </c>
      <c r="M243" s="199">
        <v>0</v>
      </c>
      <c r="N243" s="199">
        <v>0</v>
      </c>
      <c r="O243" s="199">
        <v>0</v>
      </c>
      <c r="P243" s="199">
        <v>0</v>
      </c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5">
      <c r="A244" s="33" t="s">
        <v>140</v>
      </c>
      <c r="B244" s="33" t="s">
        <v>142</v>
      </c>
      <c r="C244" s="33">
        <v>1</v>
      </c>
      <c r="D244" s="33" t="s">
        <v>25</v>
      </c>
      <c r="E244" s="200">
        <v>189746325</v>
      </c>
      <c r="F244" s="199">
        <v>467815212.26999998</v>
      </c>
      <c r="G244" s="200">
        <v>7253637</v>
      </c>
      <c r="H244" s="199">
        <v>21651971.629999999</v>
      </c>
      <c r="I244" s="200">
        <v>-5507898</v>
      </c>
      <c r="J244" s="199">
        <v>-12207516.93</v>
      </c>
      <c r="K244" s="199">
        <v>1559053</v>
      </c>
      <c r="L244" s="199">
        <v>3967928.63</v>
      </c>
      <c r="M244" s="199">
        <v>-3241300</v>
      </c>
      <c r="N244" s="199">
        <v>-4198933.42</v>
      </c>
      <c r="O244" s="199">
        <v>1192875</v>
      </c>
      <c r="P244" s="199">
        <v>3355596.96</v>
      </c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5">
      <c r="A245" s="33" t="s">
        <v>140</v>
      </c>
      <c r="B245" s="33" t="s">
        <v>142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>
        <v>0</v>
      </c>
      <c r="J245" s="199">
        <v>0</v>
      </c>
      <c r="K245" s="199">
        <v>0</v>
      </c>
      <c r="L245" s="199">
        <v>0</v>
      </c>
      <c r="M245" s="199">
        <v>0</v>
      </c>
      <c r="N245" s="199">
        <v>0</v>
      </c>
      <c r="O245" s="199">
        <v>0</v>
      </c>
      <c r="P245" s="199">
        <v>0</v>
      </c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5">
      <c r="A246" s="33" t="s">
        <v>140</v>
      </c>
      <c r="B246" s="33" t="s">
        <v>142</v>
      </c>
      <c r="C246" s="33">
        <v>3</v>
      </c>
      <c r="D246" s="33" t="s">
        <v>27</v>
      </c>
      <c r="E246" s="200">
        <v>71628606</v>
      </c>
      <c r="F246" s="199">
        <v>185895133</v>
      </c>
      <c r="G246" s="200">
        <v>-51333347</v>
      </c>
      <c r="H246" s="199">
        <v>-133933759</v>
      </c>
      <c r="I246" s="200">
        <v>4403</v>
      </c>
      <c r="J246" s="199">
        <v>14283</v>
      </c>
      <c r="K246" s="199">
        <v>-4300</v>
      </c>
      <c r="L246" s="199">
        <v>-9459</v>
      </c>
      <c r="M246" s="199">
        <v>0</v>
      </c>
      <c r="N246" s="199">
        <v>0</v>
      </c>
      <c r="O246" s="199">
        <v>51333244</v>
      </c>
      <c r="P246" s="199">
        <v>133928935</v>
      </c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5">
      <c r="A247" s="33" t="s">
        <v>140</v>
      </c>
      <c r="B247" s="33" t="s">
        <v>142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>
        <v>0</v>
      </c>
      <c r="J247" s="199">
        <v>0</v>
      </c>
      <c r="K247" s="199">
        <v>0</v>
      </c>
      <c r="L247" s="199">
        <v>0</v>
      </c>
      <c r="M247" s="199">
        <v>0</v>
      </c>
      <c r="N247" s="199">
        <v>0</v>
      </c>
      <c r="O247" s="199">
        <v>0</v>
      </c>
      <c r="P247" s="199">
        <v>0</v>
      </c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5">
      <c r="A248" s="33" t="s">
        <v>140</v>
      </c>
      <c r="B248" s="33" t="s">
        <v>142</v>
      </c>
      <c r="C248" s="33">
        <v>5</v>
      </c>
      <c r="D248" s="33" t="s">
        <v>125</v>
      </c>
      <c r="E248" s="200">
        <v>0</v>
      </c>
      <c r="F248" s="199">
        <v>14932935.800000001</v>
      </c>
      <c r="G248" s="200">
        <v>0</v>
      </c>
      <c r="H248" s="199">
        <v>254808.88</v>
      </c>
      <c r="I248" s="200">
        <v>0</v>
      </c>
      <c r="J248" s="199">
        <v>1901257.24</v>
      </c>
      <c r="K248" s="199">
        <v>0</v>
      </c>
      <c r="L248" s="199">
        <v>-29307.66</v>
      </c>
      <c r="M248" s="199">
        <v>0</v>
      </c>
      <c r="N248" s="199">
        <v>0</v>
      </c>
      <c r="O248" s="199">
        <v>0</v>
      </c>
      <c r="P248" s="199">
        <v>0</v>
      </c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5">
      <c r="A249" s="33" t="s">
        <v>140</v>
      </c>
      <c r="B249" s="33" t="s">
        <v>142</v>
      </c>
      <c r="C249" s="33">
        <v>6</v>
      </c>
      <c r="D249" s="33" t="s">
        <v>25</v>
      </c>
      <c r="E249" s="200">
        <v>-187210283</v>
      </c>
      <c r="F249" s="199">
        <v>-450026772.61000001</v>
      </c>
      <c r="G249" s="200">
        <v>-2313451</v>
      </c>
      <c r="H249" s="199">
        <v>-5902770.2499999991</v>
      </c>
      <c r="I249" s="200">
        <v>1907676</v>
      </c>
      <c r="J249" s="199">
        <v>3057392.04</v>
      </c>
      <c r="K249" s="199">
        <v>-1272513</v>
      </c>
      <c r="L249" s="199">
        <v>3507897.39</v>
      </c>
      <c r="M249" s="199">
        <v>1582532</v>
      </c>
      <c r="N249" s="199">
        <v>-78496.100000000006</v>
      </c>
      <c r="O249" s="199">
        <v>-38470</v>
      </c>
      <c r="P249" s="199">
        <v>232269.41</v>
      </c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5">
      <c r="A250" s="33" t="s">
        <v>140</v>
      </c>
      <c r="B250" s="33" t="s">
        <v>142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>
        <v>0</v>
      </c>
      <c r="J250" s="199">
        <v>0</v>
      </c>
      <c r="K250" s="199">
        <v>0</v>
      </c>
      <c r="L250" s="199">
        <v>0</v>
      </c>
      <c r="M250" s="199">
        <v>0</v>
      </c>
      <c r="N250" s="199">
        <v>0</v>
      </c>
      <c r="O250" s="199">
        <v>0</v>
      </c>
      <c r="P250" s="199">
        <v>0</v>
      </c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5">
      <c r="A251" s="33" t="s">
        <v>140</v>
      </c>
      <c r="B251" s="33" t="s">
        <v>142</v>
      </c>
      <c r="C251" s="33">
        <v>8</v>
      </c>
      <c r="D251" s="33" t="s">
        <v>27</v>
      </c>
      <c r="E251" s="200">
        <v>-71003668</v>
      </c>
      <c r="F251" s="199">
        <v>-187641099</v>
      </c>
      <c r="G251" s="200">
        <v>51204961</v>
      </c>
      <c r="H251" s="199">
        <v>133403760</v>
      </c>
      <c r="I251" s="200">
        <v>39502</v>
      </c>
      <c r="J251" s="199">
        <v>86114</v>
      </c>
      <c r="K251" s="199">
        <v>2473</v>
      </c>
      <c r="L251" s="199">
        <v>3233</v>
      </c>
      <c r="M251" s="199">
        <v>0</v>
      </c>
      <c r="N251" s="199">
        <v>0</v>
      </c>
      <c r="O251" s="199">
        <v>-51246936</v>
      </c>
      <c r="P251" s="199">
        <v>-133493105</v>
      </c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5">
      <c r="A252" s="33" t="s">
        <v>140</v>
      </c>
      <c r="B252" s="33" t="s">
        <v>142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>
        <v>0</v>
      </c>
      <c r="J252" s="199">
        <v>0</v>
      </c>
      <c r="K252" s="199">
        <v>0</v>
      </c>
      <c r="L252" s="199">
        <v>0</v>
      </c>
      <c r="M252" s="199">
        <v>0</v>
      </c>
      <c r="N252" s="199">
        <v>0</v>
      </c>
      <c r="O252" s="199">
        <v>0</v>
      </c>
      <c r="P252" s="199">
        <v>0</v>
      </c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5">
      <c r="A253" s="33" t="s">
        <v>140</v>
      </c>
      <c r="B253" s="33" t="s">
        <v>142</v>
      </c>
      <c r="C253" s="33">
        <v>10</v>
      </c>
      <c r="D253" s="33" t="s">
        <v>32</v>
      </c>
      <c r="E253" s="200">
        <v>1597692</v>
      </c>
      <c r="F253" s="199">
        <v>3749783.1239999998</v>
      </c>
      <c r="G253" s="200">
        <v>80718</v>
      </c>
      <c r="H253" s="199">
        <v>189445.14600000001</v>
      </c>
      <c r="I253" s="200">
        <v>-28325</v>
      </c>
      <c r="J253" s="199">
        <v>-66478.774999999994</v>
      </c>
      <c r="K253" s="199">
        <v>-211467</v>
      </c>
      <c r="L253" s="199">
        <v>-587814.549</v>
      </c>
      <c r="M253" s="199">
        <v>-106669</v>
      </c>
      <c r="N253" s="199">
        <v>-67349.142999999996</v>
      </c>
      <c r="O253" s="199">
        <v>5493</v>
      </c>
      <c r="P253" s="199">
        <v>12892.071</v>
      </c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5">
      <c r="A254" s="33" t="s">
        <v>140</v>
      </c>
      <c r="B254" s="33" t="s">
        <v>142</v>
      </c>
      <c r="C254" s="33">
        <v>11</v>
      </c>
      <c r="D254" s="33" t="s">
        <v>35</v>
      </c>
      <c r="E254" s="200">
        <v>11333350</v>
      </c>
      <c r="F254" s="199">
        <v>27144101</v>
      </c>
      <c r="G254" s="200">
        <v>0</v>
      </c>
      <c r="H254" s="199">
        <v>111625.23</v>
      </c>
      <c r="I254" s="200">
        <v>3876</v>
      </c>
      <c r="J254" s="199">
        <v>21007.93</v>
      </c>
      <c r="K254" s="199">
        <v>0</v>
      </c>
      <c r="L254" s="199">
        <v>0</v>
      </c>
      <c r="M254" s="199">
        <v>-62</v>
      </c>
      <c r="N254" s="199">
        <v>-11210.83</v>
      </c>
      <c r="O254" s="199">
        <v>0</v>
      </c>
      <c r="P254" s="199">
        <v>0</v>
      </c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5">
      <c r="A255" s="33" t="s">
        <v>140</v>
      </c>
      <c r="B255" s="33" t="s">
        <v>142</v>
      </c>
      <c r="C255" s="33">
        <v>12</v>
      </c>
      <c r="D255" s="33" t="s">
        <v>36</v>
      </c>
      <c r="E255" s="200">
        <v>-7755552</v>
      </c>
      <c r="F255" s="199">
        <v>-19018931.719999999</v>
      </c>
      <c r="G255" s="200">
        <v>-196782</v>
      </c>
      <c r="H255" s="199">
        <v>-462998.91</v>
      </c>
      <c r="I255" s="200">
        <v>-1</v>
      </c>
      <c r="J255" s="199">
        <v>1229.71</v>
      </c>
      <c r="K255" s="199">
        <v>0</v>
      </c>
      <c r="L255" s="199">
        <v>0</v>
      </c>
      <c r="M255" s="199">
        <v>1886</v>
      </c>
      <c r="N255" s="199">
        <v>4083.19</v>
      </c>
      <c r="O255" s="199">
        <v>5000</v>
      </c>
      <c r="P255" s="199">
        <v>11350</v>
      </c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5">
      <c r="A256" s="33" t="s">
        <v>140</v>
      </c>
      <c r="B256" s="33" t="s">
        <v>142</v>
      </c>
      <c r="C256" s="33">
        <v>13</v>
      </c>
      <c r="D256" s="33" t="s">
        <v>39</v>
      </c>
      <c r="E256" s="200">
        <v>-947426</v>
      </c>
      <c r="F256" s="199">
        <v>-2223608.8220000002</v>
      </c>
      <c r="G256" s="200">
        <v>1573714</v>
      </c>
      <c r="H256" s="199">
        <v>3693506.7579999999</v>
      </c>
      <c r="I256" s="200">
        <v>-3912142</v>
      </c>
      <c r="J256" s="199">
        <v>-9181797.2740000002</v>
      </c>
      <c r="K256" s="199">
        <v>1559653</v>
      </c>
      <c r="L256" s="199">
        <v>3660505.591</v>
      </c>
      <c r="M256" s="199">
        <v>7278</v>
      </c>
      <c r="N256" s="199">
        <v>17081.466</v>
      </c>
      <c r="O256" s="199">
        <v>958558</v>
      </c>
      <c r="P256" s="199">
        <v>2249735.6260000002</v>
      </c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5">
      <c r="A257" s="33" t="s">
        <v>140</v>
      </c>
      <c r="B257" s="33" t="s">
        <v>142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-554147</v>
      </c>
      <c r="H257" s="199">
        <v>-1606345.77</v>
      </c>
      <c r="I257" s="200">
        <v>-2315616</v>
      </c>
      <c r="J257" s="199">
        <v>-5865.47</v>
      </c>
      <c r="K257" s="199">
        <v>-236259</v>
      </c>
      <c r="L257" s="199">
        <v>-595026.32999999996</v>
      </c>
      <c r="M257" s="199">
        <v>-401356</v>
      </c>
      <c r="N257" s="199">
        <v>-947314.64</v>
      </c>
      <c r="O257" s="199">
        <v>-710737</v>
      </c>
      <c r="P257" s="199">
        <v>-169560.55</v>
      </c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5">
      <c r="A258" s="33" t="s">
        <v>140</v>
      </c>
      <c r="B258" s="33" t="s">
        <v>142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45566</v>
      </c>
      <c r="H258" s="199">
        <v>159040.41</v>
      </c>
      <c r="I258" s="200">
        <v>2392518</v>
      </c>
      <c r="J258" s="199">
        <v>151691.6</v>
      </c>
      <c r="K258" s="199">
        <v>95225</v>
      </c>
      <c r="L258" s="199">
        <v>729145.83</v>
      </c>
      <c r="M258" s="199">
        <v>346609</v>
      </c>
      <c r="N258" s="199">
        <v>216730.58</v>
      </c>
      <c r="O258" s="199">
        <v>9436</v>
      </c>
      <c r="P258" s="199">
        <v>23544.49</v>
      </c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5">
      <c r="A259" s="33" t="s">
        <v>140</v>
      </c>
      <c r="B259" s="33" t="s">
        <v>142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>
        <v>-730000</v>
      </c>
      <c r="J259" s="199">
        <v>-0.01</v>
      </c>
      <c r="K259" s="199">
        <v>0</v>
      </c>
      <c r="L259" s="199">
        <v>0</v>
      </c>
      <c r="M259" s="199">
        <v>0</v>
      </c>
      <c r="N259" s="199">
        <v>0</v>
      </c>
      <c r="O259" s="199">
        <v>0</v>
      </c>
      <c r="P259" s="199">
        <v>0</v>
      </c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5">
      <c r="A260" s="33" t="s">
        <v>140</v>
      </c>
      <c r="B260" s="33" t="s">
        <v>142</v>
      </c>
      <c r="C260" s="33">
        <v>17</v>
      </c>
      <c r="D260" s="33" t="s">
        <v>126</v>
      </c>
      <c r="E260" s="200">
        <v>4</v>
      </c>
      <c r="F260" s="199">
        <v>9.39</v>
      </c>
      <c r="G260" s="200">
        <v>20073</v>
      </c>
      <c r="H260" s="199">
        <v>47111.33</v>
      </c>
      <c r="I260" s="200">
        <v>-20081</v>
      </c>
      <c r="J260" s="199">
        <v>-47130.12</v>
      </c>
      <c r="K260" s="199">
        <v>0</v>
      </c>
      <c r="L260" s="199">
        <v>0</v>
      </c>
      <c r="M260" s="199">
        <v>0</v>
      </c>
      <c r="N260" s="199">
        <v>0</v>
      </c>
      <c r="O260" s="199">
        <v>0</v>
      </c>
      <c r="P260" s="199">
        <v>0</v>
      </c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5">
      <c r="A261" s="33" t="s">
        <v>140</v>
      </c>
      <c r="B261" s="33" t="s">
        <v>142</v>
      </c>
      <c r="C261" s="33">
        <v>18</v>
      </c>
      <c r="D261" s="33" t="s">
        <v>127</v>
      </c>
      <c r="E261" s="200">
        <v>-3453689</v>
      </c>
      <c r="F261" s="199">
        <v>-8713594.5299999993</v>
      </c>
      <c r="G261" s="200">
        <v>90257</v>
      </c>
      <c r="H261" s="199">
        <v>226424.36</v>
      </c>
      <c r="I261" s="200">
        <v>-472988</v>
      </c>
      <c r="J261" s="199">
        <v>-761114.41</v>
      </c>
      <c r="K261" s="199">
        <v>-268386</v>
      </c>
      <c r="L261" s="199">
        <v>-682045.15</v>
      </c>
      <c r="M261" s="199">
        <v>0</v>
      </c>
      <c r="N261" s="199">
        <v>0</v>
      </c>
      <c r="O261" s="199">
        <v>-244612</v>
      </c>
      <c r="P261" s="199">
        <v>-582332.89</v>
      </c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5">
      <c r="A262" s="33" t="s">
        <v>140</v>
      </c>
      <c r="B262" s="33" t="s">
        <v>142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>
        <v>0</v>
      </c>
      <c r="J262" s="199">
        <v>0</v>
      </c>
      <c r="K262" s="199">
        <v>0</v>
      </c>
      <c r="L262" s="199">
        <v>0</v>
      </c>
      <c r="M262" s="199">
        <v>0</v>
      </c>
      <c r="N262" s="199">
        <v>0</v>
      </c>
      <c r="O262" s="199">
        <v>0</v>
      </c>
      <c r="P262" s="199">
        <v>0</v>
      </c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5">
      <c r="A263" s="33" t="s">
        <v>140</v>
      </c>
      <c r="B263" s="33" t="s">
        <v>142</v>
      </c>
      <c r="C263" s="33">
        <v>20</v>
      </c>
      <c r="D263" s="33" t="s">
        <v>128</v>
      </c>
      <c r="E263" s="200">
        <v>0</v>
      </c>
      <c r="F263" s="199">
        <v>0</v>
      </c>
      <c r="G263" s="200">
        <v>0</v>
      </c>
      <c r="H263" s="199">
        <v>0</v>
      </c>
      <c r="I263" s="200">
        <v>0</v>
      </c>
      <c r="J263" s="199">
        <v>0</v>
      </c>
      <c r="K263" s="199">
        <v>0</v>
      </c>
      <c r="L263" s="199">
        <v>0</v>
      </c>
      <c r="M263" s="199">
        <v>0</v>
      </c>
      <c r="N263" s="199">
        <v>0</v>
      </c>
      <c r="O263" s="199">
        <v>0</v>
      </c>
      <c r="P263" s="199">
        <v>0</v>
      </c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5">
      <c r="A264" s="33" t="s">
        <v>140</v>
      </c>
      <c r="B264" s="33" t="s">
        <v>142</v>
      </c>
      <c r="C264" s="33">
        <v>21</v>
      </c>
      <c r="D264" s="33" t="s">
        <v>129</v>
      </c>
      <c r="E264" s="200">
        <v>0</v>
      </c>
      <c r="F264" s="199">
        <v>0</v>
      </c>
      <c r="G264" s="200">
        <v>0</v>
      </c>
      <c r="H264" s="199">
        <v>0</v>
      </c>
      <c r="I264" s="200">
        <v>0</v>
      </c>
      <c r="J264" s="199">
        <v>0</v>
      </c>
      <c r="K264" s="199">
        <v>0</v>
      </c>
      <c r="L264" s="199">
        <v>0</v>
      </c>
      <c r="M264" s="199">
        <v>0</v>
      </c>
      <c r="N264" s="199">
        <v>0</v>
      </c>
      <c r="O264" s="199">
        <v>0</v>
      </c>
      <c r="P264" s="199">
        <v>0</v>
      </c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5">
      <c r="A265" s="33" t="s">
        <v>140</v>
      </c>
      <c r="B265" s="33" t="s">
        <v>142</v>
      </c>
      <c r="C265" s="33">
        <v>22</v>
      </c>
      <c r="D265" s="33" t="s">
        <v>130</v>
      </c>
      <c r="E265" s="200">
        <v>-3935359</v>
      </c>
      <c r="F265" s="199">
        <v>-9236287.5730000008</v>
      </c>
      <c r="G265" s="200">
        <v>-5871199</v>
      </c>
      <c r="H265" s="199">
        <v>-13779704.052999998</v>
      </c>
      <c r="I265" s="200">
        <v>8639076</v>
      </c>
      <c r="J265" s="199">
        <v>20275911.372000001</v>
      </c>
      <c r="K265" s="199">
        <v>-1223479</v>
      </c>
      <c r="L265" s="199">
        <v>-2871505.213</v>
      </c>
      <c r="M265" s="199">
        <v>1811082</v>
      </c>
      <c r="N265" s="199">
        <v>4250609.4539999999</v>
      </c>
      <c r="O265" s="199">
        <v>-1263851</v>
      </c>
      <c r="P265" s="199">
        <v>-2966258.2969999998</v>
      </c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5">
      <c r="A266" s="33" t="s">
        <v>140</v>
      </c>
      <c r="B266" s="33" t="s">
        <v>142</v>
      </c>
      <c r="C266" s="33">
        <v>23</v>
      </c>
      <c r="D266" s="33" t="s">
        <v>131</v>
      </c>
      <c r="E266" s="200">
        <v>-1597692</v>
      </c>
      <c r="F266" s="199">
        <v>-3749783.1239999998</v>
      </c>
      <c r="G266" s="200">
        <v>-80718</v>
      </c>
      <c r="H266" s="199">
        <v>-189445.14600000001</v>
      </c>
      <c r="I266" s="200">
        <v>28325</v>
      </c>
      <c r="J266" s="199">
        <v>66478.774999999994</v>
      </c>
      <c r="K266" s="199">
        <v>-520545</v>
      </c>
      <c r="L266" s="199">
        <v>-1221719.115</v>
      </c>
      <c r="M266" s="199">
        <v>1570693</v>
      </c>
      <c r="N266" s="199">
        <v>3686416.4709999999</v>
      </c>
      <c r="O266" s="199">
        <v>-5493</v>
      </c>
      <c r="P266" s="199">
        <v>-12892.071</v>
      </c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5">
      <c r="A267" s="33" t="s">
        <v>140</v>
      </c>
      <c r="B267" s="33" t="s">
        <v>142</v>
      </c>
      <c r="C267" s="33">
        <v>24</v>
      </c>
      <c r="D267" s="33" t="s">
        <v>55</v>
      </c>
      <c r="E267" s="200">
        <v>-157687723</v>
      </c>
      <c r="F267" s="199">
        <v>-2362930</v>
      </c>
      <c r="G267" s="200">
        <v>28139750</v>
      </c>
      <c r="H267" s="199">
        <v>1049202.02</v>
      </c>
      <c r="I267" s="200">
        <v>-1173052</v>
      </c>
      <c r="J267" s="199">
        <v>-1656853.35</v>
      </c>
      <c r="K267" s="199">
        <v>-1059727</v>
      </c>
      <c r="L267" s="199">
        <v>-56713.25</v>
      </c>
      <c r="M267" s="199">
        <v>-8398484</v>
      </c>
      <c r="N267" s="199">
        <v>-218497.97</v>
      </c>
      <c r="O267" s="199">
        <v>-175837</v>
      </c>
      <c r="P267" s="199">
        <v>941283.21</v>
      </c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5">
      <c r="A268" s="33" t="s">
        <v>140</v>
      </c>
      <c r="B268" s="33" t="s">
        <v>142</v>
      </c>
      <c r="C268" s="33">
        <v>25</v>
      </c>
      <c r="D268" s="33" t="s">
        <v>56</v>
      </c>
      <c r="E268" s="200">
        <v>0</v>
      </c>
      <c r="F268" s="199">
        <v>-6131068.8900000006</v>
      </c>
      <c r="G268" s="200">
        <v>0</v>
      </c>
      <c r="H268" s="199">
        <v>-608301.96</v>
      </c>
      <c r="I268" s="200">
        <v>0</v>
      </c>
      <c r="J268" s="199">
        <v>-265948.82</v>
      </c>
      <c r="K268" s="199">
        <v>0</v>
      </c>
      <c r="L268" s="199">
        <v>5495.45</v>
      </c>
      <c r="M268" s="199">
        <v>0</v>
      </c>
      <c r="N268" s="199">
        <v>-5072.4399999999996</v>
      </c>
      <c r="O268" s="199">
        <v>0</v>
      </c>
      <c r="P268" s="199">
        <v>-206592.48</v>
      </c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5">
      <c r="A269" s="33" t="s">
        <v>140</v>
      </c>
      <c r="B269" s="33" t="s">
        <v>142</v>
      </c>
      <c r="C269" s="33">
        <v>26</v>
      </c>
      <c r="D269" s="33" t="s">
        <v>132</v>
      </c>
      <c r="E269" s="200">
        <v>0</v>
      </c>
      <c r="F269" s="199">
        <v>66216</v>
      </c>
      <c r="G269" s="200">
        <v>0</v>
      </c>
      <c r="H269" s="199">
        <v>-19359.169999999998</v>
      </c>
      <c r="I269" s="200">
        <v>0</v>
      </c>
      <c r="J269" s="199">
        <v>18325.72</v>
      </c>
      <c r="K269" s="199">
        <v>0</v>
      </c>
      <c r="L269" s="199">
        <v>0</v>
      </c>
      <c r="M269" s="199">
        <v>0</v>
      </c>
      <c r="N269" s="199">
        <v>0</v>
      </c>
      <c r="O269" s="199">
        <v>0</v>
      </c>
      <c r="P269" s="199">
        <v>0</v>
      </c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5">
      <c r="A270" s="33" t="s">
        <v>140</v>
      </c>
      <c r="B270" s="33" t="s">
        <v>142</v>
      </c>
      <c r="C270" s="33">
        <v>27</v>
      </c>
      <c r="D270" s="33" t="s">
        <v>133</v>
      </c>
      <c r="E270" s="200">
        <v>0</v>
      </c>
      <c r="F270" s="199">
        <v>0</v>
      </c>
      <c r="G270" s="200">
        <v>0</v>
      </c>
      <c r="H270" s="199">
        <v>0</v>
      </c>
      <c r="I270" s="200">
        <v>0</v>
      </c>
      <c r="J270" s="199">
        <v>0</v>
      </c>
      <c r="K270" s="199">
        <v>0</v>
      </c>
      <c r="L270" s="199">
        <v>0</v>
      </c>
      <c r="M270" s="199">
        <v>0</v>
      </c>
      <c r="N270" s="199">
        <v>0</v>
      </c>
      <c r="O270" s="199">
        <v>0</v>
      </c>
      <c r="P270" s="199">
        <v>0</v>
      </c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5">
      <c r="A271" s="33" t="s">
        <v>140</v>
      </c>
      <c r="B271" s="33" t="s">
        <v>142</v>
      </c>
      <c r="C271" s="33">
        <v>28</v>
      </c>
      <c r="D271" s="33" t="s">
        <v>134</v>
      </c>
      <c r="E271" s="200">
        <v>0</v>
      </c>
      <c r="F271" s="199">
        <v>0</v>
      </c>
      <c r="G271" s="200">
        <v>0</v>
      </c>
      <c r="H271" s="199">
        <v>0</v>
      </c>
      <c r="I271" s="200">
        <v>0</v>
      </c>
      <c r="J271" s="199">
        <v>0</v>
      </c>
      <c r="K271" s="199">
        <v>0</v>
      </c>
      <c r="L271" s="199">
        <v>0</v>
      </c>
      <c r="M271" s="199">
        <v>0</v>
      </c>
      <c r="N271" s="199">
        <v>0</v>
      </c>
      <c r="O271" s="199">
        <v>0</v>
      </c>
      <c r="P271" s="199">
        <v>0</v>
      </c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5">
      <c r="A272" s="33" t="s">
        <v>140</v>
      </c>
      <c r="B272" s="33" t="s">
        <v>142</v>
      </c>
      <c r="C272" s="33">
        <v>29</v>
      </c>
      <c r="D272" s="33" t="s">
        <v>135</v>
      </c>
      <c r="E272" s="200">
        <v>0</v>
      </c>
      <c r="F272" s="199">
        <v>0</v>
      </c>
      <c r="G272" s="200">
        <v>0</v>
      </c>
      <c r="H272" s="199">
        <v>0</v>
      </c>
      <c r="I272" s="200">
        <v>0</v>
      </c>
      <c r="J272" s="199">
        <v>0</v>
      </c>
      <c r="K272" s="199">
        <v>0</v>
      </c>
      <c r="L272" s="199">
        <v>0</v>
      </c>
      <c r="M272" s="199">
        <v>0</v>
      </c>
      <c r="N272" s="199">
        <v>0</v>
      </c>
      <c r="O272" s="199">
        <v>0</v>
      </c>
      <c r="P272" s="199">
        <v>0</v>
      </c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5">
      <c r="A273" s="33" t="s">
        <v>140</v>
      </c>
      <c r="B273" s="33" t="s">
        <v>142</v>
      </c>
      <c r="C273" s="33">
        <v>30</v>
      </c>
      <c r="D273" s="33" t="s">
        <v>136</v>
      </c>
      <c r="E273" s="200">
        <v>0</v>
      </c>
      <c r="F273" s="199">
        <v>0</v>
      </c>
      <c r="G273" s="200">
        <v>0</v>
      </c>
      <c r="H273" s="199">
        <v>0</v>
      </c>
      <c r="I273" s="200">
        <v>0</v>
      </c>
      <c r="J273" s="199">
        <v>0</v>
      </c>
      <c r="K273" s="199">
        <v>0</v>
      </c>
      <c r="L273" s="199">
        <v>0</v>
      </c>
      <c r="M273" s="199">
        <v>0</v>
      </c>
      <c r="N273" s="199">
        <v>0</v>
      </c>
      <c r="O273" s="199">
        <v>0</v>
      </c>
      <c r="P273" s="199">
        <v>0</v>
      </c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5">
      <c r="A274" s="33" t="s">
        <v>140</v>
      </c>
      <c r="B274" s="33" t="s">
        <v>142</v>
      </c>
      <c r="C274" s="33">
        <v>31</v>
      </c>
      <c r="D274" s="33" t="s">
        <v>137</v>
      </c>
      <c r="E274" s="200">
        <v>0</v>
      </c>
      <c r="F274" s="199">
        <v>0</v>
      </c>
      <c r="G274" s="200">
        <v>0</v>
      </c>
      <c r="H274" s="199">
        <v>0</v>
      </c>
      <c r="I274" s="200">
        <v>0</v>
      </c>
      <c r="J274" s="199">
        <v>0</v>
      </c>
      <c r="K274" s="199">
        <v>0</v>
      </c>
      <c r="L274" s="199">
        <v>0</v>
      </c>
      <c r="M274" s="199">
        <v>0</v>
      </c>
      <c r="N274" s="199">
        <v>0</v>
      </c>
      <c r="O274" s="199">
        <v>0</v>
      </c>
      <c r="P274" s="199">
        <v>0</v>
      </c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5">
      <c r="A275" s="33" t="s">
        <v>140</v>
      </c>
      <c r="B275" s="33" t="s">
        <v>142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>
        <v>0</v>
      </c>
      <c r="J275" s="199">
        <v>0</v>
      </c>
      <c r="K275" s="199">
        <v>0</v>
      </c>
      <c r="L275" s="199">
        <v>0</v>
      </c>
      <c r="M275" s="199">
        <v>0</v>
      </c>
      <c r="N275" s="199">
        <v>0</v>
      </c>
      <c r="O275" s="199">
        <v>0</v>
      </c>
      <c r="P275" s="199">
        <v>0</v>
      </c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5">
      <c r="A276" s="33" t="s">
        <v>140</v>
      </c>
      <c r="B276" s="33" t="s">
        <v>142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>
        <v>0</v>
      </c>
      <c r="J276" s="199">
        <v>0</v>
      </c>
      <c r="K276" s="199">
        <v>0</v>
      </c>
      <c r="L276" s="199">
        <v>0</v>
      </c>
      <c r="M276" s="199">
        <v>0</v>
      </c>
      <c r="N276" s="199">
        <v>0</v>
      </c>
      <c r="O276" s="199">
        <v>0</v>
      </c>
      <c r="P276" s="199">
        <v>0</v>
      </c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5">
      <c r="A277" s="33" t="s">
        <v>140</v>
      </c>
      <c r="B277" s="33" t="s">
        <v>142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>
        <v>0</v>
      </c>
      <c r="J277" s="199">
        <v>0</v>
      </c>
      <c r="K277" s="199">
        <v>0</v>
      </c>
      <c r="L277" s="199">
        <v>0</v>
      </c>
      <c r="M277" s="199">
        <v>0</v>
      </c>
      <c r="N277" s="199">
        <v>0</v>
      </c>
      <c r="O277" s="199">
        <v>0</v>
      </c>
      <c r="P277" s="199">
        <v>0</v>
      </c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5">
      <c r="A278" s="33" t="s">
        <v>140</v>
      </c>
      <c r="B278" s="33" t="s">
        <v>142</v>
      </c>
      <c r="C278" s="33">
        <v>35</v>
      </c>
      <c r="D278" s="33" t="s">
        <v>73</v>
      </c>
      <c r="E278" s="200">
        <v>0</v>
      </c>
      <c r="F278" s="199">
        <v>-8979.5400000000009</v>
      </c>
      <c r="G278" s="200">
        <v>0</v>
      </c>
      <c r="H278" s="199">
        <v>-3678.71</v>
      </c>
      <c r="I278" s="200">
        <v>0</v>
      </c>
      <c r="J278" s="199">
        <v>7129.76</v>
      </c>
      <c r="K278" s="199">
        <v>0</v>
      </c>
      <c r="L278" s="199">
        <v>0</v>
      </c>
      <c r="M278" s="199">
        <v>0</v>
      </c>
      <c r="N278" s="199">
        <v>5964.28</v>
      </c>
      <c r="O278" s="199">
        <v>0</v>
      </c>
      <c r="P278" s="199">
        <v>0</v>
      </c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5">
      <c r="A279" s="33" t="s">
        <v>140</v>
      </c>
      <c r="B279" s="33" t="s">
        <v>142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>
        <v>0</v>
      </c>
      <c r="J279" s="199">
        <v>0</v>
      </c>
      <c r="K279" s="199">
        <v>0</v>
      </c>
      <c r="L279" s="199">
        <v>0</v>
      </c>
      <c r="M279" s="199">
        <v>0</v>
      </c>
      <c r="N279" s="199">
        <v>0</v>
      </c>
      <c r="O279" s="199">
        <v>0</v>
      </c>
      <c r="P279" s="199">
        <v>0</v>
      </c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5">
      <c r="A280" s="33" t="s">
        <v>140</v>
      </c>
      <c r="B280" s="33" t="s">
        <v>142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>
        <v>0</v>
      </c>
      <c r="J280" s="199">
        <v>0</v>
      </c>
      <c r="K280" s="199">
        <v>0</v>
      </c>
      <c r="L280" s="199">
        <v>0</v>
      </c>
      <c r="M280" s="199">
        <v>0</v>
      </c>
      <c r="N280" s="199">
        <v>0</v>
      </c>
      <c r="O280" s="199">
        <v>0</v>
      </c>
      <c r="P280" s="199">
        <v>0</v>
      </c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5">
      <c r="A281" s="33" t="s">
        <v>140</v>
      </c>
      <c r="B281" s="33" t="s">
        <v>142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>
        <v>0</v>
      </c>
      <c r="J281" s="199">
        <v>0</v>
      </c>
      <c r="K281" s="199">
        <v>0</v>
      </c>
      <c r="L281" s="199">
        <v>0</v>
      </c>
      <c r="M281" s="199">
        <v>0</v>
      </c>
      <c r="N281" s="199">
        <v>0</v>
      </c>
      <c r="O281" s="199">
        <v>0</v>
      </c>
      <c r="P281" s="199">
        <v>0</v>
      </c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5">
      <c r="A282" s="33" t="s">
        <v>140</v>
      </c>
      <c r="B282" s="33" t="s">
        <v>142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>
        <v>0</v>
      </c>
      <c r="J282" s="199">
        <v>0</v>
      </c>
      <c r="K282" s="199">
        <v>0</v>
      </c>
      <c r="L282" s="199">
        <v>0</v>
      </c>
      <c r="M282" s="199">
        <v>0</v>
      </c>
      <c r="N282" s="199">
        <v>0</v>
      </c>
      <c r="O282" s="199">
        <v>0</v>
      </c>
      <c r="P282" s="199">
        <v>0</v>
      </c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5">
      <c r="A283" s="33" t="s">
        <v>140</v>
      </c>
      <c r="B283" s="33" t="s">
        <v>142</v>
      </c>
      <c r="C283" s="33">
        <v>40</v>
      </c>
      <c r="D283" s="33" t="s">
        <v>78</v>
      </c>
      <c r="E283" s="200">
        <v>0</v>
      </c>
      <c r="F283" s="199">
        <v>201134.56</v>
      </c>
      <c r="G283" s="200">
        <v>0</v>
      </c>
      <c r="H283" s="199">
        <v>25279.03</v>
      </c>
      <c r="I283" s="200">
        <v>0</v>
      </c>
      <c r="J283" s="199">
        <v>0</v>
      </c>
      <c r="K283" s="199">
        <v>0</v>
      </c>
      <c r="L283" s="199">
        <v>0</v>
      </c>
      <c r="M283" s="199">
        <v>0</v>
      </c>
      <c r="N283" s="199">
        <v>0</v>
      </c>
      <c r="O283" s="199">
        <v>0</v>
      </c>
      <c r="P283" s="199">
        <v>0</v>
      </c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5">
      <c r="A284" s="33" t="s">
        <v>140</v>
      </c>
      <c r="B284" s="33" t="s">
        <v>160</v>
      </c>
      <c r="C284" s="33">
        <v>1</v>
      </c>
      <c r="D284" s="33" t="s">
        <v>25</v>
      </c>
      <c r="E284" s="200">
        <v>37751028</v>
      </c>
      <c r="F284" s="199">
        <v>86842907.959999993</v>
      </c>
      <c r="G284" s="200">
        <v>0</v>
      </c>
      <c r="H284" s="199">
        <v>-243551.48</v>
      </c>
      <c r="I284" s="200">
        <v>0</v>
      </c>
      <c r="J284" s="199">
        <v>0</v>
      </c>
      <c r="K284" s="199">
        <v>627959</v>
      </c>
      <c r="L284" s="199">
        <v>1475703.84</v>
      </c>
      <c r="M284" s="199">
        <v>0</v>
      </c>
      <c r="N284" s="199">
        <v>0</v>
      </c>
      <c r="O284" s="199">
        <v>0</v>
      </c>
      <c r="P284" s="199">
        <v>0</v>
      </c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5">
      <c r="A285" s="33" t="s">
        <v>140</v>
      </c>
      <c r="B285" s="33" t="s">
        <v>160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>
        <v>0</v>
      </c>
      <c r="J285" s="199">
        <v>0</v>
      </c>
      <c r="K285" s="199">
        <v>0</v>
      </c>
      <c r="L285" s="199">
        <v>0</v>
      </c>
      <c r="M285" s="199">
        <v>0</v>
      </c>
      <c r="N285" s="199">
        <v>0</v>
      </c>
      <c r="O285" s="199">
        <v>0</v>
      </c>
      <c r="P285" s="199">
        <v>0</v>
      </c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5">
      <c r="A286" s="33" t="s">
        <v>140</v>
      </c>
      <c r="B286" s="33" t="s">
        <v>160</v>
      </c>
      <c r="C286" s="33">
        <v>3</v>
      </c>
      <c r="D286" s="33" t="s">
        <v>27</v>
      </c>
      <c r="E286" s="200">
        <v>3709833</v>
      </c>
      <c r="F286" s="199">
        <v>9157794</v>
      </c>
      <c r="G286" s="200">
        <v>-2009725</v>
      </c>
      <c r="H286" s="199">
        <v>-4881944</v>
      </c>
      <c r="I286" s="200">
        <v>0</v>
      </c>
      <c r="J286" s="199">
        <v>0</v>
      </c>
      <c r="K286" s="199">
        <v>545</v>
      </c>
      <c r="L286" s="199">
        <v>3564</v>
      </c>
      <c r="M286" s="199">
        <v>0</v>
      </c>
      <c r="N286" s="199">
        <v>0</v>
      </c>
      <c r="O286" s="199">
        <v>2009180</v>
      </c>
      <c r="P286" s="199">
        <v>4878380</v>
      </c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5">
      <c r="A287" s="33" t="s">
        <v>140</v>
      </c>
      <c r="B287" s="33" t="s">
        <v>160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>
        <v>0</v>
      </c>
      <c r="J287" s="199">
        <v>0</v>
      </c>
      <c r="K287" s="199">
        <v>0</v>
      </c>
      <c r="L287" s="199">
        <v>0</v>
      </c>
      <c r="M287" s="199">
        <v>0</v>
      </c>
      <c r="N287" s="199">
        <v>0</v>
      </c>
      <c r="O287" s="199">
        <v>0</v>
      </c>
      <c r="P287" s="199">
        <v>0</v>
      </c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5">
      <c r="A288" s="33" t="s">
        <v>140</v>
      </c>
      <c r="B288" s="33" t="s">
        <v>160</v>
      </c>
      <c r="C288" s="33">
        <v>5</v>
      </c>
      <c r="D288" s="33" t="s">
        <v>125</v>
      </c>
      <c r="E288" s="200">
        <v>0</v>
      </c>
      <c r="F288" s="199">
        <v>0</v>
      </c>
      <c r="G288" s="200">
        <v>0</v>
      </c>
      <c r="H288" s="199">
        <v>0</v>
      </c>
      <c r="I288" s="200">
        <v>0</v>
      </c>
      <c r="J288" s="199">
        <v>0</v>
      </c>
      <c r="K288" s="199">
        <v>0</v>
      </c>
      <c r="L288" s="199">
        <v>0</v>
      </c>
      <c r="M288" s="199">
        <v>0</v>
      </c>
      <c r="N288" s="199">
        <v>0</v>
      </c>
      <c r="O288" s="199">
        <v>0</v>
      </c>
      <c r="P288" s="199">
        <v>0</v>
      </c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5">
      <c r="A289" s="33" t="s">
        <v>140</v>
      </c>
      <c r="B289" s="33" t="s">
        <v>160</v>
      </c>
      <c r="C289" s="33">
        <v>6</v>
      </c>
      <c r="D289" s="33" t="s">
        <v>25</v>
      </c>
      <c r="E289" s="200">
        <v>-41086985</v>
      </c>
      <c r="F289" s="199">
        <v>-95951544.220000014</v>
      </c>
      <c r="G289" s="200">
        <v>-2729</v>
      </c>
      <c r="H289" s="199">
        <v>283665.39</v>
      </c>
      <c r="I289" s="200">
        <v>609669</v>
      </c>
      <c r="J289" s="199">
        <v>1426625</v>
      </c>
      <c r="K289" s="199">
        <v>-1237636</v>
      </c>
      <c r="L289" s="199">
        <v>-2902347.45</v>
      </c>
      <c r="M289" s="199">
        <v>0</v>
      </c>
      <c r="N289" s="199">
        <v>0</v>
      </c>
      <c r="O289" s="199">
        <v>0</v>
      </c>
      <c r="P289" s="199">
        <v>0</v>
      </c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5">
      <c r="A290" s="33" t="s">
        <v>140</v>
      </c>
      <c r="B290" s="33" t="s">
        <v>160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>
        <v>0</v>
      </c>
      <c r="J290" s="199">
        <v>0</v>
      </c>
      <c r="K290" s="199">
        <v>0</v>
      </c>
      <c r="L290" s="199">
        <v>0</v>
      </c>
      <c r="M290" s="199">
        <v>0</v>
      </c>
      <c r="N290" s="199">
        <v>0</v>
      </c>
      <c r="O290" s="199">
        <v>0</v>
      </c>
      <c r="P290" s="199">
        <v>0</v>
      </c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5">
      <c r="A291" s="33" t="s">
        <v>140</v>
      </c>
      <c r="B291" s="33" t="s">
        <v>160</v>
      </c>
      <c r="C291" s="33">
        <v>8</v>
      </c>
      <c r="D291" s="33" t="s">
        <v>27</v>
      </c>
      <c r="E291" s="200">
        <v>-139182</v>
      </c>
      <c r="F291" s="199">
        <v>-331021</v>
      </c>
      <c r="G291" s="200">
        <v>-5000</v>
      </c>
      <c r="H291" s="199">
        <v>-11400</v>
      </c>
      <c r="I291" s="200">
        <v>0</v>
      </c>
      <c r="J291" s="199">
        <v>0</v>
      </c>
      <c r="K291" s="199">
        <v>0</v>
      </c>
      <c r="L291" s="199">
        <v>0</v>
      </c>
      <c r="M291" s="199">
        <v>0</v>
      </c>
      <c r="N291" s="199">
        <v>0</v>
      </c>
      <c r="O291" s="199">
        <v>-270000</v>
      </c>
      <c r="P291" s="199">
        <v>-655290</v>
      </c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5">
      <c r="A292" s="33" t="s">
        <v>140</v>
      </c>
      <c r="B292" s="33" t="s">
        <v>160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>
        <v>0</v>
      </c>
      <c r="J292" s="199">
        <v>0</v>
      </c>
      <c r="K292" s="199">
        <v>0</v>
      </c>
      <c r="L292" s="199">
        <v>0</v>
      </c>
      <c r="M292" s="199">
        <v>0</v>
      </c>
      <c r="N292" s="199">
        <v>0</v>
      </c>
      <c r="O292" s="199">
        <v>0</v>
      </c>
      <c r="P292" s="199">
        <v>0</v>
      </c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5">
      <c r="A293" s="33" t="s">
        <v>140</v>
      </c>
      <c r="B293" s="33" t="s">
        <v>160</v>
      </c>
      <c r="C293" s="33">
        <v>10</v>
      </c>
      <c r="D293" s="33" t="s">
        <v>32</v>
      </c>
      <c r="E293" s="200">
        <v>4620</v>
      </c>
      <c r="F293" s="199">
        <v>12474</v>
      </c>
      <c r="G293" s="200">
        <v>60742</v>
      </c>
      <c r="H293" s="199">
        <v>164003.4</v>
      </c>
      <c r="I293" s="200">
        <v>0</v>
      </c>
      <c r="J293" s="199">
        <v>0</v>
      </c>
      <c r="K293" s="199">
        <v>0</v>
      </c>
      <c r="L293" s="199">
        <v>0</v>
      </c>
      <c r="M293" s="199">
        <v>0</v>
      </c>
      <c r="N293" s="199">
        <v>0</v>
      </c>
      <c r="O293" s="199">
        <v>0</v>
      </c>
      <c r="P293" s="199">
        <v>0</v>
      </c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5">
      <c r="A294" s="33" t="s">
        <v>140</v>
      </c>
      <c r="B294" s="33" t="s">
        <v>160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>
        <v>0</v>
      </c>
      <c r="J294" s="199">
        <v>0</v>
      </c>
      <c r="K294" s="199">
        <v>0</v>
      </c>
      <c r="L294" s="199">
        <v>0</v>
      </c>
      <c r="M294" s="199">
        <v>0</v>
      </c>
      <c r="N294" s="199">
        <v>0</v>
      </c>
      <c r="O294" s="199">
        <v>0</v>
      </c>
      <c r="P294" s="199">
        <v>0</v>
      </c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5">
      <c r="A295" s="33" t="s">
        <v>140</v>
      </c>
      <c r="B295" s="33" t="s">
        <v>160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>
        <v>0</v>
      </c>
      <c r="J295" s="199">
        <v>0</v>
      </c>
      <c r="K295" s="199">
        <v>0</v>
      </c>
      <c r="L295" s="199">
        <v>0</v>
      </c>
      <c r="M295" s="199">
        <v>0</v>
      </c>
      <c r="N295" s="199">
        <v>0</v>
      </c>
      <c r="O295" s="199">
        <v>0</v>
      </c>
      <c r="P295" s="199">
        <v>0</v>
      </c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5">
      <c r="A296" s="33" t="s">
        <v>140</v>
      </c>
      <c r="B296" s="33" t="s">
        <v>160</v>
      </c>
      <c r="C296" s="33">
        <v>13</v>
      </c>
      <c r="D296" s="33" t="s">
        <v>39</v>
      </c>
      <c r="E296" s="200">
        <v>-358303</v>
      </c>
      <c r="F296" s="199">
        <v>-967418.1</v>
      </c>
      <c r="G296" s="200">
        <v>1218756</v>
      </c>
      <c r="H296" s="199">
        <v>3290641.2</v>
      </c>
      <c r="I296" s="200">
        <v>0</v>
      </c>
      <c r="J296" s="199">
        <v>0</v>
      </c>
      <c r="K296" s="199">
        <v>-3126</v>
      </c>
      <c r="L296" s="199">
        <v>-8440.2000000000007</v>
      </c>
      <c r="M296" s="199">
        <v>2581</v>
      </c>
      <c r="N296" s="199">
        <v>6968.7</v>
      </c>
      <c r="O296" s="199">
        <v>-36819</v>
      </c>
      <c r="P296" s="199">
        <v>-99411.3</v>
      </c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5">
      <c r="A297" s="33" t="s">
        <v>140</v>
      </c>
      <c r="B297" s="33" t="s">
        <v>160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>
        <v>0</v>
      </c>
      <c r="J297" s="199">
        <v>0</v>
      </c>
      <c r="K297" s="199">
        <v>0</v>
      </c>
      <c r="L297" s="199">
        <v>0</v>
      </c>
      <c r="M297" s="199">
        <v>0</v>
      </c>
      <c r="N297" s="199">
        <v>0</v>
      </c>
      <c r="O297" s="199">
        <v>0</v>
      </c>
      <c r="P297" s="199">
        <v>0</v>
      </c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5">
      <c r="A298" s="33" t="s">
        <v>140</v>
      </c>
      <c r="B298" s="33" t="s">
        <v>160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>
        <v>0</v>
      </c>
      <c r="J298" s="199">
        <v>0</v>
      </c>
      <c r="K298" s="199">
        <v>0</v>
      </c>
      <c r="L298" s="199">
        <v>0</v>
      </c>
      <c r="M298" s="199">
        <v>0</v>
      </c>
      <c r="N298" s="199">
        <v>0</v>
      </c>
      <c r="O298" s="199">
        <v>0</v>
      </c>
      <c r="P298" s="199">
        <v>0</v>
      </c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5">
      <c r="A299" s="33" t="s">
        <v>140</v>
      </c>
      <c r="B299" s="33" t="s">
        <v>160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>
        <v>0</v>
      </c>
      <c r="J299" s="199">
        <v>0</v>
      </c>
      <c r="K299" s="199">
        <v>0</v>
      </c>
      <c r="L299" s="199">
        <v>0</v>
      </c>
      <c r="M299" s="199">
        <v>0</v>
      </c>
      <c r="N299" s="199">
        <v>0</v>
      </c>
      <c r="O299" s="199">
        <v>0</v>
      </c>
      <c r="P299" s="199">
        <v>0</v>
      </c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5">
      <c r="A300" s="33" t="s">
        <v>140</v>
      </c>
      <c r="B300" s="33" t="s">
        <v>160</v>
      </c>
      <c r="C300" s="33">
        <v>17</v>
      </c>
      <c r="D300" s="33" t="s">
        <v>126</v>
      </c>
      <c r="E300" s="200">
        <v>0</v>
      </c>
      <c r="F300" s="199">
        <v>0</v>
      </c>
      <c r="G300" s="200">
        <v>0</v>
      </c>
      <c r="H300" s="199">
        <v>0</v>
      </c>
      <c r="I300" s="200">
        <v>0</v>
      </c>
      <c r="J300" s="199">
        <v>0</v>
      </c>
      <c r="K300" s="199">
        <v>0</v>
      </c>
      <c r="L300" s="199">
        <v>0</v>
      </c>
      <c r="M300" s="199">
        <v>0</v>
      </c>
      <c r="N300" s="199">
        <v>0</v>
      </c>
      <c r="O300" s="199">
        <v>0</v>
      </c>
      <c r="P300" s="199">
        <v>0</v>
      </c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5">
      <c r="A301" s="33" t="s">
        <v>140</v>
      </c>
      <c r="B301" s="33" t="s">
        <v>160</v>
      </c>
      <c r="C301" s="33">
        <v>18</v>
      </c>
      <c r="D301" s="33" t="s">
        <v>127</v>
      </c>
      <c r="E301" s="200">
        <v>0</v>
      </c>
      <c r="F301" s="199">
        <v>0</v>
      </c>
      <c r="G301" s="200">
        <v>0</v>
      </c>
      <c r="H301" s="199">
        <v>0</v>
      </c>
      <c r="I301" s="200">
        <v>0</v>
      </c>
      <c r="J301" s="199">
        <v>0</v>
      </c>
      <c r="K301" s="199">
        <v>0</v>
      </c>
      <c r="L301" s="199">
        <v>0</v>
      </c>
      <c r="M301" s="199">
        <v>0</v>
      </c>
      <c r="N301" s="199">
        <v>0</v>
      </c>
      <c r="O301" s="199">
        <v>0</v>
      </c>
      <c r="P301" s="199">
        <v>0</v>
      </c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5">
      <c r="A302" s="33" t="s">
        <v>140</v>
      </c>
      <c r="B302" s="33" t="s">
        <v>160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>
        <v>0</v>
      </c>
      <c r="J302" s="199">
        <v>0</v>
      </c>
      <c r="K302" s="199">
        <v>0</v>
      </c>
      <c r="L302" s="199">
        <v>0</v>
      </c>
      <c r="M302" s="199">
        <v>0</v>
      </c>
      <c r="N302" s="199">
        <v>0</v>
      </c>
      <c r="O302" s="199">
        <v>0</v>
      </c>
      <c r="P302" s="199">
        <v>0</v>
      </c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5">
      <c r="A303" s="33" t="s">
        <v>140</v>
      </c>
      <c r="B303" s="33" t="s">
        <v>160</v>
      </c>
      <c r="C303" s="33">
        <v>20</v>
      </c>
      <c r="D303" s="33" t="s">
        <v>128</v>
      </c>
      <c r="E303" s="200">
        <v>0</v>
      </c>
      <c r="F303" s="199">
        <v>0</v>
      </c>
      <c r="G303" s="200">
        <v>0</v>
      </c>
      <c r="H303" s="199">
        <v>0</v>
      </c>
      <c r="I303" s="200">
        <v>0</v>
      </c>
      <c r="J303" s="199">
        <v>0</v>
      </c>
      <c r="K303" s="199">
        <v>0</v>
      </c>
      <c r="L303" s="199">
        <v>0</v>
      </c>
      <c r="M303" s="199">
        <v>0</v>
      </c>
      <c r="N303" s="199">
        <v>0</v>
      </c>
      <c r="O303" s="199">
        <v>0</v>
      </c>
      <c r="P303" s="199">
        <v>0</v>
      </c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5">
      <c r="A304" s="33" t="s">
        <v>140</v>
      </c>
      <c r="B304" s="33" t="s">
        <v>160</v>
      </c>
      <c r="C304" s="33">
        <v>21</v>
      </c>
      <c r="D304" s="33" t="s">
        <v>129</v>
      </c>
      <c r="E304" s="200">
        <v>0</v>
      </c>
      <c r="F304" s="199">
        <v>0</v>
      </c>
      <c r="G304" s="200">
        <v>0</v>
      </c>
      <c r="H304" s="199">
        <v>0</v>
      </c>
      <c r="I304" s="200">
        <v>0</v>
      </c>
      <c r="J304" s="199">
        <v>0</v>
      </c>
      <c r="K304" s="199">
        <v>0</v>
      </c>
      <c r="L304" s="199">
        <v>0</v>
      </c>
      <c r="M304" s="199">
        <v>0</v>
      </c>
      <c r="N304" s="199">
        <v>0</v>
      </c>
      <c r="O304" s="199">
        <v>0</v>
      </c>
      <c r="P304" s="199">
        <v>0</v>
      </c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5">
      <c r="A305" s="33" t="s">
        <v>140</v>
      </c>
      <c r="B305" s="33" t="s">
        <v>160</v>
      </c>
      <c r="C305" s="33">
        <v>22</v>
      </c>
      <c r="D305" s="33" t="s">
        <v>130</v>
      </c>
      <c r="E305" s="200">
        <v>118989</v>
      </c>
      <c r="F305" s="199">
        <v>321270.3</v>
      </c>
      <c r="G305" s="200">
        <v>737956</v>
      </c>
      <c r="H305" s="199">
        <v>1992481.2</v>
      </c>
      <c r="I305" s="200">
        <v>-609669</v>
      </c>
      <c r="J305" s="199">
        <v>-1646106.3</v>
      </c>
      <c r="K305" s="199">
        <v>612258</v>
      </c>
      <c r="L305" s="199">
        <v>1653096.6</v>
      </c>
      <c r="M305" s="199">
        <v>-2581</v>
      </c>
      <c r="N305" s="199">
        <v>-6968.7</v>
      </c>
      <c r="O305" s="199">
        <v>-1702361</v>
      </c>
      <c r="P305" s="199">
        <v>-4596374.7</v>
      </c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5">
      <c r="A306" s="33" t="s">
        <v>140</v>
      </c>
      <c r="B306" s="33" t="s">
        <v>160</v>
      </c>
      <c r="C306" s="33">
        <v>23</v>
      </c>
      <c r="D306" s="33" t="s">
        <v>131</v>
      </c>
      <c r="E306" s="200">
        <v>-4620</v>
      </c>
      <c r="F306" s="199">
        <v>-12474</v>
      </c>
      <c r="G306" s="200">
        <v>-60742</v>
      </c>
      <c r="H306" s="199">
        <v>-164003.4</v>
      </c>
      <c r="I306" s="200">
        <v>0</v>
      </c>
      <c r="J306" s="199">
        <v>0</v>
      </c>
      <c r="K306" s="199">
        <v>0</v>
      </c>
      <c r="L306" s="199">
        <v>0</v>
      </c>
      <c r="M306" s="199">
        <v>0</v>
      </c>
      <c r="N306" s="199">
        <v>0</v>
      </c>
      <c r="O306" s="199">
        <v>0</v>
      </c>
      <c r="P306" s="199">
        <v>0</v>
      </c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5">
      <c r="A307" s="33" t="s">
        <v>140</v>
      </c>
      <c r="B307" s="33" t="s">
        <v>160</v>
      </c>
      <c r="C307" s="33">
        <v>24</v>
      </c>
      <c r="D307" s="33" t="s">
        <v>55</v>
      </c>
      <c r="E307" s="200">
        <v>0</v>
      </c>
      <c r="F307" s="199">
        <v>0</v>
      </c>
      <c r="G307" s="200">
        <v>0</v>
      </c>
      <c r="H307" s="199">
        <v>-138293.92000000001</v>
      </c>
      <c r="I307" s="200">
        <v>0</v>
      </c>
      <c r="J307" s="199">
        <v>0</v>
      </c>
      <c r="K307" s="199">
        <v>0</v>
      </c>
      <c r="L307" s="199">
        <v>89.92</v>
      </c>
      <c r="M307" s="199">
        <v>0</v>
      </c>
      <c r="N307" s="199">
        <v>0</v>
      </c>
      <c r="O307" s="199">
        <v>0</v>
      </c>
      <c r="P307" s="199">
        <v>0</v>
      </c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5">
      <c r="A308" s="33" t="s">
        <v>140</v>
      </c>
      <c r="B308" s="33" t="s">
        <v>160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>
        <v>0</v>
      </c>
      <c r="J308" s="199">
        <v>0</v>
      </c>
      <c r="K308" s="199">
        <v>0</v>
      </c>
      <c r="L308" s="199">
        <v>0</v>
      </c>
      <c r="M308" s="199">
        <v>0</v>
      </c>
      <c r="N308" s="199">
        <v>0</v>
      </c>
      <c r="O308" s="199">
        <v>0</v>
      </c>
      <c r="P308" s="199">
        <v>0</v>
      </c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5">
      <c r="A309" s="33" t="s">
        <v>140</v>
      </c>
      <c r="B309" s="33" t="s">
        <v>160</v>
      </c>
      <c r="C309" s="33">
        <v>26</v>
      </c>
      <c r="D309" s="33" t="s">
        <v>132</v>
      </c>
      <c r="E309" s="200">
        <v>0</v>
      </c>
      <c r="F309" s="199">
        <v>0</v>
      </c>
      <c r="G309" s="200">
        <v>0</v>
      </c>
      <c r="H309" s="199">
        <v>0</v>
      </c>
      <c r="I309" s="200">
        <v>0</v>
      </c>
      <c r="J309" s="199">
        <v>0</v>
      </c>
      <c r="K309" s="199">
        <v>0</v>
      </c>
      <c r="L309" s="199">
        <v>0</v>
      </c>
      <c r="M309" s="199">
        <v>0</v>
      </c>
      <c r="N309" s="199">
        <v>0</v>
      </c>
      <c r="O309" s="199">
        <v>0</v>
      </c>
      <c r="P309" s="199">
        <v>0</v>
      </c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5">
      <c r="A310" s="33" t="s">
        <v>140</v>
      </c>
      <c r="B310" s="33" t="s">
        <v>160</v>
      </c>
      <c r="C310" s="33">
        <v>27</v>
      </c>
      <c r="D310" s="33" t="s">
        <v>133</v>
      </c>
      <c r="E310" s="200">
        <v>0</v>
      </c>
      <c r="F310" s="199">
        <v>0</v>
      </c>
      <c r="G310" s="200">
        <v>0</v>
      </c>
      <c r="H310" s="199">
        <v>0</v>
      </c>
      <c r="I310" s="200">
        <v>0</v>
      </c>
      <c r="J310" s="199">
        <v>0</v>
      </c>
      <c r="K310" s="199">
        <v>0</v>
      </c>
      <c r="L310" s="199">
        <v>0</v>
      </c>
      <c r="M310" s="199">
        <v>0</v>
      </c>
      <c r="N310" s="199">
        <v>0</v>
      </c>
      <c r="O310" s="199">
        <v>0</v>
      </c>
      <c r="P310" s="199">
        <v>0</v>
      </c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5">
      <c r="A311" s="33" t="s">
        <v>140</v>
      </c>
      <c r="B311" s="33" t="s">
        <v>160</v>
      </c>
      <c r="C311" s="33">
        <v>28</v>
      </c>
      <c r="D311" s="33" t="s">
        <v>134</v>
      </c>
      <c r="E311" s="200">
        <v>0</v>
      </c>
      <c r="F311" s="199">
        <v>0</v>
      </c>
      <c r="G311" s="200">
        <v>0</v>
      </c>
      <c r="H311" s="199">
        <v>0</v>
      </c>
      <c r="I311" s="200">
        <v>0</v>
      </c>
      <c r="J311" s="199">
        <v>0</v>
      </c>
      <c r="K311" s="199">
        <v>0</v>
      </c>
      <c r="L311" s="199">
        <v>0</v>
      </c>
      <c r="M311" s="199">
        <v>0</v>
      </c>
      <c r="N311" s="199">
        <v>0</v>
      </c>
      <c r="O311" s="199">
        <v>0</v>
      </c>
      <c r="P311" s="199">
        <v>0</v>
      </c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5">
      <c r="A312" s="33" t="s">
        <v>140</v>
      </c>
      <c r="B312" s="33" t="s">
        <v>160</v>
      </c>
      <c r="C312" s="33">
        <v>29</v>
      </c>
      <c r="D312" s="33" t="s">
        <v>135</v>
      </c>
      <c r="E312" s="200">
        <v>0</v>
      </c>
      <c r="F312" s="199">
        <v>0</v>
      </c>
      <c r="G312" s="200">
        <v>0</v>
      </c>
      <c r="H312" s="199">
        <v>0</v>
      </c>
      <c r="I312" s="200">
        <v>0</v>
      </c>
      <c r="J312" s="199">
        <v>0</v>
      </c>
      <c r="K312" s="199">
        <v>0</v>
      </c>
      <c r="L312" s="199">
        <v>0</v>
      </c>
      <c r="M312" s="199">
        <v>0</v>
      </c>
      <c r="N312" s="199">
        <v>0</v>
      </c>
      <c r="O312" s="199">
        <v>0</v>
      </c>
      <c r="P312" s="199">
        <v>0</v>
      </c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5">
      <c r="A313" s="33" t="s">
        <v>140</v>
      </c>
      <c r="B313" s="33" t="s">
        <v>160</v>
      </c>
      <c r="C313" s="33">
        <v>30</v>
      </c>
      <c r="D313" s="33" t="s">
        <v>136</v>
      </c>
      <c r="E313" s="200">
        <v>0</v>
      </c>
      <c r="F313" s="199">
        <v>0</v>
      </c>
      <c r="G313" s="200">
        <v>0</v>
      </c>
      <c r="H313" s="199">
        <v>0</v>
      </c>
      <c r="I313" s="200">
        <v>0</v>
      </c>
      <c r="J313" s="199">
        <v>0</v>
      </c>
      <c r="K313" s="199">
        <v>0</v>
      </c>
      <c r="L313" s="199">
        <v>0</v>
      </c>
      <c r="M313" s="199">
        <v>0</v>
      </c>
      <c r="N313" s="199">
        <v>0</v>
      </c>
      <c r="O313" s="199">
        <v>0</v>
      </c>
      <c r="P313" s="199">
        <v>0</v>
      </c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5">
      <c r="A314" s="33" t="s">
        <v>140</v>
      </c>
      <c r="B314" s="33" t="s">
        <v>160</v>
      </c>
      <c r="C314" s="33">
        <v>31</v>
      </c>
      <c r="D314" s="33" t="s">
        <v>137</v>
      </c>
      <c r="E314" s="200">
        <v>0</v>
      </c>
      <c r="F314" s="199">
        <v>0</v>
      </c>
      <c r="G314" s="200">
        <v>0</v>
      </c>
      <c r="H314" s="199">
        <v>0</v>
      </c>
      <c r="I314" s="200">
        <v>0</v>
      </c>
      <c r="J314" s="199">
        <v>0</v>
      </c>
      <c r="K314" s="199">
        <v>0</v>
      </c>
      <c r="L314" s="199">
        <v>0</v>
      </c>
      <c r="M314" s="199">
        <v>0</v>
      </c>
      <c r="N314" s="199">
        <v>0</v>
      </c>
      <c r="O314" s="199">
        <v>0</v>
      </c>
      <c r="P314" s="199">
        <v>0</v>
      </c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5">
      <c r="A315" s="33" t="s">
        <v>140</v>
      </c>
      <c r="B315" s="33" t="s">
        <v>160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>
        <v>0</v>
      </c>
      <c r="J315" s="199">
        <v>0</v>
      </c>
      <c r="K315" s="199">
        <v>0</v>
      </c>
      <c r="L315" s="199">
        <v>0</v>
      </c>
      <c r="M315" s="199">
        <v>0</v>
      </c>
      <c r="N315" s="199">
        <v>0</v>
      </c>
      <c r="O315" s="199">
        <v>0</v>
      </c>
      <c r="P315" s="199">
        <v>0</v>
      </c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5">
      <c r="A316" s="33" t="s">
        <v>140</v>
      </c>
      <c r="B316" s="33" t="s">
        <v>160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>
        <v>0</v>
      </c>
      <c r="J316" s="199">
        <v>0</v>
      </c>
      <c r="K316" s="199">
        <v>0</v>
      </c>
      <c r="L316" s="199">
        <v>0</v>
      </c>
      <c r="M316" s="199">
        <v>0</v>
      </c>
      <c r="N316" s="199">
        <v>0</v>
      </c>
      <c r="O316" s="199">
        <v>0</v>
      </c>
      <c r="P316" s="199">
        <v>0</v>
      </c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5">
      <c r="A317" s="33" t="s">
        <v>140</v>
      </c>
      <c r="B317" s="33" t="s">
        <v>160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>
        <v>0</v>
      </c>
      <c r="J317" s="199">
        <v>0</v>
      </c>
      <c r="K317" s="199">
        <v>0</v>
      </c>
      <c r="L317" s="199">
        <v>0</v>
      </c>
      <c r="M317" s="199">
        <v>0</v>
      </c>
      <c r="N317" s="199">
        <v>0</v>
      </c>
      <c r="O317" s="199">
        <v>0</v>
      </c>
      <c r="P317" s="199">
        <v>0</v>
      </c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5">
      <c r="A318" s="33" t="s">
        <v>140</v>
      </c>
      <c r="B318" s="33" t="s">
        <v>160</v>
      </c>
      <c r="C318" s="33">
        <v>35</v>
      </c>
      <c r="D318" s="33" t="s">
        <v>73</v>
      </c>
      <c r="E318" s="200">
        <v>0</v>
      </c>
      <c r="F318" s="199">
        <v>-342.73</v>
      </c>
      <c r="G318" s="200">
        <v>0</v>
      </c>
      <c r="H318" s="199">
        <v>0</v>
      </c>
      <c r="I318" s="200">
        <v>0</v>
      </c>
      <c r="J318" s="199">
        <v>0</v>
      </c>
      <c r="K318" s="199">
        <v>0</v>
      </c>
      <c r="L318" s="199">
        <v>0</v>
      </c>
      <c r="M318" s="199">
        <v>0</v>
      </c>
      <c r="N318" s="199">
        <v>0</v>
      </c>
      <c r="O318" s="199">
        <v>0</v>
      </c>
      <c r="P318" s="199">
        <v>0</v>
      </c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5">
      <c r="A319" s="33" t="s">
        <v>140</v>
      </c>
      <c r="B319" s="33" t="s">
        <v>160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>
        <v>0</v>
      </c>
      <c r="J319" s="199">
        <v>0</v>
      </c>
      <c r="K319" s="199">
        <v>0</v>
      </c>
      <c r="L319" s="199">
        <v>0</v>
      </c>
      <c r="M319" s="199">
        <v>0</v>
      </c>
      <c r="N319" s="199">
        <v>0</v>
      </c>
      <c r="O319" s="199">
        <v>0</v>
      </c>
      <c r="P319" s="199">
        <v>0</v>
      </c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5">
      <c r="A320" s="33" t="s">
        <v>140</v>
      </c>
      <c r="B320" s="33" t="s">
        <v>160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>
        <v>0</v>
      </c>
      <c r="J320" s="199">
        <v>0</v>
      </c>
      <c r="K320" s="199">
        <v>0</v>
      </c>
      <c r="L320" s="199">
        <v>0</v>
      </c>
      <c r="M320" s="199">
        <v>0</v>
      </c>
      <c r="N320" s="199">
        <v>0</v>
      </c>
      <c r="O320" s="199">
        <v>0</v>
      </c>
      <c r="P320" s="199">
        <v>0</v>
      </c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5">
      <c r="A321" s="33" t="s">
        <v>140</v>
      </c>
      <c r="B321" s="33" t="s">
        <v>160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>
        <v>0</v>
      </c>
      <c r="J321" s="199">
        <v>0</v>
      </c>
      <c r="K321" s="199">
        <v>0</v>
      </c>
      <c r="L321" s="199">
        <v>0</v>
      </c>
      <c r="M321" s="199">
        <v>0</v>
      </c>
      <c r="N321" s="199">
        <v>0</v>
      </c>
      <c r="O321" s="199">
        <v>0</v>
      </c>
      <c r="P321" s="199">
        <v>0</v>
      </c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5">
      <c r="A322" s="33" t="s">
        <v>140</v>
      </c>
      <c r="B322" s="33" t="s">
        <v>160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>
        <v>0</v>
      </c>
      <c r="J322" s="199">
        <v>0</v>
      </c>
      <c r="K322" s="199">
        <v>0</v>
      </c>
      <c r="L322" s="199">
        <v>0</v>
      </c>
      <c r="M322" s="199">
        <v>0</v>
      </c>
      <c r="N322" s="199">
        <v>0</v>
      </c>
      <c r="O322" s="199">
        <v>0</v>
      </c>
      <c r="P322" s="199">
        <v>0</v>
      </c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5">
      <c r="A323" s="33" t="s">
        <v>140</v>
      </c>
      <c r="B323" s="33" t="s">
        <v>160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>
        <v>0</v>
      </c>
      <c r="J323" s="199">
        <v>0</v>
      </c>
      <c r="K323" s="199">
        <v>0</v>
      </c>
      <c r="L323" s="199">
        <v>0</v>
      </c>
      <c r="M323" s="199">
        <v>0</v>
      </c>
      <c r="N323" s="199">
        <v>0</v>
      </c>
      <c r="O323" s="199">
        <v>0</v>
      </c>
      <c r="P323" s="199">
        <v>0</v>
      </c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5">
      <c r="A324" s="33" t="s">
        <v>140</v>
      </c>
      <c r="B324" s="33" t="s">
        <v>207</v>
      </c>
      <c r="C324" s="33">
        <v>1</v>
      </c>
      <c r="D324" s="33" t="s">
        <v>25</v>
      </c>
      <c r="E324" s="200">
        <v>16545855</v>
      </c>
      <c r="F324" s="199">
        <v>39857789</v>
      </c>
      <c r="G324" s="200">
        <v>-6107</v>
      </c>
      <c r="H324" s="199">
        <v>-14536.34</v>
      </c>
      <c r="I324" s="200">
        <v>0</v>
      </c>
      <c r="J324" s="199">
        <v>-1477.35</v>
      </c>
      <c r="K324" s="199">
        <v>0</v>
      </c>
      <c r="L324" s="199">
        <v>0</v>
      </c>
      <c r="M324" s="199">
        <v>0</v>
      </c>
      <c r="N324" s="199">
        <v>0</v>
      </c>
      <c r="O324" s="199">
        <v>0</v>
      </c>
      <c r="P324" s="199">
        <v>0</v>
      </c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5">
      <c r="A325" s="33" t="s">
        <v>140</v>
      </c>
      <c r="B325" s="33" t="s">
        <v>207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>
        <v>0</v>
      </c>
      <c r="J325" s="199">
        <v>0</v>
      </c>
      <c r="K325" s="199">
        <v>0</v>
      </c>
      <c r="L325" s="199">
        <v>0</v>
      </c>
      <c r="M325" s="199">
        <v>0</v>
      </c>
      <c r="N325" s="199">
        <v>0</v>
      </c>
      <c r="O325" s="199">
        <v>0</v>
      </c>
      <c r="P325" s="199">
        <v>0</v>
      </c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5">
      <c r="A326" s="33" t="s">
        <v>140</v>
      </c>
      <c r="B326" s="33" t="s">
        <v>207</v>
      </c>
      <c r="C326" s="33">
        <v>3</v>
      </c>
      <c r="D326" s="33" t="s">
        <v>27</v>
      </c>
      <c r="E326" s="200">
        <v>25646524</v>
      </c>
      <c r="F326" s="199">
        <v>62333419</v>
      </c>
      <c r="G326" s="200">
        <v>-16593766</v>
      </c>
      <c r="H326" s="199">
        <v>-40724229</v>
      </c>
      <c r="I326" s="200">
        <v>0</v>
      </c>
      <c r="J326" s="199">
        <v>0</v>
      </c>
      <c r="K326" s="199">
        <v>0</v>
      </c>
      <c r="L326" s="199">
        <v>0</v>
      </c>
      <c r="M326" s="199">
        <v>0</v>
      </c>
      <c r="N326" s="199">
        <v>0</v>
      </c>
      <c r="O326" s="199">
        <v>16593766</v>
      </c>
      <c r="P326" s="199">
        <v>40724229</v>
      </c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5">
      <c r="A327" s="33" t="s">
        <v>140</v>
      </c>
      <c r="B327" s="33" t="s">
        <v>207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>
        <v>0</v>
      </c>
      <c r="J327" s="199">
        <v>0</v>
      </c>
      <c r="K327" s="199">
        <v>0</v>
      </c>
      <c r="L327" s="199">
        <v>0</v>
      </c>
      <c r="M327" s="199">
        <v>0</v>
      </c>
      <c r="N327" s="199">
        <v>0</v>
      </c>
      <c r="O327" s="199">
        <v>0</v>
      </c>
      <c r="P327" s="199">
        <v>0</v>
      </c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5">
      <c r="A328" s="33" t="s">
        <v>140</v>
      </c>
      <c r="B328" s="33" t="s">
        <v>207</v>
      </c>
      <c r="C328" s="33">
        <v>5</v>
      </c>
      <c r="D328" s="33" t="s">
        <v>125</v>
      </c>
      <c r="E328" s="200">
        <v>0</v>
      </c>
      <c r="F328" s="199">
        <v>2781866.5</v>
      </c>
      <c r="G328" s="200">
        <v>0</v>
      </c>
      <c r="H328" s="199">
        <v>276497</v>
      </c>
      <c r="I328" s="200">
        <v>0</v>
      </c>
      <c r="J328" s="199">
        <v>0</v>
      </c>
      <c r="K328" s="199">
        <v>0</v>
      </c>
      <c r="L328" s="199">
        <v>0</v>
      </c>
      <c r="M328" s="199">
        <v>0</v>
      </c>
      <c r="N328" s="199">
        <v>0</v>
      </c>
      <c r="O328" s="199">
        <v>0</v>
      </c>
      <c r="P328" s="199">
        <v>0</v>
      </c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5">
      <c r="A329" s="33" t="s">
        <v>140</v>
      </c>
      <c r="B329" s="33" t="s">
        <v>207</v>
      </c>
      <c r="C329" s="33">
        <v>6</v>
      </c>
      <c r="D329" s="33" t="s">
        <v>25</v>
      </c>
      <c r="E329" s="200">
        <v>-11681391</v>
      </c>
      <c r="F329" s="199">
        <v>-27284907.579999998</v>
      </c>
      <c r="G329" s="200">
        <v>388</v>
      </c>
      <c r="H329" s="199">
        <v>-0.49</v>
      </c>
      <c r="I329" s="200">
        <v>-13</v>
      </c>
      <c r="J329" s="199">
        <v>2.35</v>
      </c>
      <c r="K329" s="199">
        <v>-1</v>
      </c>
      <c r="L329" s="199">
        <v>-2.35</v>
      </c>
      <c r="M329" s="199">
        <v>0</v>
      </c>
      <c r="N329" s="199">
        <v>0</v>
      </c>
      <c r="O329" s="199">
        <v>0</v>
      </c>
      <c r="P329" s="199">
        <v>0</v>
      </c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5">
      <c r="A330" s="33" t="s">
        <v>140</v>
      </c>
      <c r="B330" s="33" t="s">
        <v>207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>
        <v>0</v>
      </c>
      <c r="J330" s="199">
        <v>0</v>
      </c>
      <c r="K330" s="199">
        <v>0</v>
      </c>
      <c r="L330" s="199">
        <v>0</v>
      </c>
      <c r="M330" s="199">
        <v>0</v>
      </c>
      <c r="N330" s="199">
        <v>0</v>
      </c>
      <c r="O330" s="199">
        <v>0</v>
      </c>
      <c r="P330" s="199">
        <v>0</v>
      </c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5">
      <c r="A331" s="33" t="s">
        <v>140</v>
      </c>
      <c r="B331" s="33" t="s">
        <v>207</v>
      </c>
      <c r="C331" s="33">
        <v>8</v>
      </c>
      <c r="D331" s="33" t="s">
        <v>27</v>
      </c>
      <c r="E331" s="200">
        <v>-30848646</v>
      </c>
      <c r="F331" s="199">
        <v>-74567387</v>
      </c>
      <c r="G331" s="200">
        <v>16603761</v>
      </c>
      <c r="H331" s="199">
        <v>40751940</v>
      </c>
      <c r="I331" s="200">
        <v>0</v>
      </c>
      <c r="J331" s="199">
        <v>0</v>
      </c>
      <c r="K331" s="199">
        <v>0</v>
      </c>
      <c r="L331" s="199">
        <v>0</v>
      </c>
      <c r="M331" s="199">
        <v>0</v>
      </c>
      <c r="N331" s="199">
        <v>0</v>
      </c>
      <c r="O331" s="199">
        <v>-16603761</v>
      </c>
      <c r="P331" s="199">
        <v>-40751940</v>
      </c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5">
      <c r="A332" s="33" t="s">
        <v>140</v>
      </c>
      <c r="B332" s="33" t="s">
        <v>207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>
        <v>0</v>
      </c>
      <c r="J332" s="199">
        <v>0</v>
      </c>
      <c r="K332" s="199">
        <v>0</v>
      </c>
      <c r="L332" s="199">
        <v>0</v>
      </c>
      <c r="M332" s="199">
        <v>0</v>
      </c>
      <c r="N332" s="199">
        <v>0</v>
      </c>
      <c r="O332" s="199">
        <v>0</v>
      </c>
      <c r="P332" s="199">
        <v>0</v>
      </c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5">
      <c r="A333" s="33" t="s">
        <v>140</v>
      </c>
      <c r="B333" s="33" t="s">
        <v>207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>
        <v>0</v>
      </c>
      <c r="J333" s="199">
        <v>0</v>
      </c>
      <c r="K333" s="199">
        <v>0</v>
      </c>
      <c r="L333" s="199">
        <v>0</v>
      </c>
      <c r="M333" s="199">
        <v>325053</v>
      </c>
      <c r="N333" s="199">
        <v>769725.50399999996</v>
      </c>
      <c r="O333" s="199">
        <v>0</v>
      </c>
      <c r="P333" s="199">
        <v>0</v>
      </c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5">
      <c r="A334" s="33" t="s">
        <v>140</v>
      </c>
      <c r="B334" s="33" t="s">
        <v>207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>
        <v>0</v>
      </c>
      <c r="J334" s="199">
        <v>0</v>
      </c>
      <c r="K334" s="199">
        <v>0</v>
      </c>
      <c r="L334" s="199">
        <v>0</v>
      </c>
      <c r="M334" s="199">
        <v>0</v>
      </c>
      <c r="N334" s="199">
        <v>0</v>
      </c>
      <c r="O334" s="199">
        <v>0</v>
      </c>
      <c r="P334" s="199">
        <v>0</v>
      </c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5">
      <c r="A335" s="33" t="s">
        <v>140</v>
      </c>
      <c r="B335" s="33" t="s">
        <v>207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>
        <v>0</v>
      </c>
      <c r="J335" s="199">
        <v>0</v>
      </c>
      <c r="K335" s="199">
        <v>0</v>
      </c>
      <c r="L335" s="199">
        <v>0</v>
      </c>
      <c r="M335" s="199">
        <v>0</v>
      </c>
      <c r="N335" s="199">
        <v>0</v>
      </c>
      <c r="O335" s="199">
        <v>0</v>
      </c>
      <c r="P335" s="199">
        <v>0</v>
      </c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5">
      <c r="A336" s="33" t="s">
        <v>140</v>
      </c>
      <c r="B336" s="33" t="s">
        <v>207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>
        <v>0</v>
      </c>
      <c r="J336" s="199">
        <v>0</v>
      </c>
      <c r="K336" s="199">
        <v>0</v>
      </c>
      <c r="L336" s="199">
        <v>0</v>
      </c>
      <c r="M336" s="199">
        <v>0</v>
      </c>
      <c r="N336" s="199">
        <v>0</v>
      </c>
      <c r="O336" s="199">
        <v>0</v>
      </c>
      <c r="P336" s="199">
        <v>0</v>
      </c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5">
      <c r="A337" s="33" t="s">
        <v>140</v>
      </c>
      <c r="B337" s="33" t="s">
        <v>207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>
        <v>0</v>
      </c>
      <c r="J337" s="199">
        <v>0</v>
      </c>
      <c r="K337" s="199">
        <v>0</v>
      </c>
      <c r="L337" s="199">
        <v>0</v>
      </c>
      <c r="M337" s="199">
        <v>0</v>
      </c>
      <c r="N337" s="199">
        <v>0</v>
      </c>
      <c r="O337" s="199">
        <v>0</v>
      </c>
      <c r="P337" s="199">
        <v>0</v>
      </c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5">
      <c r="A338" s="33" t="s">
        <v>140</v>
      </c>
      <c r="B338" s="33" t="s">
        <v>207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>
        <v>0</v>
      </c>
      <c r="J338" s="199">
        <v>0</v>
      </c>
      <c r="K338" s="199">
        <v>0</v>
      </c>
      <c r="L338" s="199">
        <v>0</v>
      </c>
      <c r="M338" s="199">
        <v>0</v>
      </c>
      <c r="N338" s="199">
        <v>0</v>
      </c>
      <c r="O338" s="199">
        <v>0</v>
      </c>
      <c r="P338" s="199">
        <v>0</v>
      </c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5">
      <c r="A339" s="33" t="s">
        <v>140</v>
      </c>
      <c r="B339" s="33" t="s">
        <v>207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>
        <v>0</v>
      </c>
      <c r="J339" s="199">
        <v>0</v>
      </c>
      <c r="K339" s="199">
        <v>0</v>
      </c>
      <c r="L339" s="199">
        <v>0</v>
      </c>
      <c r="M339" s="199">
        <v>0</v>
      </c>
      <c r="N339" s="199">
        <v>0</v>
      </c>
      <c r="O339" s="199">
        <v>0</v>
      </c>
      <c r="P339" s="199">
        <v>0</v>
      </c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5">
      <c r="A340" s="33" t="s">
        <v>140</v>
      </c>
      <c r="B340" s="33" t="s">
        <v>207</v>
      </c>
      <c r="C340" s="33">
        <v>17</v>
      </c>
      <c r="D340" s="33" t="s">
        <v>126</v>
      </c>
      <c r="E340" s="200">
        <v>0</v>
      </c>
      <c r="F340" s="199">
        <v>0</v>
      </c>
      <c r="G340" s="200">
        <v>0</v>
      </c>
      <c r="H340" s="199">
        <v>0</v>
      </c>
      <c r="I340" s="200">
        <v>0</v>
      </c>
      <c r="J340" s="199">
        <v>0</v>
      </c>
      <c r="K340" s="199">
        <v>0</v>
      </c>
      <c r="L340" s="199">
        <v>0</v>
      </c>
      <c r="M340" s="199">
        <v>0</v>
      </c>
      <c r="N340" s="199">
        <v>0</v>
      </c>
      <c r="O340" s="199">
        <v>0</v>
      </c>
      <c r="P340" s="199">
        <v>0</v>
      </c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5">
      <c r="A341" s="201" t="s">
        <v>140</v>
      </c>
      <c r="B341" s="201" t="s">
        <v>207</v>
      </c>
      <c r="C341" s="201">
        <v>18</v>
      </c>
      <c r="D341" s="201" t="s">
        <v>127</v>
      </c>
      <c r="E341" s="200">
        <v>0</v>
      </c>
      <c r="F341" s="200">
        <v>0</v>
      </c>
      <c r="G341" s="200">
        <v>0</v>
      </c>
      <c r="H341" s="200">
        <v>0</v>
      </c>
      <c r="I341" s="200">
        <v>0</v>
      </c>
      <c r="J341" s="200">
        <v>0</v>
      </c>
      <c r="K341" s="200">
        <v>0</v>
      </c>
      <c r="L341" s="200">
        <v>0</v>
      </c>
      <c r="M341" s="200">
        <v>0</v>
      </c>
      <c r="N341" s="200">
        <v>0</v>
      </c>
      <c r="O341" s="200">
        <v>0</v>
      </c>
      <c r="P341" s="200">
        <v>0</v>
      </c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5">
      <c r="A342" s="33" t="s">
        <v>140</v>
      </c>
      <c r="B342" s="33" t="s">
        <v>207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>
        <v>0</v>
      </c>
      <c r="J342" s="199">
        <v>0</v>
      </c>
      <c r="K342" s="199">
        <v>0</v>
      </c>
      <c r="L342" s="199">
        <v>0</v>
      </c>
      <c r="M342" s="199">
        <v>0</v>
      </c>
      <c r="N342" s="199">
        <v>0</v>
      </c>
      <c r="O342" s="199">
        <v>0</v>
      </c>
      <c r="P342" s="199">
        <v>0</v>
      </c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5">
      <c r="A343" s="33" t="s">
        <v>140</v>
      </c>
      <c r="B343" s="33" t="s">
        <v>207</v>
      </c>
      <c r="C343" s="33">
        <v>20</v>
      </c>
      <c r="D343" s="33" t="s">
        <v>128</v>
      </c>
      <c r="E343" s="200">
        <v>0</v>
      </c>
      <c r="F343" s="199">
        <v>0</v>
      </c>
      <c r="G343" s="200">
        <v>0</v>
      </c>
      <c r="H343" s="199">
        <v>0</v>
      </c>
      <c r="I343" s="200">
        <v>0</v>
      </c>
      <c r="J343" s="199">
        <v>0</v>
      </c>
      <c r="K343" s="199">
        <v>0</v>
      </c>
      <c r="L343" s="199">
        <v>0</v>
      </c>
      <c r="M343" s="199">
        <v>0</v>
      </c>
      <c r="N343" s="199">
        <v>0</v>
      </c>
      <c r="O343" s="199">
        <v>0</v>
      </c>
      <c r="P343" s="199">
        <v>0</v>
      </c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5">
      <c r="A344" s="33" t="s">
        <v>140</v>
      </c>
      <c r="B344" s="33" t="s">
        <v>207</v>
      </c>
      <c r="C344" s="33">
        <v>21</v>
      </c>
      <c r="D344" s="33" t="s">
        <v>129</v>
      </c>
      <c r="E344" s="200">
        <v>0</v>
      </c>
      <c r="F344" s="199">
        <v>0</v>
      </c>
      <c r="G344" s="200">
        <v>0</v>
      </c>
      <c r="H344" s="199">
        <v>0</v>
      </c>
      <c r="I344" s="200">
        <v>0</v>
      </c>
      <c r="J344" s="199">
        <v>0</v>
      </c>
      <c r="K344" s="199">
        <v>0</v>
      </c>
      <c r="L344" s="199">
        <v>0</v>
      </c>
      <c r="M344" s="199">
        <v>0</v>
      </c>
      <c r="N344" s="199">
        <v>0</v>
      </c>
      <c r="O344" s="199">
        <v>0</v>
      </c>
      <c r="P344" s="199">
        <v>0</v>
      </c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5">
      <c r="A345" s="33" t="s">
        <v>140</v>
      </c>
      <c r="B345" s="33" t="s">
        <v>207</v>
      </c>
      <c r="C345" s="33">
        <v>22</v>
      </c>
      <c r="D345" s="33" t="s">
        <v>130</v>
      </c>
      <c r="E345" s="200">
        <v>337658</v>
      </c>
      <c r="F345" s="199">
        <v>799574.14399999997</v>
      </c>
      <c r="G345" s="200">
        <v>-4276</v>
      </c>
      <c r="H345" s="199">
        <v>-10125.56799999997</v>
      </c>
      <c r="I345" s="200">
        <v>13</v>
      </c>
      <c r="J345" s="199">
        <v>30.783999999999999</v>
      </c>
      <c r="K345" s="199">
        <v>1</v>
      </c>
      <c r="L345" s="199">
        <v>2.3679999999999999</v>
      </c>
      <c r="M345" s="199">
        <v>-325053</v>
      </c>
      <c r="N345" s="199">
        <v>-769725.50399999996</v>
      </c>
      <c r="O345" s="199">
        <v>9995</v>
      </c>
      <c r="P345" s="199">
        <v>23668.16</v>
      </c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5">
      <c r="A346" s="33" t="s">
        <v>140</v>
      </c>
      <c r="B346" s="33" t="s">
        <v>207</v>
      </c>
      <c r="C346" s="33">
        <v>23</v>
      </c>
      <c r="D346" s="33" t="s">
        <v>131</v>
      </c>
      <c r="E346" s="200">
        <v>0</v>
      </c>
      <c r="F346" s="199">
        <v>0</v>
      </c>
      <c r="G346" s="200">
        <v>0</v>
      </c>
      <c r="H346" s="199">
        <v>0</v>
      </c>
      <c r="I346" s="200">
        <v>0</v>
      </c>
      <c r="J346" s="199">
        <v>0</v>
      </c>
      <c r="K346" s="199">
        <v>0</v>
      </c>
      <c r="L346" s="199">
        <v>0</v>
      </c>
      <c r="M346" s="199">
        <v>-325053</v>
      </c>
      <c r="N346" s="199">
        <v>-769725.50399999996</v>
      </c>
      <c r="O346" s="199">
        <v>0</v>
      </c>
      <c r="P346" s="199">
        <v>0</v>
      </c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5">
      <c r="A347" s="33" t="s">
        <v>140</v>
      </c>
      <c r="B347" s="33" t="s">
        <v>207</v>
      </c>
      <c r="C347" s="33">
        <v>24</v>
      </c>
      <c r="D347" s="33" t="s">
        <v>55</v>
      </c>
      <c r="E347" s="200">
        <v>-7943431</v>
      </c>
      <c r="F347" s="199">
        <v>-142074.26999999999</v>
      </c>
      <c r="G347" s="200">
        <v>6888</v>
      </c>
      <c r="H347" s="199">
        <v>20.239999999999998</v>
      </c>
      <c r="I347" s="200">
        <v>29</v>
      </c>
      <c r="J347" s="199">
        <v>0</v>
      </c>
      <c r="K347" s="199">
        <v>0</v>
      </c>
      <c r="L347" s="199">
        <v>0</v>
      </c>
      <c r="M347" s="199">
        <v>0</v>
      </c>
      <c r="N347" s="199">
        <v>0</v>
      </c>
      <c r="O347" s="199">
        <v>0</v>
      </c>
      <c r="P347" s="199">
        <v>0</v>
      </c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5">
      <c r="A348" s="33" t="s">
        <v>140</v>
      </c>
      <c r="B348" s="33" t="s">
        <v>207</v>
      </c>
      <c r="C348" s="33">
        <v>25</v>
      </c>
      <c r="D348" s="33" t="s">
        <v>56</v>
      </c>
      <c r="E348" s="200">
        <v>0</v>
      </c>
      <c r="F348" s="199">
        <v>-771631.76</v>
      </c>
      <c r="G348" s="200">
        <v>0</v>
      </c>
      <c r="H348" s="199">
        <v>-2257950.34</v>
      </c>
      <c r="I348" s="200">
        <v>0</v>
      </c>
      <c r="J348" s="199">
        <v>0</v>
      </c>
      <c r="K348" s="199">
        <v>0</v>
      </c>
      <c r="L348" s="199">
        <v>-547046.91</v>
      </c>
      <c r="M348" s="199">
        <v>0</v>
      </c>
      <c r="N348" s="199">
        <v>0</v>
      </c>
      <c r="O348" s="199">
        <v>0</v>
      </c>
      <c r="P348" s="199">
        <v>0</v>
      </c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5">
      <c r="A349" s="33" t="s">
        <v>140</v>
      </c>
      <c r="B349" s="33" t="s">
        <v>207</v>
      </c>
      <c r="C349" s="33">
        <v>26</v>
      </c>
      <c r="D349" s="33" t="s">
        <v>132</v>
      </c>
      <c r="E349" s="200">
        <v>0</v>
      </c>
      <c r="F349" s="199">
        <v>0</v>
      </c>
      <c r="G349" s="200">
        <v>0</v>
      </c>
      <c r="H349" s="199">
        <v>0</v>
      </c>
      <c r="I349" s="200">
        <v>0</v>
      </c>
      <c r="J349" s="199">
        <v>0</v>
      </c>
      <c r="K349" s="199">
        <v>0</v>
      </c>
      <c r="L349" s="199">
        <v>0</v>
      </c>
      <c r="M349" s="199">
        <v>0</v>
      </c>
      <c r="N349" s="199">
        <v>0</v>
      </c>
      <c r="O349" s="199">
        <v>0</v>
      </c>
      <c r="P349" s="199">
        <v>0</v>
      </c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5">
      <c r="A350" s="33" t="s">
        <v>140</v>
      </c>
      <c r="B350" s="33" t="s">
        <v>207</v>
      </c>
      <c r="C350" s="33">
        <v>27</v>
      </c>
      <c r="D350" s="33" t="s">
        <v>133</v>
      </c>
      <c r="E350" s="200">
        <v>0</v>
      </c>
      <c r="F350" s="199">
        <v>0</v>
      </c>
      <c r="G350" s="200">
        <v>0</v>
      </c>
      <c r="H350" s="199">
        <v>0</v>
      </c>
      <c r="I350" s="200">
        <v>0</v>
      </c>
      <c r="J350" s="199">
        <v>0</v>
      </c>
      <c r="K350" s="199">
        <v>0</v>
      </c>
      <c r="L350" s="199">
        <v>0</v>
      </c>
      <c r="M350" s="199">
        <v>0</v>
      </c>
      <c r="N350" s="199">
        <v>0</v>
      </c>
      <c r="O350" s="199">
        <v>0</v>
      </c>
      <c r="P350" s="199">
        <v>0</v>
      </c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5">
      <c r="A351" s="33" t="s">
        <v>140</v>
      </c>
      <c r="B351" s="33" t="s">
        <v>207</v>
      </c>
      <c r="C351" s="33">
        <v>28</v>
      </c>
      <c r="D351" s="33" t="s">
        <v>134</v>
      </c>
      <c r="E351" s="205">
        <v>0</v>
      </c>
      <c r="F351" s="206">
        <v>0</v>
      </c>
      <c r="G351" s="205">
        <v>0</v>
      </c>
      <c r="H351" s="206">
        <v>0</v>
      </c>
      <c r="I351" s="205">
        <v>0</v>
      </c>
      <c r="J351" s="206">
        <v>0</v>
      </c>
      <c r="K351" s="206">
        <v>0</v>
      </c>
      <c r="L351" s="199">
        <v>0</v>
      </c>
      <c r="M351" s="199">
        <v>0</v>
      </c>
      <c r="N351" s="199">
        <v>0</v>
      </c>
      <c r="O351" s="199">
        <v>0</v>
      </c>
      <c r="P351" s="199">
        <v>0</v>
      </c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5">
      <c r="A352" s="33" t="s">
        <v>140</v>
      </c>
      <c r="B352" s="33" t="s">
        <v>207</v>
      </c>
      <c r="C352" s="33">
        <v>29</v>
      </c>
      <c r="D352" s="33" t="s">
        <v>135</v>
      </c>
      <c r="E352" s="200">
        <v>0</v>
      </c>
      <c r="F352" s="199">
        <v>0</v>
      </c>
      <c r="G352" s="200">
        <v>0</v>
      </c>
      <c r="H352" s="199">
        <v>0</v>
      </c>
      <c r="I352" s="200">
        <v>0</v>
      </c>
      <c r="J352" s="199">
        <v>0</v>
      </c>
      <c r="K352" s="199">
        <v>0</v>
      </c>
      <c r="L352" s="199">
        <v>0</v>
      </c>
      <c r="M352" s="199">
        <v>0</v>
      </c>
      <c r="N352" s="199">
        <v>0</v>
      </c>
      <c r="O352" s="199">
        <v>0</v>
      </c>
      <c r="P352" s="199">
        <v>0</v>
      </c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5">
      <c r="A353" s="33" t="s">
        <v>140</v>
      </c>
      <c r="B353" s="33" t="s">
        <v>207</v>
      </c>
      <c r="C353" s="33">
        <v>30</v>
      </c>
      <c r="D353" s="33" t="s">
        <v>136</v>
      </c>
      <c r="E353" s="200">
        <v>0</v>
      </c>
      <c r="F353" s="199">
        <v>0</v>
      </c>
      <c r="G353" s="200">
        <v>0</v>
      </c>
      <c r="H353" s="199">
        <v>0</v>
      </c>
      <c r="I353" s="200">
        <v>0</v>
      </c>
      <c r="J353" s="199">
        <v>0</v>
      </c>
      <c r="K353" s="199">
        <v>0</v>
      </c>
      <c r="L353" s="199">
        <v>0</v>
      </c>
      <c r="M353" s="199">
        <v>0</v>
      </c>
      <c r="N353" s="199">
        <v>0</v>
      </c>
      <c r="O353" s="199">
        <v>0</v>
      </c>
      <c r="P353" s="199">
        <v>0</v>
      </c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5">
      <c r="A354" s="33" t="s">
        <v>140</v>
      </c>
      <c r="B354" s="33" t="s">
        <v>207</v>
      </c>
      <c r="C354" s="33">
        <v>31</v>
      </c>
      <c r="D354" s="33" t="s">
        <v>137</v>
      </c>
      <c r="E354" s="200">
        <v>0</v>
      </c>
      <c r="F354" s="199">
        <v>0</v>
      </c>
      <c r="G354" s="200">
        <v>0</v>
      </c>
      <c r="H354" s="199">
        <v>0</v>
      </c>
      <c r="I354" s="200">
        <v>0</v>
      </c>
      <c r="J354" s="199">
        <v>0</v>
      </c>
      <c r="K354" s="199">
        <v>0</v>
      </c>
      <c r="L354" s="199">
        <v>0</v>
      </c>
      <c r="M354" s="199">
        <v>0</v>
      </c>
      <c r="N354" s="199">
        <v>0</v>
      </c>
      <c r="O354" s="199">
        <v>0</v>
      </c>
      <c r="P354" s="199">
        <v>0</v>
      </c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5">
      <c r="A355" s="33" t="s">
        <v>140</v>
      </c>
      <c r="B355" s="33" t="s">
        <v>207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>
        <v>0</v>
      </c>
      <c r="J355" s="199">
        <v>0</v>
      </c>
      <c r="K355" s="199">
        <v>0</v>
      </c>
      <c r="L355" s="199">
        <v>0</v>
      </c>
      <c r="M355" s="199">
        <v>0</v>
      </c>
      <c r="N355" s="199">
        <v>0</v>
      </c>
      <c r="O355" s="199">
        <v>0</v>
      </c>
      <c r="P355" s="199">
        <v>0</v>
      </c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5">
      <c r="A356" s="33" t="s">
        <v>140</v>
      </c>
      <c r="B356" s="33" t="s">
        <v>207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>
        <v>0</v>
      </c>
      <c r="J356" s="199">
        <v>0</v>
      </c>
      <c r="K356" s="199">
        <v>0</v>
      </c>
      <c r="L356" s="199">
        <v>0</v>
      </c>
      <c r="M356" s="199">
        <v>0</v>
      </c>
      <c r="N356" s="199">
        <v>0</v>
      </c>
      <c r="O356" s="199">
        <v>0</v>
      </c>
      <c r="P356" s="199">
        <v>0</v>
      </c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5">
      <c r="A357" s="33" t="s">
        <v>140</v>
      </c>
      <c r="B357" s="33" t="s">
        <v>207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>
        <v>0</v>
      </c>
      <c r="J357" s="199">
        <v>0</v>
      </c>
      <c r="K357" s="199">
        <v>0</v>
      </c>
      <c r="L357" s="199">
        <v>0</v>
      </c>
      <c r="M357" s="199">
        <v>0</v>
      </c>
      <c r="N357" s="199">
        <v>0</v>
      </c>
      <c r="O357" s="199">
        <v>0</v>
      </c>
      <c r="P357" s="199">
        <v>0</v>
      </c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5">
      <c r="A358" s="33" t="s">
        <v>140</v>
      </c>
      <c r="B358" s="33" t="s">
        <v>207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>
        <v>0</v>
      </c>
      <c r="J358" s="199">
        <v>0</v>
      </c>
      <c r="K358" s="199">
        <v>0</v>
      </c>
      <c r="L358" s="199">
        <v>0</v>
      </c>
      <c r="M358" s="199">
        <v>0</v>
      </c>
      <c r="N358" s="199">
        <v>0</v>
      </c>
      <c r="O358" s="199">
        <v>0</v>
      </c>
      <c r="P358" s="199">
        <v>0</v>
      </c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5">
      <c r="A359" s="33" t="s">
        <v>140</v>
      </c>
      <c r="B359" s="33" t="s">
        <v>207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>
        <v>0</v>
      </c>
      <c r="J359" s="199">
        <v>0</v>
      </c>
      <c r="K359" s="199">
        <v>0</v>
      </c>
      <c r="L359" s="199">
        <v>0</v>
      </c>
      <c r="M359" s="199">
        <v>0</v>
      </c>
      <c r="N359" s="199">
        <v>0</v>
      </c>
      <c r="O359" s="199">
        <v>0</v>
      </c>
      <c r="P359" s="199">
        <v>0</v>
      </c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5">
      <c r="A360" s="33" t="s">
        <v>140</v>
      </c>
      <c r="B360" s="33" t="s">
        <v>207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>
        <v>0</v>
      </c>
      <c r="J360" s="199">
        <v>0</v>
      </c>
      <c r="K360" s="199">
        <v>0</v>
      </c>
      <c r="L360" s="199">
        <v>0</v>
      </c>
      <c r="M360" s="199">
        <v>0</v>
      </c>
      <c r="N360" s="199">
        <v>0</v>
      </c>
      <c r="O360" s="199">
        <v>0</v>
      </c>
      <c r="P360" s="199">
        <v>0</v>
      </c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5">
      <c r="A361" s="33" t="s">
        <v>140</v>
      </c>
      <c r="B361" s="33" t="s">
        <v>207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>
        <v>0</v>
      </c>
      <c r="J361" s="199">
        <v>0</v>
      </c>
      <c r="K361" s="199">
        <v>0</v>
      </c>
      <c r="L361" s="199">
        <v>0</v>
      </c>
      <c r="M361" s="199">
        <v>0</v>
      </c>
      <c r="N361" s="199">
        <v>0</v>
      </c>
      <c r="O361" s="199">
        <v>0</v>
      </c>
      <c r="P361" s="199">
        <v>0</v>
      </c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5">
      <c r="A362" s="33" t="s">
        <v>140</v>
      </c>
      <c r="B362" s="33" t="s">
        <v>207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>
        <v>0</v>
      </c>
      <c r="J362" s="199">
        <v>0</v>
      </c>
      <c r="K362" s="199">
        <v>0</v>
      </c>
      <c r="L362" s="199">
        <v>0</v>
      </c>
      <c r="M362" s="199">
        <v>0</v>
      </c>
      <c r="N362" s="199">
        <v>0</v>
      </c>
      <c r="O362" s="199">
        <v>0</v>
      </c>
      <c r="P362" s="199">
        <v>0</v>
      </c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5">
      <c r="A363" s="33" t="s">
        <v>140</v>
      </c>
      <c r="B363" s="33" t="s">
        <v>207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>
        <v>0</v>
      </c>
      <c r="J363" s="199">
        <v>0</v>
      </c>
      <c r="K363" s="199">
        <v>0</v>
      </c>
      <c r="L363" s="199">
        <v>0</v>
      </c>
      <c r="M363" s="199">
        <v>0</v>
      </c>
      <c r="N363" s="199">
        <v>0</v>
      </c>
      <c r="O363" s="199">
        <v>0</v>
      </c>
      <c r="P363" s="199">
        <v>0</v>
      </c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5">
      <c r="A364" s="33" t="s">
        <v>140</v>
      </c>
      <c r="B364" s="33" t="s">
        <v>139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>
        <v>0</v>
      </c>
      <c r="J364" s="199">
        <v>0</v>
      </c>
      <c r="K364" s="199">
        <v>0</v>
      </c>
      <c r="L364" s="199">
        <v>0</v>
      </c>
      <c r="M364" s="199">
        <v>0</v>
      </c>
      <c r="N364" s="199">
        <v>0</v>
      </c>
      <c r="O364" s="199">
        <v>0</v>
      </c>
      <c r="P364" s="199">
        <v>0</v>
      </c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5">
      <c r="A365" s="33" t="s">
        <v>140</v>
      </c>
      <c r="B365" s="33" t="s">
        <v>139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>
        <v>0</v>
      </c>
      <c r="J365" s="199">
        <v>0</v>
      </c>
      <c r="K365" s="199">
        <v>0</v>
      </c>
      <c r="L365" s="199">
        <v>0</v>
      </c>
      <c r="M365" s="199">
        <v>0</v>
      </c>
      <c r="N365" s="199">
        <v>0</v>
      </c>
      <c r="O365" s="199">
        <v>0</v>
      </c>
      <c r="P365" s="199">
        <v>0</v>
      </c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5">
      <c r="A366" s="33" t="s">
        <v>140</v>
      </c>
      <c r="B366" s="33" t="s">
        <v>139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>
        <v>0</v>
      </c>
      <c r="J366" s="199">
        <v>0</v>
      </c>
      <c r="K366" s="199">
        <v>0</v>
      </c>
      <c r="L366" s="199">
        <v>0</v>
      </c>
      <c r="M366" s="199">
        <v>0</v>
      </c>
      <c r="N366" s="199">
        <v>0</v>
      </c>
      <c r="O366" s="199">
        <v>0</v>
      </c>
      <c r="P366" s="199">
        <v>0</v>
      </c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5">
      <c r="A367" s="33" t="s">
        <v>140</v>
      </c>
      <c r="B367" s="33" t="s">
        <v>139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>
        <v>0</v>
      </c>
      <c r="J367" s="199">
        <v>0</v>
      </c>
      <c r="K367" s="199">
        <v>0</v>
      </c>
      <c r="L367" s="199">
        <v>0</v>
      </c>
      <c r="M367" s="199">
        <v>0</v>
      </c>
      <c r="N367" s="199">
        <v>0</v>
      </c>
      <c r="O367" s="199">
        <v>0</v>
      </c>
      <c r="P367" s="199">
        <v>0</v>
      </c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5">
      <c r="A368" s="33" t="s">
        <v>140</v>
      </c>
      <c r="B368" s="33" t="s">
        <v>139</v>
      </c>
      <c r="C368" s="33">
        <v>5</v>
      </c>
      <c r="D368" s="33" t="s">
        <v>125</v>
      </c>
      <c r="E368" s="200">
        <v>0</v>
      </c>
      <c r="F368" s="199">
        <v>0</v>
      </c>
      <c r="G368" s="200">
        <v>0</v>
      </c>
      <c r="H368" s="199">
        <v>0</v>
      </c>
      <c r="I368" s="200">
        <v>0</v>
      </c>
      <c r="J368" s="199">
        <v>0</v>
      </c>
      <c r="K368" s="199">
        <v>0</v>
      </c>
      <c r="L368" s="199">
        <v>0</v>
      </c>
      <c r="M368" s="199">
        <v>0</v>
      </c>
      <c r="N368" s="199">
        <v>0</v>
      </c>
      <c r="O368" s="199">
        <v>0</v>
      </c>
      <c r="P368" s="199">
        <v>0</v>
      </c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5">
      <c r="A369" s="33" t="s">
        <v>140</v>
      </c>
      <c r="B369" s="33" t="s">
        <v>139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>
        <v>0</v>
      </c>
      <c r="J369" s="199">
        <v>0</v>
      </c>
      <c r="K369" s="199">
        <v>0</v>
      </c>
      <c r="L369" s="199">
        <v>0</v>
      </c>
      <c r="M369" s="199">
        <v>0</v>
      </c>
      <c r="N369" s="199">
        <v>0</v>
      </c>
      <c r="O369" s="199">
        <v>0</v>
      </c>
      <c r="P369" s="199">
        <v>0</v>
      </c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5">
      <c r="A370" s="33" t="s">
        <v>140</v>
      </c>
      <c r="B370" s="33" t="s">
        <v>139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>
        <v>0</v>
      </c>
      <c r="J370" s="199">
        <v>0</v>
      </c>
      <c r="K370" s="199">
        <v>0</v>
      </c>
      <c r="L370" s="199">
        <v>0</v>
      </c>
      <c r="M370" s="199">
        <v>0</v>
      </c>
      <c r="N370" s="199">
        <v>0</v>
      </c>
      <c r="O370" s="199">
        <v>0</v>
      </c>
      <c r="P370" s="199">
        <v>0</v>
      </c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5">
      <c r="A371" s="33" t="s">
        <v>140</v>
      </c>
      <c r="B371" s="33" t="s">
        <v>139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>
        <v>0</v>
      </c>
      <c r="J371" s="199">
        <v>0</v>
      </c>
      <c r="K371" s="199">
        <v>0</v>
      </c>
      <c r="L371" s="199">
        <v>0</v>
      </c>
      <c r="M371" s="199">
        <v>0</v>
      </c>
      <c r="N371" s="199">
        <v>0</v>
      </c>
      <c r="O371" s="199">
        <v>0</v>
      </c>
      <c r="P371" s="199">
        <v>0</v>
      </c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5">
      <c r="A372" s="33" t="s">
        <v>140</v>
      </c>
      <c r="B372" s="33" t="s">
        <v>139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>
        <v>0</v>
      </c>
      <c r="J372" s="199">
        <v>0</v>
      </c>
      <c r="K372" s="199">
        <v>0</v>
      </c>
      <c r="L372" s="199">
        <v>0</v>
      </c>
      <c r="M372" s="199">
        <v>0</v>
      </c>
      <c r="N372" s="199">
        <v>0</v>
      </c>
      <c r="O372" s="199">
        <v>0</v>
      </c>
      <c r="P372" s="199">
        <v>0</v>
      </c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5">
      <c r="A373" s="33" t="s">
        <v>140</v>
      </c>
      <c r="B373" s="33" t="s">
        <v>139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>
        <v>0</v>
      </c>
      <c r="J373" s="199">
        <v>0</v>
      </c>
      <c r="K373" s="199">
        <v>0</v>
      </c>
      <c r="L373" s="199">
        <v>0</v>
      </c>
      <c r="M373" s="199">
        <v>0</v>
      </c>
      <c r="N373" s="199">
        <v>0</v>
      </c>
      <c r="O373" s="199">
        <v>0</v>
      </c>
      <c r="P373" s="199">
        <v>0</v>
      </c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5">
      <c r="A374" s="33" t="s">
        <v>140</v>
      </c>
      <c r="B374" s="33" t="s">
        <v>139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>
        <v>0</v>
      </c>
      <c r="J374" s="199">
        <v>0</v>
      </c>
      <c r="K374" s="199">
        <v>0</v>
      </c>
      <c r="L374" s="199">
        <v>0</v>
      </c>
      <c r="M374" s="199">
        <v>0</v>
      </c>
      <c r="N374" s="199">
        <v>0</v>
      </c>
      <c r="O374" s="199">
        <v>0</v>
      </c>
      <c r="P374" s="199">
        <v>0</v>
      </c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5">
      <c r="A375" s="33" t="s">
        <v>140</v>
      </c>
      <c r="B375" s="33" t="s">
        <v>139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>
        <v>0</v>
      </c>
      <c r="J375" s="199">
        <v>0</v>
      </c>
      <c r="K375" s="199">
        <v>0</v>
      </c>
      <c r="L375" s="199">
        <v>0</v>
      </c>
      <c r="M375" s="199">
        <v>0</v>
      </c>
      <c r="N375" s="199">
        <v>0</v>
      </c>
      <c r="O375" s="199">
        <v>0</v>
      </c>
      <c r="P375" s="199">
        <v>0</v>
      </c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5">
      <c r="A376" s="33" t="s">
        <v>140</v>
      </c>
      <c r="B376" s="33" t="s">
        <v>139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>
        <v>0</v>
      </c>
      <c r="J376" s="199">
        <v>0</v>
      </c>
      <c r="K376" s="199">
        <v>0</v>
      </c>
      <c r="L376" s="199">
        <v>0</v>
      </c>
      <c r="M376" s="199">
        <v>0</v>
      </c>
      <c r="N376" s="199">
        <v>0</v>
      </c>
      <c r="O376" s="199">
        <v>0</v>
      </c>
      <c r="P376" s="199">
        <v>0</v>
      </c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5">
      <c r="A377" s="33" t="s">
        <v>140</v>
      </c>
      <c r="B377" s="33" t="s">
        <v>139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>
        <v>0</v>
      </c>
      <c r="J377" s="199">
        <v>0</v>
      </c>
      <c r="K377" s="199">
        <v>0</v>
      </c>
      <c r="L377" s="199">
        <v>0</v>
      </c>
      <c r="M377" s="199">
        <v>0</v>
      </c>
      <c r="N377" s="199">
        <v>0</v>
      </c>
      <c r="O377" s="199">
        <v>0</v>
      </c>
      <c r="P377" s="199">
        <v>0</v>
      </c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5">
      <c r="A378" s="33" t="s">
        <v>140</v>
      </c>
      <c r="B378" s="33" t="s">
        <v>139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>
        <v>0</v>
      </c>
      <c r="J378" s="199">
        <v>0</v>
      </c>
      <c r="K378" s="199">
        <v>0</v>
      </c>
      <c r="L378" s="199">
        <v>0</v>
      </c>
      <c r="M378" s="199">
        <v>0</v>
      </c>
      <c r="N378" s="199">
        <v>0</v>
      </c>
      <c r="O378" s="199">
        <v>0</v>
      </c>
      <c r="P378" s="199">
        <v>0</v>
      </c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5">
      <c r="A379" s="33" t="s">
        <v>140</v>
      </c>
      <c r="B379" s="33" t="s">
        <v>139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>
        <v>0</v>
      </c>
      <c r="J379" s="199">
        <v>0</v>
      </c>
      <c r="K379" s="199">
        <v>0</v>
      </c>
      <c r="L379" s="199">
        <v>0</v>
      </c>
      <c r="M379" s="199">
        <v>0</v>
      </c>
      <c r="N379" s="199">
        <v>0</v>
      </c>
      <c r="O379" s="199">
        <v>0</v>
      </c>
      <c r="P379" s="199">
        <v>0</v>
      </c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5">
      <c r="A380" s="33" t="s">
        <v>140</v>
      </c>
      <c r="B380" s="33" t="s">
        <v>139</v>
      </c>
      <c r="C380" s="33">
        <v>17</v>
      </c>
      <c r="D380" s="33" t="s">
        <v>126</v>
      </c>
      <c r="E380" s="200">
        <v>0</v>
      </c>
      <c r="F380" s="199">
        <v>0</v>
      </c>
      <c r="G380" s="200">
        <v>0</v>
      </c>
      <c r="H380" s="199">
        <v>0</v>
      </c>
      <c r="I380" s="200">
        <v>0</v>
      </c>
      <c r="J380" s="199">
        <v>0</v>
      </c>
      <c r="K380" s="199">
        <v>0</v>
      </c>
      <c r="L380" s="199">
        <v>0</v>
      </c>
      <c r="M380" s="199">
        <v>0</v>
      </c>
      <c r="N380" s="199">
        <v>0</v>
      </c>
      <c r="O380" s="199">
        <v>0</v>
      </c>
      <c r="P380" s="199">
        <v>0</v>
      </c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5">
      <c r="A381" s="33" t="s">
        <v>140</v>
      </c>
      <c r="B381" s="33" t="s">
        <v>139</v>
      </c>
      <c r="C381" s="33">
        <v>18</v>
      </c>
      <c r="D381" s="33" t="s">
        <v>127</v>
      </c>
      <c r="E381" s="200">
        <v>0</v>
      </c>
      <c r="F381" s="199">
        <v>0</v>
      </c>
      <c r="G381" s="200">
        <v>0</v>
      </c>
      <c r="H381" s="199">
        <v>0</v>
      </c>
      <c r="I381" s="200">
        <v>0</v>
      </c>
      <c r="J381" s="199">
        <v>0</v>
      </c>
      <c r="K381" s="199">
        <v>0</v>
      </c>
      <c r="L381" s="199">
        <v>0</v>
      </c>
      <c r="M381" s="199">
        <v>0</v>
      </c>
      <c r="N381" s="199">
        <v>0</v>
      </c>
      <c r="O381" s="199">
        <v>0</v>
      </c>
      <c r="P381" s="199">
        <v>0</v>
      </c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5">
      <c r="A382" s="33" t="s">
        <v>140</v>
      </c>
      <c r="B382" s="33" t="s">
        <v>139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>
        <v>0</v>
      </c>
      <c r="J382" s="199">
        <v>0</v>
      </c>
      <c r="K382" s="199">
        <v>0</v>
      </c>
      <c r="L382" s="199">
        <v>0</v>
      </c>
      <c r="M382" s="199">
        <v>0</v>
      </c>
      <c r="N382" s="199">
        <v>0</v>
      </c>
      <c r="O382" s="199">
        <v>0</v>
      </c>
      <c r="P382" s="199">
        <v>0</v>
      </c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5">
      <c r="A383" s="33" t="s">
        <v>140</v>
      </c>
      <c r="B383" s="33" t="s">
        <v>139</v>
      </c>
      <c r="C383" s="33">
        <v>20</v>
      </c>
      <c r="D383" s="33" t="s">
        <v>128</v>
      </c>
      <c r="E383" s="200">
        <v>0</v>
      </c>
      <c r="F383" s="199">
        <v>0</v>
      </c>
      <c r="G383" s="200">
        <v>0</v>
      </c>
      <c r="H383" s="199">
        <v>0</v>
      </c>
      <c r="I383" s="200">
        <v>0</v>
      </c>
      <c r="J383" s="199">
        <v>0</v>
      </c>
      <c r="K383" s="199">
        <v>0</v>
      </c>
      <c r="L383" s="199">
        <v>0</v>
      </c>
      <c r="M383" s="199">
        <v>0</v>
      </c>
      <c r="N383" s="199">
        <v>0</v>
      </c>
      <c r="O383" s="199">
        <v>0</v>
      </c>
      <c r="P383" s="199">
        <v>0</v>
      </c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5">
      <c r="A384" s="33" t="s">
        <v>140</v>
      </c>
      <c r="B384" s="33" t="s">
        <v>139</v>
      </c>
      <c r="C384" s="33">
        <v>21</v>
      </c>
      <c r="D384" s="33" t="s">
        <v>129</v>
      </c>
      <c r="E384" s="200">
        <v>0</v>
      </c>
      <c r="F384" s="199">
        <v>0</v>
      </c>
      <c r="G384" s="200">
        <v>0</v>
      </c>
      <c r="H384" s="199">
        <v>0</v>
      </c>
      <c r="I384" s="200">
        <v>0</v>
      </c>
      <c r="J384" s="199">
        <v>0</v>
      </c>
      <c r="K384" s="199">
        <v>0</v>
      </c>
      <c r="L384" s="199">
        <v>0</v>
      </c>
      <c r="M384" s="199">
        <v>0</v>
      </c>
      <c r="N384" s="199">
        <v>0</v>
      </c>
      <c r="O384" s="199">
        <v>0</v>
      </c>
      <c r="P384" s="199">
        <v>0</v>
      </c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5">
      <c r="A385" s="33" t="s">
        <v>140</v>
      </c>
      <c r="B385" s="33" t="s">
        <v>139</v>
      </c>
      <c r="C385" s="33">
        <v>22</v>
      </c>
      <c r="D385" s="33" t="s">
        <v>130</v>
      </c>
      <c r="E385" s="200">
        <v>0</v>
      </c>
      <c r="F385" s="199">
        <v>0</v>
      </c>
      <c r="G385" s="200">
        <v>0</v>
      </c>
      <c r="H385" s="199">
        <v>0</v>
      </c>
      <c r="I385" s="200">
        <v>0</v>
      </c>
      <c r="J385" s="199">
        <v>0</v>
      </c>
      <c r="K385" s="199">
        <v>0</v>
      </c>
      <c r="L385" s="199">
        <v>0</v>
      </c>
      <c r="M385" s="199">
        <v>0</v>
      </c>
      <c r="N385" s="199">
        <v>0</v>
      </c>
      <c r="O385" s="199">
        <v>0</v>
      </c>
      <c r="P385" s="199">
        <v>0</v>
      </c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5">
      <c r="A386" s="33" t="s">
        <v>140</v>
      </c>
      <c r="B386" s="33" t="s">
        <v>139</v>
      </c>
      <c r="C386" s="33">
        <v>23</v>
      </c>
      <c r="D386" s="33" t="s">
        <v>131</v>
      </c>
      <c r="E386" s="200">
        <v>0</v>
      </c>
      <c r="F386" s="199">
        <v>0</v>
      </c>
      <c r="G386" s="200">
        <v>0</v>
      </c>
      <c r="H386" s="199">
        <v>0</v>
      </c>
      <c r="I386" s="200">
        <v>0</v>
      </c>
      <c r="J386" s="199">
        <v>0</v>
      </c>
      <c r="K386" s="199">
        <v>0</v>
      </c>
      <c r="L386" s="199">
        <v>0</v>
      </c>
      <c r="M386" s="199">
        <v>0</v>
      </c>
      <c r="N386" s="199">
        <v>0</v>
      </c>
      <c r="O386" s="199">
        <v>0</v>
      </c>
      <c r="P386" s="199">
        <v>0</v>
      </c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5">
      <c r="A387" s="33" t="s">
        <v>140</v>
      </c>
      <c r="B387" s="33" t="s">
        <v>139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>
        <v>0</v>
      </c>
      <c r="J387" s="199">
        <v>0</v>
      </c>
      <c r="K387" s="199">
        <v>0</v>
      </c>
      <c r="L387" s="199">
        <v>0</v>
      </c>
      <c r="M387" s="199">
        <v>0</v>
      </c>
      <c r="N387" s="199">
        <v>0</v>
      </c>
      <c r="O387" s="199">
        <v>0</v>
      </c>
      <c r="P387" s="199">
        <v>0</v>
      </c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5">
      <c r="A388" s="33" t="s">
        <v>140</v>
      </c>
      <c r="B388" s="33" t="s">
        <v>139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>
        <v>0</v>
      </c>
      <c r="J388" s="199">
        <v>0</v>
      </c>
      <c r="K388" s="199">
        <v>0</v>
      </c>
      <c r="L388" s="199">
        <v>0</v>
      </c>
      <c r="M388" s="199">
        <v>0</v>
      </c>
      <c r="N388" s="199">
        <v>0</v>
      </c>
      <c r="O388" s="199">
        <v>0</v>
      </c>
      <c r="P388" s="199">
        <v>0</v>
      </c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5">
      <c r="A389" s="33" t="s">
        <v>140</v>
      </c>
      <c r="B389" s="33" t="s">
        <v>139</v>
      </c>
      <c r="C389" s="33">
        <v>26</v>
      </c>
      <c r="D389" s="33" t="s">
        <v>132</v>
      </c>
      <c r="E389" s="200">
        <v>0</v>
      </c>
      <c r="F389" s="199">
        <v>0</v>
      </c>
      <c r="G389" s="200">
        <v>0</v>
      </c>
      <c r="H389" s="199">
        <v>0</v>
      </c>
      <c r="I389" s="200">
        <v>0</v>
      </c>
      <c r="J389" s="199">
        <v>0</v>
      </c>
      <c r="K389" s="199">
        <v>0</v>
      </c>
      <c r="L389" s="199">
        <v>0</v>
      </c>
      <c r="M389" s="199">
        <v>0</v>
      </c>
      <c r="N389" s="199">
        <v>0</v>
      </c>
      <c r="O389" s="199">
        <v>0</v>
      </c>
      <c r="P389" s="199">
        <v>0</v>
      </c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5">
      <c r="A390" s="33" t="s">
        <v>140</v>
      </c>
      <c r="B390" s="33" t="s">
        <v>139</v>
      </c>
      <c r="C390" s="33">
        <v>27</v>
      </c>
      <c r="D390" s="33" t="s">
        <v>133</v>
      </c>
      <c r="E390" s="200">
        <v>0</v>
      </c>
      <c r="F390" s="199">
        <v>0</v>
      </c>
      <c r="G390" s="200">
        <v>0</v>
      </c>
      <c r="H390" s="199">
        <v>0</v>
      </c>
      <c r="I390" s="200">
        <v>0</v>
      </c>
      <c r="J390" s="199">
        <v>0</v>
      </c>
      <c r="K390" s="199">
        <v>0</v>
      </c>
      <c r="L390" s="199">
        <v>0</v>
      </c>
      <c r="M390" s="199">
        <v>0</v>
      </c>
      <c r="N390" s="199">
        <v>0</v>
      </c>
      <c r="O390" s="199">
        <v>0</v>
      </c>
      <c r="P390" s="199">
        <v>0</v>
      </c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5">
      <c r="A391" s="33" t="s">
        <v>140</v>
      </c>
      <c r="B391" s="33" t="s">
        <v>139</v>
      </c>
      <c r="C391" s="33">
        <v>28</v>
      </c>
      <c r="D391" s="33" t="s">
        <v>134</v>
      </c>
      <c r="E391" s="200">
        <v>0</v>
      </c>
      <c r="F391" s="199">
        <v>0</v>
      </c>
      <c r="G391" s="200">
        <v>0</v>
      </c>
      <c r="H391" s="199">
        <v>0</v>
      </c>
      <c r="I391" s="200">
        <v>0</v>
      </c>
      <c r="J391" s="199">
        <v>0</v>
      </c>
      <c r="K391" s="199">
        <v>0</v>
      </c>
      <c r="L391" s="199">
        <v>0</v>
      </c>
      <c r="M391" s="199">
        <v>0</v>
      </c>
      <c r="N391" s="199">
        <v>0</v>
      </c>
      <c r="O391" s="199">
        <v>0</v>
      </c>
      <c r="P391" s="199">
        <v>0</v>
      </c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5">
      <c r="A392" s="33" t="s">
        <v>140</v>
      </c>
      <c r="B392" s="33" t="s">
        <v>139</v>
      </c>
      <c r="C392" s="33">
        <v>29</v>
      </c>
      <c r="D392" s="33" t="s">
        <v>135</v>
      </c>
      <c r="E392" s="200">
        <v>0</v>
      </c>
      <c r="F392" s="199">
        <v>0</v>
      </c>
      <c r="G392" s="200">
        <v>0</v>
      </c>
      <c r="H392" s="199">
        <v>0</v>
      </c>
      <c r="I392" s="200">
        <v>0</v>
      </c>
      <c r="J392" s="199">
        <v>0</v>
      </c>
      <c r="K392" s="199">
        <v>0</v>
      </c>
      <c r="L392" s="199">
        <v>0</v>
      </c>
      <c r="M392" s="199">
        <v>0</v>
      </c>
      <c r="N392" s="199">
        <v>0</v>
      </c>
      <c r="O392" s="199">
        <v>0</v>
      </c>
      <c r="P392" s="199">
        <v>0</v>
      </c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5">
      <c r="A393" s="33" t="s">
        <v>140</v>
      </c>
      <c r="B393" s="33" t="s">
        <v>139</v>
      </c>
      <c r="C393" s="33">
        <v>30</v>
      </c>
      <c r="D393" s="33" t="s">
        <v>136</v>
      </c>
      <c r="E393" s="200">
        <v>0</v>
      </c>
      <c r="F393" s="199">
        <v>0</v>
      </c>
      <c r="G393" s="200">
        <v>0</v>
      </c>
      <c r="H393" s="199">
        <v>0</v>
      </c>
      <c r="I393" s="200">
        <v>0</v>
      </c>
      <c r="J393" s="199">
        <v>0</v>
      </c>
      <c r="K393" s="199">
        <v>0</v>
      </c>
      <c r="L393" s="199">
        <v>0</v>
      </c>
      <c r="M393" s="199">
        <v>0</v>
      </c>
      <c r="N393" s="199">
        <v>0</v>
      </c>
      <c r="O393" s="199">
        <v>0</v>
      </c>
      <c r="P393" s="199">
        <v>0</v>
      </c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5">
      <c r="A394" s="33" t="s">
        <v>140</v>
      </c>
      <c r="B394" s="33" t="s">
        <v>139</v>
      </c>
      <c r="C394" s="33">
        <v>31</v>
      </c>
      <c r="D394" s="33" t="s">
        <v>137</v>
      </c>
      <c r="E394" s="200">
        <v>0</v>
      </c>
      <c r="F394" s="199">
        <v>0</v>
      </c>
      <c r="G394" s="200">
        <v>0</v>
      </c>
      <c r="H394" s="199">
        <v>0</v>
      </c>
      <c r="I394" s="200">
        <v>0</v>
      </c>
      <c r="J394" s="199">
        <v>0</v>
      </c>
      <c r="K394" s="199">
        <v>0</v>
      </c>
      <c r="L394" s="199">
        <v>0</v>
      </c>
      <c r="M394" s="199">
        <v>0</v>
      </c>
      <c r="N394" s="199">
        <v>0</v>
      </c>
      <c r="O394" s="199">
        <v>0</v>
      </c>
      <c r="P394" s="199">
        <v>0</v>
      </c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5">
      <c r="A395" s="33" t="s">
        <v>140</v>
      </c>
      <c r="B395" s="33" t="s">
        <v>139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>
        <v>0</v>
      </c>
      <c r="J395" s="199">
        <v>0</v>
      </c>
      <c r="K395" s="199">
        <v>0</v>
      </c>
      <c r="L395" s="199">
        <v>0</v>
      </c>
      <c r="M395" s="199">
        <v>0</v>
      </c>
      <c r="N395" s="199">
        <v>0</v>
      </c>
      <c r="O395" s="199">
        <v>0</v>
      </c>
      <c r="P395" s="199">
        <v>0</v>
      </c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5">
      <c r="A396" s="33" t="s">
        <v>140</v>
      </c>
      <c r="B396" s="33" t="s">
        <v>139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>
        <v>0</v>
      </c>
      <c r="J396" s="199">
        <v>0</v>
      </c>
      <c r="K396" s="199">
        <v>0</v>
      </c>
      <c r="L396" s="199">
        <v>0</v>
      </c>
      <c r="M396" s="199">
        <v>0</v>
      </c>
      <c r="N396" s="199">
        <v>0</v>
      </c>
      <c r="O396" s="199">
        <v>0</v>
      </c>
      <c r="P396" s="199">
        <v>0</v>
      </c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5">
      <c r="A397" s="33" t="s">
        <v>140</v>
      </c>
      <c r="B397" s="33" t="s">
        <v>139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>
        <v>0</v>
      </c>
      <c r="J397" s="199">
        <v>0</v>
      </c>
      <c r="K397" s="199">
        <v>0</v>
      </c>
      <c r="L397" s="199">
        <v>0</v>
      </c>
      <c r="M397" s="199">
        <v>0</v>
      </c>
      <c r="N397" s="199">
        <v>0</v>
      </c>
      <c r="O397" s="199">
        <v>0</v>
      </c>
      <c r="P397" s="199">
        <v>0</v>
      </c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5">
      <c r="A398" s="33" t="s">
        <v>140</v>
      </c>
      <c r="B398" s="33" t="s">
        <v>139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>
        <v>0</v>
      </c>
      <c r="J398" s="199">
        <v>0</v>
      </c>
      <c r="K398" s="199">
        <v>0</v>
      </c>
      <c r="L398" s="199">
        <v>0</v>
      </c>
      <c r="M398" s="199">
        <v>0</v>
      </c>
      <c r="N398" s="199">
        <v>0</v>
      </c>
      <c r="O398" s="199">
        <v>0</v>
      </c>
      <c r="P398" s="199">
        <v>0</v>
      </c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5">
      <c r="A399" s="33" t="s">
        <v>140</v>
      </c>
      <c r="B399" s="33" t="s">
        <v>139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>
        <v>0</v>
      </c>
      <c r="J399" s="199">
        <v>0</v>
      </c>
      <c r="K399" s="199">
        <v>0</v>
      </c>
      <c r="L399" s="199">
        <v>0</v>
      </c>
      <c r="M399" s="199">
        <v>0</v>
      </c>
      <c r="N399" s="199">
        <v>0</v>
      </c>
      <c r="O399" s="199">
        <v>0</v>
      </c>
      <c r="P399" s="199">
        <v>0</v>
      </c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5">
      <c r="A400" s="33" t="s">
        <v>140</v>
      </c>
      <c r="B400" s="33" t="s">
        <v>139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>
        <v>0</v>
      </c>
      <c r="J400" s="199">
        <v>0</v>
      </c>
      <c r="K400" s="199">
        <v>0</v>
      </c>
      <c r="L400" s="199">
        <v>0</v>
      </c>
      <c r="M400" s="199">
        <v>0</v>
      </c>
      <c r="N400" s="199">
        <v>0</v>
      </c>
      <c r="O400" s="199">
        <v>0</v>
      </c>
      <c r="P400" s="199">
        <v>0</v>
      </c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5">
      <c r="A401" s="33" t="s">
        <v>140</v>
      </c>
      <c r="B401" s="33" t="s">
        <v>139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>
        <v>0</v>
      </c>
      <c r="J401" s="199">
        <v>0</v>
      </c>
      <c r="K401" s="199">
        <v>0</v>
      </c>
      <c r="L401" s="199">
        <v>0</v>
      </c>
      <c r="M401" s="199">
        <v>0</v>
      </c>
      <c r="N401" s="199">
        <v>0</v>
      </c>
      <c r="O401" s="199">
        <v>0</v>
      </c>
      <c r="P401" s="199">
        <v>0</v>
      </c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5">
      <c r="A402" s="33" t="s">
        <v>140</v>
      </c>
      <c r="B402" s="33" t="s">
        <v>139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>
        <v>0</v>
      </c>
      <c r="J402" s="199">
        <v>0</v>
      </c>
      <c r="K402" s="199">
        <v>0</v>
      </c>
      <c r="L402" s="199">
        <v>0</v>
      </c>
      <c r="M402" s="199">
        <v>0</v>
      </c>
      <c r="N402" s="199">
        <v>0</v>
      </c>
      <c r="O402" s="199">
        <v>0</v>
      </c>
      <c r="P402" s="199">
        <v>0</v>
      </c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5">
      <c r="A403" s="33" t="s">
        <v>140</v>
      </c>
      <c r="B403" s="33" t="s">
        <v>139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>
        <v>0</v>
      </c>
      <c r="J403" s="199">
        <v>0</v>
      </c>
      <c r="K403" s="199">
        <v>0</v>
      </c>
      <c r="L403" s="199">
        <v>0</v>
      </c>
      <c r="M403" s="199">
        <v>0</v>
      </c>
      <c r="N403" s="199">
        <v>0</v>
      </c>
      <c r="O403" s="199">
        <v>0</v>
      </c>
      <c r="P403" s="199">
        <v>0</v>
      </c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5">
      <c r="A404" s="33" t="s">
        <v>140</v>
      </c>
      <c r="B404" s="33" t="s">
        <v>197</v>
      </c>
      <c r="C404" s="33">
        <v>1</v>
      </c>
      <c r="D404" s="33" t="s">
        <v>25</v>
      </c>
      <c r="E404" s="200">
        <v>4966961</v>
      </c>
      <c r="F404" s="199">
        <v>15842036.24</v>
      </c>
      <c r="G404" s="200">
        <v>2588791</v>
      </c>
      <c r="H404" s="199">
        <v>3065537.33</v>
      </c>
      <c r="I404" s="200">
        <v>0</v>
      </c>
      <c r="J404" s="199">
        <v>6084.34</v>
      </c>
      <c r="K404" s="199">
        <v>0</v>
      </c>
      <c r="L404" s="199">
        <v>0</v>
      </c>
      <c r="M404" s="199">
        <v>0</v>
      </c>
      <c r="N404" s="199">
        <v>-306012</v>
      </c>
      <c r="O404" s="199">
        <v>0</v>
      </c>
      <c r="P404" s="199">
        <v>0</v>
      </c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5">
      <c r="A405" s="33" t="s">
        <v>140</v>
      </c>
      <c r="B405" s="33" t="s">
        <v>197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>
        <v>0</v>
      </c>
      <c r="J405" s="199">
        <v>0</v>
      </c>
      <c r="K405" s="199">
        <v>0</v>
      </c>
      <c r="L405" s="199">
        <v>0</v>
      </c>
      <c r="M405" s="199">
        <v>0</v>
      </c>
      <c r="N405" s="199">
        <v>0</v>
      </c>
      <c r="O405" s="199">
        <v>0</v>
      </c>
      <c r="P405" s="199">
        <v>0</v>
      </c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5">
      <c r="A406" s="33" t="s">
        <v>140</v>
      </c>
      <c r="B406" s="33" t="s">
        <v>197</v>
      </c>
      <c r="C406" s="33">
        <v>3</v>
      </c>
      <c r="D406" s="33" t="s">
        <v>27</v>
      </c>
      <c r="E406" s="200">
        <v>3922553</v>
      </c>
      <c r="F406" s="199">
        <v>9491043</v>
      </c>
      <c r="G406" s="200">
        <v>-3825134</v>
      </c>
      <c r="H406" s="199">
        <v>-9215199</v>
      </c>
      <c r="I406" s="200">
        <v>0</v>
      </c>
      <c r="J406" s="199">
        <v>0</v>
      </c>
      <c r="K406" s="199">
        <v>0</v>
      </c>
      <c r="L406" s="199">
        <v>0</v>
      </c>
      <c r="M406" s="199">
        <v>0</v>
      </c>
      <c r="N406" s="199">
        <v>0</v>
      </c>
      <c r="O406" s="199">
        <v>3830134</v>
      </c>
      <c r="P406" s="199">
        <v>9226599</v>
      </c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5">
      <c r="A407" s="33" t="s">
        <v>140</v>
      </c>
      <c r="B407" s="33" t="s">
        <v>197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>
        <v>0</v>
      </c>
      <c r="J407" s="199">
        <v>0</v>
      </c>
      <c r="K407" s="199">
        <v>0</v>
      </c>
      <c r="L407" s="199">
        <v>0</v>
      </c>
      <c r="M407" s="199">
        <v>0</v>
      </c>
      <c r="N407" s="199">
        <v>0</v>
      </c>
      <c r="O407" s="199">
        <v>0</v>
      </c>
      <c r="P407" s="199">
        <v>0</v>
      </c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5">
      <c r="A408" s="33" t="s">
        <v>140</v>
      </c>
      <c r="B408" s="33" t="s">
        <v>197</v>
      </c>
      <c r="C408" s="33">
        <v>5</v>
      </c>
      <c r="D408" s="33" t="s">
        <v>125</v>
      </c>
      <c r="E408" s="200">
        <v>0</v>
      </c>
      <c r="F408" s="199">
        <v>0</v>
      </c>
      <c r="G408" s="200">
        <v>0</v>
      </c>
      <c r="H408" s="199">
        <v>0</v>
      </c>
      <c r="I408" s="200">
        <v>0</v>
      </c>
      <c r="J408" s="199">
        <v>0</v>
      </c>
      <c r="K408" s="199">
        <v>0</v>
      </c>
      <c r="L408" s="199">
        <v>0</v>
      </c>
      <c r="M408" s="199">
        <v>0</v>
      </c>
      <c r="N408" s="199">
        <v>0</v>
      </c>
      <c r="O408" s="199">
        <v>0</v>
      </c>
      <c r="P408" s="199">
        <v>0</v>
      </c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5">
      <c r="A409" s="33" t="s">
        <v>140</v>
      </c>
      <c r="B409" s="33" t="s">
        <v>197</v>
      </c>
      <c r="C409" s="33">
        <v>6</v>
      </c>
      <c r="D409" s="33" t="s">
        <v>25</v>
      </c>
      <c r="E409" s="200">
        <v>-1123774</v>
      </c>
      <c r="F409" s="199">
        <v>-3054405.16</v>
      </c>
      <c r="G409" s="200">
        <v>0</v>
      </c>
      <c r="H409" s="199">
        <v>-52476.1</v>
      </c>
      <c r="I409" s="200">
        <v>0</v>
      </c>
      <c r="J409" s="199">
        <v>0</v>
      </c>
      <c r="K409" s="199">
        <v>0</v>
      </c>
      <c r="L409" s="199">
        <v>0</v>
      </c>
      <c r="M409" s="199">
        <v>0</v>
      </c>
      <c r="N409" s="199">
        <v>0</v>
      </c>
      <c r="O409" s="199">
        <v>0</v>
      </c>
      <c r="P409" s="199">
        <v>672476.1</v>
      </c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5">
      <c r="A410" s="33" t="s">
        <v>140</v>
      </c>
      <c r="B410" s="33" t="s">
        <v>197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>
        <v>0</v>
      </c>
      <c r="J410" s="199">
        <v>0</v>
      </c>
      <c r="K410" s="199">
        <v>0</v>
      </c>
      <c r="L410" s="199">
        <v>0</v>
      </c>
      <c r="M410" s="199">
        <v>0</v>
      </c>
      <c r="N410" s="199">
        <v>0</v>
      </c>
      <c r="O410" s="199">
        <v>0</v>
      </c>
      <c r="P410" s="199">
        <v>0</v>
      </c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5">
      <c r="A411" s="33" t="s">
        <v>140</v>
      </c>
      <c r="B411" s="33" t="s">
        <v>197</v>
      </c>
      <c r="C411" s="33">
        <v>8</v>
      </c>
      <c r="D411" s="33" t="s">
        <v>27</v>
      </c>
      <c r="E411" s="200">
        <v>-10332504</v>
      </c>
      <c r="F411" s="199">
        <v>-24454050</v>
      </c>
      <c r="G411" s="200">
        <v>6697179</v>
      </c>
      <c r="H411" s="199">
        <v>15727537</v>
      </c>
      <c r="I411" s="200">
        <v>0</v>
      </c>
      <c r="J411" s="199">
        <v>0</v>
      </c>
      <c r="K411" s="199">
        <v>0</v>
      </c>
      <c r="L411" s="199">
        <v>0</v>
      </c>
      <c r="M411" s="199">
        <v>0</v>
      </c>
      <c r="N411" s="199">
        <v>0</v>
      </c>
      <c r="O411" s="199">
        <v>-6697179</v>
      </c>
      <c r="P411" s="199">
        <v>-15727537</v>
      </c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5">
      <c r="A412" s="33" t="s">
        <v>140</v>
      </c>
      <c r="B412" s="33" t="s">
        <v>197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>
        <v>0</v>
      </c>
      <c r="J412" s="199">
        <v>0</v>
      </c>
      <c r="K412" s="199">
        <v>0</v>
      </c>
      <c r="L412" s="199">
        <v>0</v>
      </c>
      <c r="M412" s="199">
        <v>0</v>
      </c>
      <c r="N412" s="199">
        <v>0</v>
      </c>
      <c r="O412" s="199">
        <v>0</v>
      </c>
      <c r="P412" s="199">
        <v>0</v>
      </c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5">
      <c r="A413" s="33" t="s">
        <v>140</v>
      </c>
      <c r="B413" s="33" t="s">
        <v>197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>
        <v>0</v>
      </c>
      <c r="J413" s="199">
        <v>0</v>
      </c>
      <c r="K413" s="199">
        <v>0</v>
      </c>
      <c r="L413" s="199">
        <v>0</v>
      </c>
      <c r="M413" s="199">
        <v>0</v>
      </c>
      <c r="N413" s="199">
        <v>0</v>
      </c>
      <c r="O413" s="199">
        <v>0</v>
      </c>
      <c r="P413" s="199">
        <v>0</v>
      </c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5">
      <c r="A414" s="33" t="s">
        <v>140</v>
      </c>
      <c r="B414" s="33" t="s">
        <v>197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>
        <v>0</v>
      </c>
      <c r="J414" s="199">
        <v>0</v>
      </c>
      <c r="K414" s="199">
        <v>0</v>
      </c>
      <c r="L414" s="199">
        <v>0</v>
      </c>
      <c r="M414" s="199">
        <v>0</v>
      </c>
      <c r="N414" s="199">
        <v>0</v>
      </c>
      <c r="O414" s="199">
        <v>0</v>
      </c>
      <c r="P414" s="199">
        <v>0</v>
      </c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5">
      <c r="A415" s="33" t="s">
        <v>140</v>
      </c>
      <c r="B415" s="33" t="s">
        <v>197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>
        <v>0</v>
      </c>
      <c r="J415" s="199">
        <v>0</v>
      </c>
      <c r="K415" s="199">
        <v>0</v>
      </c>
      <c r="L415" s="199">
        <v>0</v>
      </c>
      <c r="M415" s="199">
        <v>0</v>
      </c>
      <c r="N415" s="199">
        <v>0</v>
      </c>
      <c r="O415" s="199">
        <v>0</v>
      </c>
      <c r="P415" s="199">
        <v>0</v>
      </c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5">
      <c r="A416" s="33" t="s">
        <v>140</v>
      </c>
      <c r="B416" s="33" t="s">
        <v>197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>
        <v>0</v>
      </c>
      <c r="J416" s="199">
        <v>0</v>
      </c>
      <c r="K416" s="199">
        <v>0</v>
      </c>
      <c r="L416" s="199">
        <v>0</v>
      </c>
      <c r="M416" s="199">
        <v>0</v>
      </c>
      <c r="N416" s="199">
        <v>0</v>
      </c>
      <c r="O416" s="199">
        <v>0</v>
      </c>
      <c r="P416" s="199">
        <v>0</v>
      </c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5">
      <c r="A417" s="33" t="s">
        <v>140</v>
      </c>
      <c r="B417" s="33" t="s">
        <v>197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>
        <v>0</v>
      </c>
      <c r="J417" s="199">
        <v>0</v>
      </c>
      <c r="K417" s="199">
        <v>0</v>
      </c>
      <c r="L417" s="199">
        <v>0</v>
      </c>
      <c r="M417" s="199">
        <v>0</v>
      </c>
      <c r="N417" s="199">
        <v>0</v>
      </c>
      <c r="O417" s="199">
        <v>0</v>
      </c>
      <c r="P417" s="199">
        <v>0</v>
      </c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5">
      <c r="A418" s="33" t="s">
        <v>140</v>
      </c>
      <c r="B418" s="33" t="s">
        <v>197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>
        <v>0</v>
      </c>
      <c r="J418" s="199">
        <v>0</v>
      </c>
      <c r="K418" s="199">
        <v>0</v>
      </c>
      <c r="L418" s="199">
        <v>0</v>
      </c>
      <c r="M418" s="199">
        <v>0</v>
      </c>
      <c r="N418" s="199">
        <v>0</v>
      </c>
      <c r="O418" s="199">
        <v>0</v>
      </c>
      <c r="P418" s="199">
        <v>0</v>
      </c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5">
      <c r="A419" s="33" t="s">
        <v>140</v>
      </c>
      <c r="B419" s="33" t="s">
        <v>197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>
        <v>0</v>
      </c>
      <c r="J419" s="199">
        <v>0</v>
      </c>
      <c r="K419" s="199">
        <v>0</v>
      </c>
      <c r="L419" s="199">
        <v>0</v>
      </c>
      <c r="M419" s="199">
        <v>0</v>
      </c>
      <c r="N419" s="199">
        <v>0</v>
      </c>
      <c r="O419" s="199">
        <v>0</v>
      </c>
      <c r="P419" s="199">
        <v>0</v>
      </c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5">
      <c r="A420" s="33" t="s">
        <v>140</v>
      </c>
      <c r="B420" s="33" t="s">
        <v>197</v>
      </c>
      <c r="C420" s="33">
        <v>17</v>
      </c>
      <c r="D420" s="33" t="s">
        <v>126</v>
      </c>
      <c r="E420" s="200">
        <v>0</v>
      </c>
      <c r="F420" s="199">
        <v>0</v>
      </c>
      <c r="G420" s="200">
        <v>0</v>
      </c>
      <c r="H420" s="199">
        <v>0</v>
      </c>
      <c r="I420" s="200">
        <v>0</v>
      </c>
      <c r="J420" s="199">
        <v>0</v>
      </c>
      <c r="K420" s="199">
        <v>0</v>
      </c>
      <c r="L420" s="199">
        <v>0</v>
      </c>
      <c r="M420" s="199">
        <v>0</v>
      </c>
      <c r="N420" s="199">
        <v>0</v>
      </c>
      <c r="O420" s="199">
        <v>0</v>
      </c>
      <c r="P420" s="199">
        <v>0</v>
      </c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5">
      <c r="A421" s="33" t="s">
        <v>140</v>
      </c>
      <c r="B421" s="33" t="s">
        <v>197</v>
      </c>
      <c r="C421" s="33">
        <v>18</v>
      </c>
      <c r="D421" s="33" t="s">
        <v>127</v>
      </c>
      <c r="E421" s="200">
        <v>0</v>
      </c>
      <c r="F421" s="199">
        <v>0</v>
      </c>
      <c r="G421" s="200">
        <v>0</v>
      </c>
      <c r="H421" s="199">
        <v>0</v>
      </c>
      <c r="I421" s="200">
        <v>0</v>
      </c>
      <c r="J421" s="199">
        <v>0</v>
      </c>
      <c r="K421" s="199">
        <v>0</v>
      </c>
      <c r="L421" s="199">
        <v>0</v>
      </c>
      <c r="M421" s="199">
        <v>0</v>
      </c>
      <c r="N421" s="199">
        <v>0</v>
      </c>
      <c r="O421" s="199">
        <v>0</v>
      </c>
      <c r="P421" s="199">
        <v>0</v>
      </c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5">
      <c r="A422" s="33" t="s">
        <v>140</v>
      </c>
      <c r="B422" s="33" t="s">
        <v>197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>
        <v>0</v>
      </c>
      <c r="J422" s="199">
        <v>0</v>
      </c>
      <c r="K422" s="199">
        <v>0</v>
      </c>
      <c r="L422" s="199">
        <v>0</v>
      </c>
      <c r="M422" s="199">
        <v>0</v>
      </c>
      <c r="N422" s="199">
        <v>0</v>
      </c>
      <c r="O422" s="199">
        <v>0</v>
      </c>
      <c r="P422" s="199">
        <v>0</v>
      </c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5">
      <c r="A423" s="33" t="s">
        <v>140</v>
      </c>
      <c r="B423" s="33" t="s">
        <v>197</v>
      </c>
      <c r="C423" s="33">
        <v>20</v>
      </c>
      <c r="D423" s="33" t="s">
        <v>128</v>
      </c>
      <c r="E423" s="200">
        <v>0</v>
      </c>
      <c r="F423" s="199">
        <v>0</v>
      </c>
      <c r="G423" s="200">
        <v>0</v>
      </c>
      <c r="H423" s="199">
        <v>0</v>
      </c>
      <c r="I423" s="200">
        <v>0</v>
      </c>
      <c r="J423" s="199">
        <v>0</v>
      </c>
      <c r="K423" s="199">
        <v>0</v>
      </c>
      <c r="L423" s="199">
        <v>0</v>
      </c>
      <c r="M423" s="199">
        <v>0</v>
      </c>
      <c r="N423" s="199">
        <v>0</v>
      </c>
      <c r="O423" s="199">
        <v>0</v>
      </c>
      <c r="P423" s="199">
        <v>0</v>
      </c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5">
      <c r="A424" s="33" t="s">
        <v>140</v>
      </c>
      <c r="B424" s="33" t="s">
        <v>197</v>
      </c>
      <c r="C424" s="33">
        <v>21</v>
      </c>
      <c r="D424" s="33" t="s">
        <v>129</v>
      </c>
      <c r="E424" s="200">
        <v>0</v>
      </c>
      <c r="F424" s="199">
        <v>0</v>
      </c>
      <c r="G424" s="200">
        <v>0</v>
      </c>
      <c r="H424" s="199">
        <v>0</v>
      </c>
      <c r="I424" s="200">
        <v>0</v>
      </c>
      <c r="J424" s="199">
        <v>0</v>
      </c>
      <c r="K424" s="199">
        <v>0</v>
      </c>
      <c r="L424" s="199">
        <v>0</v>
      </c>
      <c r="M424" s="199">
        <v>0</v>
      </c>
      <c r="N424" s="199">
        <v>0</v>
      </c>
      <c r="O424" s="199">
        <v>0</v>
      </c>
      <c r="P424" s="199">
        <v>0</v>
      </c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5">
      <c r="A425" s="33" t="s">
        <v>140</v>
      </c>
      <c r="B425" s="33" t="s">
        <v>197</v>
      </c>
      <c r="C425" s="33">
        <v>22</v>
      </c>
      <c r="D425" s="33" t="s">
        <v>130</v>
      </c>
      <c r="E425" s="200">
        <v>2566764</v>
      </c>
      <c r="F425" s="199">
        <v>5870189.2680000002</v>
      </c>
      <c r="G425" s="200">
        <v>-5460836</v>
      </c>
      <c r="H425" s="199">
        <v>-12488931.932</v>
      </c>
      <c r="I425" s="200">
        <v>0</v>
      </c>
      <c r="J425" s="199">
        <v>0</v>
      </c>
      <c r="K425" s="199">
        <v>0</v>
      </c>
      <c r="L425" s="199">
        <v>0</v>
      </c>
      <c r="M425" s="199">
        <v>0</v>
      </c>
      <c r="N425" s="199">
        <v>0</v>
      </c>
      <c r="O425" s="199">
        <v>2867045</v>
      </c>
      <c r="P425" s="199">
        <v>6556931.915</v>
      </c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5">
      <c r="A426" s="33" t="s">
        <v>140</v>
      </c>
      <c r="B426" s="33" t="s">
        <v>197</v>
      </c>
      <c r="C426" s="33">
        <v>23</v>
      </c>
      <c r="D426" s="33" t="s">
        <v>131</v>
      </c>
      <c r="E426" s="200">
        <v>0</v>
      </c>
      <c r="F426" s="199">
        <v>0</v>
      </c>
      <c r="G426" s="200">
        <v>0</v>
      </c>
      <c r="H426" s="199">
        <v>0</v>
      </c>
      <c r="I426" s="200">
        <v>0</v>
      </c>
      <c r="J426" s="199">
        <v>0</v>
      </c>
      <c r="K426" s="199">
        <v>0</v>
      </c>
      <c r="L426" s="199">
        <v>0</v>
      </c>
      <c r="M426" s="199">
        <v>0</v>
      </c>
      <c r="N426" s="199">
        <v>0</v>
      </c>
      <c r="O426" s="199">
        <v>0</v>
      </c>
      <c r="P426" s="199">
        <v>0</v>
      </c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5">
      <c r="A427" s="33" t="s">
        <v>140</v>
      </c>
      <c r="B427" s="33" t="s">
        <v>197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>
        <v>0</v>
      </c>
      <c r="J427" s="199">
        <v>0</v>
      </c>
      <c r="K427" s="199">
        <v>0</v>
      </c>
      <c r="L427" s="199">
        <v>0</v>
      </c>
      <c r="M427" s="199">
        <v>0</v>
      </c>
      <c r="N427" s="199">
        <v>0</v>
      </c>
      <c r="O427" s="199">
        <v>0</v>
      </c>
      <c r="P427" s="199">
        <v>-672476.1</v>
      </c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5">
      <c r="A428" s="33" t="s">
        <v>140</v>
      </c>
      <c r="B428" s="33" t="s">
        <v>197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>
        <v>0</v>
      </c>
      <c r="J428" s="199">
        <v>0</v>
      </c>
      <c r="K428" s="199">
        <v>0</v>
      </c>
      <c r="L428" s="199">
        <v>0</v>
      </c>
      <c r="M428" s="199">
        <v>0</v>
      </c>
      <c r="N428" s="199">
        <v>0</v>
      </c>
      <c r="O428" s="199">
        <v>0</v>
      </c>
      <c r="P428" s="199">
        <v>0</v>
      </c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5">
      <c r="A429" s="33" t="s">
        <v>140</v>
      </c>
      <c r="B429" s="33" t="s">
        <v>197</v>
      </c>
      <c r="C429" s="33">
        <v>26</v>
      </c>
      <c r="D429" s="33" t="s">
        <v>132</v>
      </c>
      <c r="E429" s="200">
        <v>0</v>
      </c>
      <c r="F429" s="199">
        <v>0</v>
      </c>
      <c r="G429" s="200">
        <v>0</v>
      </c>
      <c r="H429" s="199">
        <v>0</v>
      </c>
      <c r="I429" s="200">
        <v>0</v>
      </c>
      <c r="J429" s="199">
        <v>0</v>
      </c>
      <c r="K429" s="199">
        <v>0</v>
      </c>
      <c r="L429" s="199">
        <v>0</v>
      </c>
      <c r="M429" s="199">
        <v>0</v>
      </c>
      <c r="N429" s="199">
        <v>0</v>
      </c>
      <c r="O429" s="199">
        <v>0</v>
      </c>
      <c r="P429" s="199">
        <v>0</v>
      </c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5">
      <c r="A430" s="33" t="s">
        <v>140</v>
      </c>
      <c r="B430" s="33" t="s">
        <v>197</v>
      </c>
      <c r="C430" s="33">
        <v>27</v>
      </c>
      <c r="D430" s="33" t="s">
        <v>133</v>
      </c>
      <c r="E430" s="200">
        <v>0</v>
      </c>
      <c r="F430" s="199">
        <v>0</v>
      </c>
      <c r="G430" s="200">
        <v>0</v>
      </c>
      <c r="H430" s="199">
        <v>0</v>
      </c>
      <c r="I430" s="200">
        <v>0</v>
      </c>
      <c r="J430" s="199">
        <v>0</v>
      </c>
      <c r="K430" s="199">
        <v>0</v>
      </c>
      <c r="L430" s="199">
        <v>0</v>
      </c>
      <c r="M430" s="199">
        <v>0</v>
      </c>
      <c r="N430" s="199">
        <v>0</v>
      </c>
      <c r="O430" s="199">
        <v>0</v>
      </c>
      <c r="P430" s="199">
        <v>0</v>
      </c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5">
      <c r="A431" s="33" t="s">
        <v>140</v>
      </c>
      <c r="B431" s="33" t="s">
        <v>197</v>
      </c>
      <c r="C431" s="33">
        <v>28</v>
      </c>
      <c r="D431" s="33" t="s">
        <v>134</v>
      </c>
      <c r="E431" s="200">
        <v>0</v>
      </c>
      <c r="F431" s="199">
        <v>0</v>
      </c>
      <c r="G431" s="200">
        <v>0</v>
      </c>
      <c r="H431" s="199">
        <v>0</v>
      </c>
      <c r="I431" s="200">
        <v>0</v>
      </c>
      <c r="J431" s="199">
        <v>0</v>
      </c>
      <c r="K431" s="199">
        <v>0</v>
      </c>
      <c r="L431" s="199">
        <v>0</v>
      </c>
      <c r="M431" s="199">
        <v>0</v>
      </c>
      <c r="N431" s="199">
        <v>0</v>
      </c>
      <c r="O431" s="199">
        <v>0</v>
      </c>
      <c r="P431" s="199">
        <v>0</v>
      </c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5">
      <c r="A432" s="33" t="s">
        <v>140</v>
      </c>
      <c r="B432" s="33" t="s">
        <v>197</v>
      </c>
      <c r="C432" s="33">
        <v>29</v>
      </c>
      <c r="D432" s="33" t="s">
        <v>135</v>
      </c>
      <c r="E432" s="200">
        <v>0</v>
      </c>
      <c r="F432" s="199">
        <v>0</v>
      </c>
      <c r="G432" s="200">
        <v>0</v>
      </c>
      <c r="H432" s="199">
        <v>0</v>
      </c>
      <c r="I432" s="200">
        <v>0</v>
      </c>
      <c r="J432" s="199">
        <v>0</v>
      </c>
      <c r="K432" s="199">
        <v>0</v>
      </c>
      <c r="L432" s="199">
        <v>0</v>
      </c>
      <c r="M432" s="199">
        <v>0</v>
      </c>
      <c r="N432" s="199">
        <v>0</v>
      </c>
      <c r="O432" s="199">
        <v>0</v>
      </c>
      <c r="P432" s="199">
        <v>0</v>
      </c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5">
      <c r="A433" s="33" t="s">
        <v>140</v>
      </c>
      <c r="B433" s="33" t="s">
        <v>197</v>
      </c>
      <c r="C433" s="33">
        <v>30</v>
      </c>
      <c r="D433" s="33" t="s">
        <v>136</v>
      </c>
      <c r="E433" s="200">
        <v>0</v>
      </c>
      <c r="F433" s="199">
        <v>0</v>
      </c>
      <c r="G433" s="200">
        <v>0</v>
      </c>
      <c r="H433" s="199">
        <v>0</v>
      </c>
      <c r="I433" s="200">
        <v>0</v>
      </c>
      <c r="J433" s="199">
        <v>0</v>
      </c>
      <c r="K433" s="199">
        <v>0</v>
      </c>
      <c r="L433" s="199">
        <v>0</v>
      </c>
      <c r="M433" s="199">
        <v>0</v>
      </c>
      <c r="N433" s="199">
        <v>0</v>
      </c>
      <c r="O433" s="199">
        <v>0</v>
      </c>
      <c r="P433" s="199">
        <v>0</v>
      </c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5">
      <c r="A434" s="33" t="s">
        <v>140</v>
      </c>
      <c r="B434" s="33" t="s">
        <v>197</v>
      </c>
      <c r="C434" s="33">
        <v>31</v>
      </c>
      <c r="D434" s="33" t="s">
        <v>137</v>
      </c>
      <c r="E434" s="200">
        <v>0</v>
      </c>
      <c r="F434" s="199">
        <v>0</v>
      </c>
      <c r="G434" s="200">
        <v>0</v>
      </c>
      <c r="H434" s="199">
        <v>0</v>
      </c>
      <c r="I434" s="200">
        <v>0</v>
      </c>
      <c r="J434" s="199">
        <v>0</v>
      </c>
      <c r="K434" s="199">
        <v>0</v>
      </c>
      <c r="L434" s="199">
        <v>0</v>
      </c>
      <c r="M434" s="199">
        <v>0</v>
      </c>
      <c r="N434" s="199">
        <v>0</v>
      </c>
      <c r="O434" s="199">
        <v>0</v>
      </c>
      <c r="P434" s="199">
        <v>0</v>
      </c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5">
      <c r="A435" s="33" t="s">
        <v>140</v>
      </c>
      <c r="B435" s="33" t="s">
        <v>197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>
        <v>0</v>
      </c>
      <c r="J435" s="199">
        <v>0</v>
      </c>
      <c r="K435" s="199">
        <v>0</v>
      </c>
      <c r="L435" s="199">
        <v>0</v>
      </c>
      <c r="M435" s="199">
        <v>0</v>
      </c>
      <c r="N435" s="199">
        <v>0</v>
      </c>
      <c r="O435" s="199">
        <v>0</v>
      </c>
      <c r="P435" s="199">
        <v>0</v>
      </c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5">
      <c r="A436" s="33" t="s">
        <v>140</v>
      </c>
      <c r="B436" s="33" t="s">
        <v>197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>
        <v>0</v>
      </c>
      <c r="J436" s="199">
        <v>0</v>
      </c>
      <c r="K436" s="199">
        <v>0</v>
      </c>
      <c r="L436" s="199">
        <v>0</v>
      </c>
      <c r="M436" s="199">
        <v>0</v>
      </c>
      <c r="N436" s="199">
        <v>0</v>
      </c>
      <c r="O436" s="199">
        <v>0</v>
      </c>
      <c r="P436" s="199">
        <v>0</v>
      </c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5">
      <c r="A437" s="33" t="s">
        <v>140</v>
      </c>
      <c r="B437" s="33" t="s">
        <v>197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>
        <v>0</v>
      </c>
      <c r="J437" s="199">
        <v>0</v>
      </c>
      <c r="K437" s="199">
        <v>0</v>
      </c>
      <c r="L437" s="199">
        <v>0</v>
      </c>
      <c r="M437" s="199">
        <v>0</v>
      </c>
      <c r="N437" s="199">
        <v>0</v>
      </c>
      <c r="O437" s="199">
        <v>0</v>
      </c>
      <c r="P437" s="199">
        <v>0</v>
      </c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5">
      <c r="A438" s="33" t="s">
        <v>140</v>
      </c>
      <c r="B438" s="33" t="s">
        <v>197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>
        <v>0</v>
      </c>
      <c r="J438" s="199">
        <v>0</v>
      </c>
      <c r="K438" s="199">
        <v>0</v>
      </c>
      <c r="L438" s="199">
        <v>0</v>
      </c>
      <c r="M438" s="199">
        <v>0</v>
      </c>
      <c r="N438" s="199">
        <v>0</v>
      </c>
      <c r="O438" s="199">
        <v>0</v>
      </c>
      <c r="P438" s="199">
        <v>0</v>
      </c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5">
      <c r="A439" s="33" t="s">
        <v>140</v>
      </c>
      <c r="B439" s="33" t="s">
        <v>197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>
        <v>0</v>
      </c>
      <c r="J439" s="199">
        <v>0</v>
      </c>
      <c r="K439" s="199">
        <v>0</v>
      </c>
      <c r="L439" s="199">
        <v>0</v>
      </c>
      <c r="M439" s="199">
        <v>0</v>
      </c>
      <c r="N439" s="199">
        <v>0</v>
      </c>
      <c r="O439" s="199">
        <v>0</v>
      </c>
      <c r="P439" s="199">
        <v>0</v>
      </c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5">
      <c r="A440" s="33" t="s">
        <v>140</v>
      </c>
      <c r="B440" s="33" t="s">
        <v>197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>
        <v>0</v>
      </c>
      <c r="J440" s="199">
        <v>0</v>
      </c>
      <c r="K440" s="199">
        <v>0</v>
      </c>
      <c r="L440" s="199">
        <v>0</v>
      </c>
      <c r="M440" s="199">
        <v>0</v>
      </c>
      <c r="N440" s="199">
        <v>0</v>
      </c>
      <c r="O440" s="199">
        <v>0</v>
      </c>
      <c r="P440" s="199">
        <v>0</v>
      </c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5">
      <c r="A441" s="33" t="s">
        <v>140</v>
      </c>
      <c r="B441" s="33" t="s">
        <v>197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>
        <v>0</v>
      </c>
      <c r="J441" s="199">
        <v>0</v>
      </c>
      <c r="K441" s="199">
        <v>0</v>
      </c>
      <c r="L441" s="199">
        <v>0</v>
      </c>
      <c r="M441" s="199">
        <v>0</v>
      </c>
      <c r="N441" s="199">
        <v>0</v>
      </c>
      <c r="O441" s="199">
        <v>0</v>
      </c>
      <c r="P441" s="199">
        <v>0</v>
      </c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5">
      <c r="A442" s="33" t="s">
        <v>140</v>
      </c>
      <c r="B442" s="33" t="s">
        <v>197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>
        <v>0</v>
      </c>
      <c r="J442" s="199">
        <v>0</v>
      </c>
      <c r="K442" s="199">
        <v>0</v>
      </c>
      <c r="L442" s="199">
        <v>0</v>
      </c>
      <c r="M442" s="199">
        <v>0</v>
      </c>
      <c r="N442" s="199">
        <v>0</v>
      </c>
      <c r="O442" s="199">
        <v>0</v>
      </c>
      <c r="P442" s="199">
        <v>0</v>
      </c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5">
      <c r="A443" s="33" t="s">
        <v>140</v>
      </c>
      <c r="B443" s="33" t="s">
        <v>197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>
        <v>0</v>
      </c>
      <c r="J443" s="199">
        <v>0</v>
      </c>
      <c r="K443" s="199">
        <v>0</v>
      </c>
      <c r="L443" s="199">
        <v>0</v>
      </c>
      <c r="M443" s="199">
        <v>0</v>
      </c>
      <c r="N443" s="199">
        <v>0</v>
      </c>
      <c r="O443" s="199">
        <v>0</v>
      </c>
      <c r="P443" s="199">
        <v>0</v>
      </c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5">
      <c r="A444" s="33" t="s">
        <v>140</v>
      </c>
      <c r="B444" s="33" t="s">
        <v>143</v>
      </c>
      <c r="C444" s="33">
        <v>1</v>
      </c>
      <c r="D444" s="33" t="s">
        <v>25</v>
      </c>
      <c r="E444" s="200">
        <v>17351815</v>
      </c>
      <c r="F444" s="199">
        <v>44535953.909999996</v>
      </c>
      <c r="G444" s="200">
        <v>34669</v>
      </c>
      <c r="H444" s="199">
        <v>59569.52</v>
      </c>
      <c r="I444" s="200">
        <v>-20609</v>
      </c>
      <c r="J444" s="199">
        <v>1517667.59</v>
      </c>
      <c r="K444" s="199">
        <v>70287</v>
      </c>
      <c r="L444" s="199">
        <v>148735.93</v>
      </c>
      <c r="M444" s="199">
        <v>-108935</v>
      </c>
      <c r="N444" s="199">
        <v>-1637356.03</v>
      </c>
      <c r="O444" s="199">
        <v>30583</v>
      </c>
      <c r="P444" s="199">
        <v>75963.460000000006</v>
      </c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5">
      <c r="A445" s="33" t="s">
        <v>140</v>
      </c>
      <c r="B445" s="33" t="s">
        <v>143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>
        <v>0</v>
      </c>
      <c r="J445" s="199">
        <v>0</v>
      </c>
      <c r="K445" s="199">
        <v>0</v>
      </c>
      <c r="L445" s="199">
        <v>0</v>
      </c>
      <c r="M445" s="199">
        <v>0</v>
      </c>
      <c r="N445" s="199">
        <v>0</v>
      </c>
      <c r="O445" s="199">
        <v>0</v>
      </c>
      <c r="P445" s="199">
        <v>0</v>
      </c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5">
      <c r="A446" s="33" t="s">
        <v>140</v>
      </c>
      <c r="B446" s="33" t="s">
        <v>143</v>
      </c>
      <c r="C446" s="33">
        <v>3</v>
      </c>
      <c r="D446" s="33" t="s">
        <v>27</v>
      </c>
      <c r="E446" s="200">
        <v>11332509</v>
      </c>
      <c r="F446" s="199">
        <v>26371437</v>
      </c>
      <c r="G446" s="200">
        <v>-9857227</v>
      </c>
      <c r="H446" s="199">
        <v>-22968890</v>
      </c>
      <c r="I446" s="200">
        <v>0</v>
      </c>
      <c r="J446" s="199">
        <v>0</v>
      </c>
      <c r="K446" s="199">
        <v>0</v>
      </c>
      <c r="L446" s="199">
        <v>0</v>
      </c>
      <c r="M446" s="199">
        <v>0</v>
      </c>
      <c r="N446" s="199">
        <v>0</v>
      </c>
      <c r="O446" s="199">
        <v>9857227</v>
      </c>
      <c r="P446" s="199">
        <v>22968889</v>
      </c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5">
      <c r="A447" s="33" t="s">
        <v>140</v>
      </c>
      <c r="B447" s="33" t="s">
        <v>143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>
        <v>0</v>
      </c>
      <c r="J447" s="199">
        <v>0</v>
      </c>
      <c r="K447" s="199">
        <v>0</v>
      </c>
      <c r="L447" s="199">
        <v>0</v>
      </c>
      <c r="M447" s="199">
        <v>0</v>
      </c>
      <c r="N447" s="199">
        <v>0</v>
      </c>
      <c r="O447" s="199">
        <v>0</v>
      </c>
      <c r="P447" s="199">
        <v>0</v>
      </c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5">
      <c r="A448" s="33" t="s">
        <v>140</v>
      </c>
      <c r="B448" s="33" t="s">
        <v>143</v>
      </c>
      <c r="C448" s="33">
        <v>5</v>
      </c>
      <c r="D448" s="33" t="s">
        <v>125</v>
      </c>
      <c r="E448" s="200">
        <v>0</v>
      </c>
      <c r="F448" s="199">
        <v>2498660</v>
      </c>
      <c r="G448" s="200">
        <v>0</v>
      </c>
      <c r="H448" s="199">
        <v>-7500</v>
      </c>
      <c r="I448" s="200">
        <v>0</v>
      </c>
      <c r="J448" s="199">
        <v>0</v>
      </c>
      <c r="K448" s="199">
        <v>0</v>
      </c>
      <c r="L448" s="199">
        <v>0</v>
      </c>
      <c r="M448" s="199">
        <v>0</v>
      </c>
      <c r="N448" s="199">
        <v>0</v>
      </c>
      <c r="O448" s="199">
        <v>0</v>
      </c>
      <c r="P448" s="199">
        <v>0</v>
      </c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5">
      <c r="A449" s="33" t="s">
        <v>140</v>
      </c>
      <c r="B449" s="33" t="s">
        <v>143</v>
      </c>
      <c r="C449" s="33">
        <v>6</v>
      </c>
      <c r="D449" s="33" t="s">
        <v>25</v>
      </c>
      <c r="E449" s="200">
        <v>-4128498</v>
      </c>
      <c r="F449" s="199">
        <v>-9292599.4399999995</v>
      </c>
      <c r="G449" s="200">
        <v>-215827</v>
      </c>
      <c r="H449" s="199">
        <v>-509657.66</v>
      </c>
      <c r="I449" s="200">
        <v>-111862</v>
      </c>
      <c r="J449" s="199">
        <v>-233753.79</v>
      </c>
      <c r="K449" s="199">
        <v>-107217</v>
      </c>
      <c r="L449" s="199">
        <v>-248712.41</v>
      </c>
      <c r="M449" s="199">
        <v>44433</v>
      </c>
      <c r="N449" s="199">
        <v>83218.19</v>
      </c>
      <c r="O449" s="199">
        <v>64539</v>
      </c>
      <c r="P449" s="199">
        <v>124668.5</v>
      </c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5">
      <c r="A450" s="33" t="s">
        <v>140</v>
      </c>
      <c r="B450" s="33" t="s">
        <v>143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>
        <v>0</v>
      </c>
      <c r="J450" s="199">
        <v>0</v>
      </c>
      <c r="K450" s="199">
        <v>0</v>
      </c>
      <c r="L450" s="199">
        <v>0</v>
      </c>
      <c r="M450" s="199">
        <v>0</v>
      </c>
      <c r="N450" s="199">
        <v>0</v>
      </c>
      <c r="O450" s="199">
        <v>0</v>
      </c>
      <c r="P450" s="199">
        <v>0</v>
      </c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5">
      <c r="A451" s="33" t="s">
        <v>140</v>
      </c>
      <c r="B451" s="33" t="s">
        <v>143</v>
      </c>
      <c r="C451" s="33">
        <v>8</v>
      </c>
      <c r="D451" s="33" t="s">
        <v>27</v>
      </c>
      <c r="E451" s="200">
        <v>-9997007</v>
      </c>
      <c r="F451" s="199">
        <v>-23266574</v>
      </c>
      <c r="G451" s="200">
        <v>9857938</v>
      </c>
      <c r="H451" s="199">
        <v>22970457</v>
      </c>
      <c r="I451" s="200">
        <v>0</v>
      </c>
      <c r="J451" s="199">
        <v>0</v>
      </c>
      <c r="K451" s="199">
        <v>0</v>
      </c>
      <c r="L451" s="199">
        <v>0</v>
      </c>
      <c r="M451" s="199">
        <v>0</v>
      </c>
      <c r="N451" s="199">
        <v>0</v>
      </c>
      <c r="O451" s="199">
        <v>-9857938</v>
      </c>
      <c r="P451" s="199">
        <v>-22970457</v>
      </c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5">
      <c r="A452" s="33" t="s">
        <v>140</v>
      </c>
      <c r="B452" s="33" t="s">
        <v>143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>
        <v>0</v>
      </c>
      <c r="J452" s="199">
        <v>0</v>
      </c>
      <c r="K452" s="199">
        <v>0</v>
      </c>
      <c r="L452" s="199">
        <v>0</v>
      </c>
      <c r="M452" s="199">
        <v>0</v>
      </c>
      <c r="N452" s="199">
        <v>0</v>
      </c>
      <c r="O452" s="199">
        <v>0</v>
      </c>
      <c r="P452" s="199">
        <v>0</v>
      </c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5">
      <c r="A453" s="33" t="s">
        <v>140</v>
      </c>
      <c r="B453" s="33" t="s">
        <v>143</v>
      </c>
      <c r="C453" s="33">
        <v>10</v>
      </c>
      <c r="D453" s="33" t="s">
        <v>32</v>
      </c>
      <c r="E453" s="200">
        <v>12946</v>
      </c>
      <c r="F453" s="199">
        <v>29426.258000000002</v>
      </c>
      <c r="G453" s="200">
        <v>860</v>
      </c>
      <c r="H453" s="199">
        <v>1954.78</v>
      </c>
      <c r="I453" s="200">
        <v>0</v>
      </c>
      <c r="J453" s="199">
        <v>0</v>
      </c>
      <c r="K453" s="199">
        <v>0</v>
      </c>
      <c r="L453" s="199">
        <v>0</v>
      </c>
      <c r="M453" s="199">
        <v>0</v>
      </c>
      <c r="N453" s="199">
        <v>0</v>
      </c>
      <c r="O453" s="199">
        <v>0</v>
      </c>
      <c r="P453" s="199">
        <v>0</v>
      </c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5">
      <c r="A454" s="33" t="s">
        <v>140</v>
      </c>
      <c r="B454" s="33" t="s">
        <v>143</v>
      </c>
      <c r="C454" s="33">
        <v>11</v>
      </c>
      <c r="D454" s="33" t="s">
        <v>35</v>
      </c>
      <c r="E454" s="200">
        <v>6450055</v>
      </c>
      <c r="F454" s="199">
        <v>16394383.42</v>
      </c>
      <c r="G454" s="200">
        <v>16073</v>
      </c>
      <c r="H454" s="199">
        <v>-976463.09</v>
      </c>
      <c r="I454" s="200">
        <v>70908</v>
      </c>
      <c r="J454" s="199">
        <v>177502.15</v>
      </c>
      <c r="K454" s="199">
        <v>62478</v>
      </c>
      <c r="L454" s="199">
        <v>148856.54</v>
      </c>
      <c r="M454" s="199">
        <v>-12474</v>
      </c>
      <c r="N454" s="199">
        <v>-32317.8</v>
      </c>
      <c r="O454" s="199">
        <v>-64539</v>
      </c>
      <c r="P454" s="199">
        <v>-151021.26</v>
      </c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5">
      <c r="A455" s="33" t="s">
        <v>140</v>
      </c>
      <c r="B455" s="33" t="s">
        <v>143</v>
      </c>
      <c r="C455" s="33">
        <v>12</v>
      </c>
      <c r="D455" s="33" t="s">
        <v>36</v>
      </c>
      <c r="E455" s="200">
        <v>-11229972</v>
      </c>
      <c r="F455" s="199">
        <v>-24334015.760000002</v>
      </c>
      <c r="G455" s="200">
        <v>-8916073</v>
      </c>
      <c r="H455" s="199">
        <v>-21661192.199999999</v>
      </c>
      <c r="I455" s="200">
        <v>329988</v>
      </c>
      <c r="J455" s="199">
        <v>778867.19</v>
      </c>
      <c r="K455" s="199">
        <v>11697</v>
      </c>
      <c r="L455" s="199">
        <v>29348.9</v>
      </c>
      <c r="M455" s="199">
        <v>38893</v>
      </c>
      <c r="N455" s="199">
        <v>92806.52</v>
      </c>
      <c r="O455" s="199">
        <v>9034</v>
      </c>
      <c r="P455" s="199">
        <v>-72504.149999999994</v>
      </c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5">
      <c r="A456" s="33" t="s">
        <v>140</v>
      </c>
      <c r="B456" s="33" t="s">
        <v>143</v>
      </c>
      <c r="C456" s="33">
        <v>13</v>
      </c>
      <c r="D456" s="33" t="s">
        <v>39</v>
      </c>
      <c r="E456" s="200">
        <v>-9731818</v>
      </c>
      <c r="F456" s="199">
        <v>-22120422.313999999</v>
      </c>
      <c r="G456" s="200">
        <v>9729276</v>
      </c>
      <c r="H456" s="199">
        <v>22114644.348000001</v>
      </c>
      <c r="I456" s="200">
        <v>-20151</v>
      </c>
      <c r="J456" s="199">
        <v>-45803.222999999998</v>
      </c>
      <c r="K456" s="199">
        <v>0</v>
      </c>
      <c r="L456" s="199">
        <v>0</v>
      </c>
      <c r="M456" s="199">
        <v>0</v>
      </c>
      <c r="N456" s="199">
        <v>0</v>
      </c>
      <c r="O456" s="199">
        <v>383</v>
      </c>
      <c r="P456" s="199">
        <v>870.55899999999997</v>
      </c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5">
      <c r="A457" s="33" t="s">
        <v>140</v>
      </c>
      <c r="B457" s="33" t="s">
        <v>143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>
        <v>0</v>
      </c>
      <c r="J457" s="199">
        <v>0</v>
      </c>
      <c r="K457" s="199">
        <v>0</v>
      </c>
      <c r="L457" s="199">
        <v>0</v>
      </c>
      <c r="M457" s="199">
        <v>0</v>
      </c>
      <c r="N457" s="199">
        <v>0</v>
      </c>
      <c r="O457" s="199">
        <v>0</v>
      </c>
      <c r="P457" s="199">
        <v>0</v>
      </c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5">
      <c r="A458" s="33" t="s">
        <v>140</v>
      </c>
      <c r="B458" s="33" t="s">
        <v>143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>
        <v>0</v>
      </c>
      <c r="J458" s="199">
        <v>0</v>
      </c>
      <c r="K458" s="199">
        <v>0</v>
      </c>
      <c r="L458" s="199">
        <v>0</v>
      </c>
      <c r="M458" s="199">
        <v>0</v>
      </c>
      <c r="N458" s="199">
        <v>0</v>
      </c>
      <c r="O458" s="199">
        <v>0</v>
      </c>
      <c r="P458" s="199">
        <v>0</v>
      </c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5">
      <c r="A459" s="33" t="s">
        <v>140</v>
      </c>
      <c r="B459" s="33" t="s">
        <v>143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>
        <v>0</v>
      </c>
      <c r="J459" s="199">
        <v>0</v>
      </c>
      <c r="K459" s="199">
        <v>0</v>
      </c>
      <c r="L459" s="199">
        <v>0</v>
      </c>
      <c r="M459" s="199">
        <v>0</v>
      </c>
      <c r="N459" s="199">
        <v>0</v>
      </c>
      <c r="O459" s="199">
        <v>0</v>
      </c>
      <c r="P459" s="199">
        <v>0</v>
      </c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5">
      <c r="A460" s="33" t="s">
        <v>140</v>
      </c>
      <c r="B460" s="33" t="s">
        <v>143</v>
      </c>
      <c r="C460" s="33">
        <v>17</v>
      </c>
      <c r="D460" s="33" t="s">
        <v>126</v>
      </c>
      <c r="E460" s="200">
        <v>0</v>
      </c>
      <c r="F460" s="199">
        <v>0</v>
      </c>
      <c r="G460" s="200">
        <v>0</v>
      </c>
      <c r="H460" s="199">
        <v>0</v>
      </c>
      <c r="I460" s="200">
        <v>0</v>
      </c>
      <c r="J460" s="199">
        <v>0</v>
      </c>
      <c r="K460" s="199">
        <v>0</v>
      </c>
      <c r="L460" s="199">
        <v>0</v>
      </c>
      <c r="M460" s="199">
        <v>0</v>
      </c>
      <c r="N460" s="199">
        <v>0</v>
      </c>
      <c r="O460" s="199">
        <v>0</v>
      </c>
      <c r="P460" s="199">
        <v>0</v>
      </c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5">
      <c r="A461" s="33" t="s">
        <v>140</v>
      </c>
      <c r="B461" s="33" t="s">
        <v>143</v>
      </c>
      <c r="C461" s="33">
        <v>18</v>
      </c>
      <c r="D461" s="33" t="s">
        <v>127</v>
      </c>
      <c r="E461" s="200">
        <v>-140000</v>
      </c>
      <c r="F461" s="199">
        <v>-299275.48</v>
      </c>
      <c r="G461" s="200">
        <v>-624794</v>
      </c>
      <c r="H461" s="199">
        <v>-2870676.72</v>
      </c>
      <c r="I461" s="200">
        <v>-205128</v>
      </c>
      <c r="J461" s="199">
        <v>-940484.69</v>
      </c>
      <c r="K461" s="199">
        <v>0</v>
      </c>
      <c r="L461" s="199">
        <v>0</v>
      </c>
      <c r="M461" s="199">
        <v>0</v>
      </c>
      <c r="N461" s="199">
        <v>1843111.74</v>
      </c>
      <c r="O461" s="199">
        <v>0</v>
      </c>
      <c r="P461" s="199">
        <v>0</v>
      </c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5">
      <c r="A462" s="33" t="s">
        <v>140</v>
      </c>
      <c r="B462" s="33" t="s">
        <v>143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>
        <v>0</v>
      </c>
      <c r="J462" s="199">
        <v>0</v>
      </c>
      <c r="K462" s="199">
        <v>0</v>
      </c>
      <c r="L462" s="199">
        <v>0</v>
      </c>
      <c r="M462" s="199">
        <v>0</v>
      </c>
      <c r="N462" s="199">
        <v>0</v>
      </c>
      <c r="O462" s="199">
        <v>0</v>
      </c>
      <c r="P462" s="199">
        <v>0</v>
      </c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5">
      <c r="A463" s="33" t="s">
        <v>140</v>
      </c>
      <c r="B463" s="33" t="s">
        <v>143</v>
      </c>
      <c r="C463" s="33">
        <v>20</v>
      </c>
      <c r="D463" s="33" t="s">
        <v>128</v>
      </c>
      <c r="E463" s="200">
        <v>0</v>
      </c>
      <c r="F463" s="199">
        <v>0</v>
      </c>
      <c r="G463" s="200">
        <v>0</v>
      </c>
      <c r="H463" s="199">
        <v>0</v>
      </c>
      <c r="I463" s="200">
        <v>0</v>
      </c>
      <c r="J463" s="199">
        <v>0</v>
      </c>
      <c r="K463" s="199">
        <v>0</v>
      </c>
      <c r="L463" s="199">
        <v>0</v>
      </c>
      <c r="M463" s="199">
        <v>0</v>
      </c>
      <c r="N463" s="199">
        <v>0</v>
      </c>
      <c r="O463" s="199">
        <v>0</v>
      </c>
      <c r="P463" s="199">
        <v>0</v>
      </c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5">
      <c r="A464" s="33" t="s">
        <v>140</v>
      </c>
      <c r="B464" s="33" t="s">
        <v>143</v>
      </c>
      <c r="C464" s="33">
        <v>21</v>
      </c>
      <c r="D464" s="33" t="s">
        <v>129</v>
      </c>
      <c r="E464" s="200">
        <v>0</v>
      </c>
      <c r="F464" s="199">
        <v>0</v>
      </c>
      <c r="G464" s="200">
        <v>0</v>
      </c>
      <c r="H464" s="199">
        <v>0</v>
      </c>
      <c r="I464" s="200">
        <v>0</v>
      </c>
      <c r="J464" s="199">
        <v>0</v>
      </c>
      <c r="K464" s="199">
        <v>0</v>
      </c>
      <c r="L464" s="199">
        <v>0</v>
      </c>
      <c r="M464" s="199">
        <v>0</v>
      </c>
      <c r="N464" s="199">
        <v>0</v>
      </c>
      <c r="O464" s="199">
        <v>0</v>
      </c>
      <c r="P464" s="199">
        <v>0</v>
      </c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5">
      <c r="A465" s="33" t="s">
        <v>140</v>
      </c>
      <c r="B465" s="33" t="s">
        <v>143</v>
      </c>
      <c r="C465" s="33">
        <v>22</v>
      </c>
      <c r="D465" s="33" t="s">
        <v>130</v>
      </c>
      <c r="E465" s="200">
        <v>79970</v>
      </c>
      <c r="F465" s="199">
        <v>181771.81</v>
      </c>
      <c r="G465" s="200">
        <v>-24895</v>
      </c>
      <c r="H465" s="199">
        <v>-56586.334999999992</v>
      </c>
      <c r="I465" s="200">
        <v>-43146</v>
      </c>
      <c r="J465" s="199">
        <v>-98070.857999999993</v>
      </c>
      <c r="K465" s="199">
        <v>-37245</v>
      </c>
      <c r="L465" s="199">
        <v>-84657.884999999995</v>
      </c>
      <c r="M465" s="199">
        <v>38083</v>
      </c>
      <c r="N465" s="199">
        <v>86562.659</v>
      </c>
      <c r="O465" s="199">
        <v>-39289</v>
      </c>
      <c r="P465" s="199">
        <v>-89303.896999999997</v>
      </c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5">
      <c r="A466" s="33" t="s">
        <v>140</v>
      </c>
      <c r="B466" s="33" t="s">
        <v>143</v>
      </c>
      <c r="C466" s="33">
        <v>23</v>
      </c>
      <c r="D466" s="33" t="s">
        <v>131</v>
      </c>
      <c r="E466" s="200">
        <v>-12946</v>
      </c>
      <c r="F466" s="199">
        <v>-29426.258000000002</v>
      </c>
      <c r="G466" s="200">
        <v>-860</v>
      </c>
      <c r="H466" s="199">
        <v>-1954.78</v>
      </c>
      <c r="I466" s="200">
        <v>0</v>
      </c>
      <c r="J466" s="199">
        <v>0</v>
      </c>
      <c r="K466" s="199">
        <v>0</v>
      </c>
      <c r="L466" s="199">
        <v>0</v>
      </c>
      <c r="M466" s="199">
        <v>0</v>
      </c>
      <c r="N466" s="199">
        <v>0</v>
      </c>
      <c r="O466" s="199">
        <v>0</v>
      </c>
      <c r="P466" s="199">
        <v>0</v>
      </c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5">
      <c r="A467" s="33" t="s">
        <v>140</v>
      </c>
      <c r="B467" s="33" t="s">
        <v>143</v>
      </c>
      <c r="C467" s="33">
        <v>24</v>
      </c>
      <c r="D467" s="33" t="s">
        <v>55</v>
      </c>
      <c r="E467" s="200">
        <v>-6709702</v>
      </c>
      <c r="F467" s="199">
        <v>-213269.27</v>
      </c>
      <c r="G467" s="200">
        <v>-9720573</v>
      </c>
      <c r="H467" s="199">
        <v>-205871.48</v>
      </c>
      <c r="I467" s="200">
        <v>-27495</v>
      </c>
      <c r="J467" s="199">
        <v>10606.04</v>
      </c>
      <c r="K467" s="199">
        <v>8748</v>
      </c>
      <c r="L467" s="199">
        <v>6199.75</v>
      </c>
      <c r="M467" s="199">
        <v>110946</v>
      </c>
      <c r="N467" s="199">
        <v>4833.1899999999996</v>
      </c>
      <c r="O467" s="199">
        <v>19565</v>
      </c>
      <c r="P467" s="199">
        <v>-2880.11</v>
      </c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5">
      <c r="A468" s="33" t="s">
        <v>140</v>
      </c>
      <c r="B468" s="33" t="s">
        <v>143</v>
      </c>
      <c r="C468" s="33">
        <v>25</v>
      </c>
      <c r="D468" s="33" t="s">
        <v>56</v>
      </c>
      <c r="E468" s="200">
        <v>0</v>
      </c>
      <c r="F468" s="199">
        <v>-51152</v>
      </c>
      <c r="G468" s="200">
        <v>0</v>
      </c>
      <c r="H468" s="199">
        <v>-93300</v>
      </c>
      <c r="I468" s="200">
        <v>0</v>
      </c>
      <c r="J468" s="199">
        <v>1152</v>
      </c>
      <c r="K468" s="199">
        <v>0</v>
      </c>
      <c r="L468" s="199">
        <v>-19.059999999999999</v>
      </c>
      <c r="M468" s="199">
        <v>0</v>
      </c>
      <c r="N468" s="199">
        <v>0</v>
      </c>
      <c r="O468" s="199">
        <v>0</v>
      </c>
      <c r="P468" s="199">
        <v>0</v>
      </c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5">
      <c r="A469" s="33" t="s">
        <v>140</v>
      </c>
      <c r="B469" s="33" t="s">
        <v>143</v>
      </c>
      <c r="C469" s="33">
        <v>26</v>
      </c>
      <c r="D469" s="33" t="s">
        <v>132</v>
      </c>
      <c r="E469" s="200">
        <v>0</v>
      </c>
      <c r="F469" s="199">
        <v>0</v>
      </c>
      <c r="G469" s="200">
        <v>0</v>
      </c>
      <c r="H469" s="199">
        <v>0</v>
      </c>
      <c r="I469" s="200">
        <v>0</v>
      </c>
      <c r="J469" s="199">
        <v>0</v>
      </c>
      <c r="K469" s="199">
        <v>0</v>
      </c>
      <c r="L469" s="199">
        <v>0</v>
      </c>
      <c r="M469" s="199">
        <v>0</v>
      </c>
      <c r="N469" s="199">
        <v>0</v>
      </c>
      <c r="O469" s="199">
        <v>0</v>
      </c>
      <c r="P469" s="199">
        <v>0</v>
      </c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5">
      <c r="A470" s="33" t="s">
        <v>140</v>
      </c>
      <c r="B470" s="33" t="s">
        <v>143</v>
      </c>
      <c r="C470" s="33">
        <v>27</v>
      </c>
      <c r="D470" s="33" t="s">
        <v>133</v>
      </c>
      <c r="E470" s="200">
        <v>0</v>
      </c>
      <c r="F470" s="199">
        <v>0</v>
      </c>
      <c r="G470" s="200">
        <v>0</v>
      </c>
      <c r="H470" s="199">
        <v>0</v>
      </c>
      <c r="I470" s="200">
        <v>0</v>
      </c>
      <c r="J470" s="199">
        <v>0</v>
      </c>
      <c r="K470" s="199">
        <v>0</v>
      </c>
      <c r="L470" s="199">
        <v>0</v>
      </c>
      <c r="M470" s="199">
        <v>0</v>
      </c>
      <c r="N470" s="199">
        <v>0</v>
      </c>
      <c r="O470" s="199">
        <v>0</v>
      </c>
      <c r="P470" s="199">
        <v>0</v>
      </c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5">
      <c r="A471" s="33" t="s">
        <v>140</v>
      </c>
      <c r="B471" s="33" t="s">
        <v>143</v>
      </c>
      <c r="C471" s="33">
        <v>28</v>
      </c>
      <c r="D471" s="33" t="s">
        <v>134</v>
      </c>
      <c r="E471" s="200">
        <v>0</v>
      </c>
      <c r="F471" s="199">
        <v>0</v>
      </c>
      <c r="G471" s="200">
        <v>0</v>
      </c>
      <c r="H471" s="199">
        <v>-971.85</v>
      </c>
      <c r="I471" s="200">
        <v>0</v>
      </c>
      <c r="J471" s="199">
        <v>0</v>
      </c>
      <c r="K471" s="199">
        <v>0</v>
      </c>
      <c r="L471" s="199">
        <v>0</v>
      </c>
      <c r="M471" s="199">
        <v>0</v>
      </c>
      <c r="N471" s="199">
        <v>0.14000000000000001</v>
      </c>
      <c r="O471" s="199">
        <v>0</v>
      </c>
      <c r="P471" s="199">
        <v>-19325.669999999998</v>
      </c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5">
      <c r="A472" s="33" t="s">
        <v>140</v>
      </c>
      <c r="B472" s="33" t="s">
        <v>143</v>
      </c>
      <c r="C472" s="33">
        <v>29</v>
      </c>
      <c r="D472" s="33" t="s">
        <v>135</v>
      </c>
      <c r="E472" s="200">
        <v>0</v>
      </c>
      <c r="F472" s="199">
        <v>0</v>
      </c>
      <c r="G472" s="200">
        <v>0</v>
      </c>
      <c r="H472" s="199">
        <v>0</v>
      </c>
      <c r="I472" s="200">
        <v>0</v>
      </c>
      <c r="J472" s="199">
        <v>0</v>
      </c>
      <c r="K472" s="199">
        <v>0</v>
      </c>
      <c r="L472" s="199">
        <v>0</v>
      </c>
      <c r="M472" s="199">
        <v>0</v>
      </c>
      <c r="N472" s="199">
        <v>0</v>
      </c>
      <c r="O472" s="199">
        <v>0</v>
      </c>
      <c r="P472" s="199">
        <v>0</v>
      </c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5">
      <c r="A473" s="33" t="s">
        <v>140</v>
      </c>
      <c r="B473" s="33" t="s">
        <v>143</v>
      </c>
      <c r="C473" s="33">
        <v>30</v>
      </c>
      <c r="D473" s="33" t="s">
        <v>136</v>
      </c>
      <c r="E473" s="200">
        <v>0</v>
      </c>
      <c r="F473" s="199">
        <v>0</v>
      </c>
      <c r="G473" s="200">
        <v>0</v>
      </c>
      <c r="H473" s="199">
        <v>0</v>
      </c>
      <c r="I473" s="200">
        <v>0</v>
      </c>
      <c r="J473" s="199">
        <v>0</v>
      </c>
      <c r="K473" s="199">
        <v>0</v>
      </c>
      <c r="L473" s="199">
        <v>0</v>
      </c>
      <c r="M473" s="199">
        <v>0</v>
      </c>
      <c r="N473" s="199">
        <v>0</v>
      </c>
      <c r="O473" s="199">
        <v>0</v>
      </c>
      <c r="P473" s="199">
        <v>0</v>
      </c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5">
      <c r="A474" s="33" t="s">
        <v>140</v>
      </c>
      <c r="B474" s="33" t="s">
        <v>143</v>
      </c>
      <c r="C474" s="33">
        <v>31</v>
      </c>
      <c r="D474" s="33" t="s">
        <v>137</v>
      </c>
      <c r="E474" s="200">
        <v>0</v>
      </c>
      <c r="F474" s="199">
        <v>0</v>
      </c>
      <c r="G474" s="200">
        <v>0</v>
      </c>
      <c r="H474" s="199">
        <v>0</v>
      </c>
      <c r="I474" s="200">
        <v>0</v>
      </c>
      <c r="J474" s="199">
        <v>0</v>
      </c>
      <c r="K474" s="199">
        <v>0</v>
      </c>
      <c r="L474" s="199">
        <v>0</v>
      </c>
      <c r="M474" s="199">
        <v>0</v>
      </c>
      <c r="N474" s="199">
        <v>0</v>
      </c>
      <c r="O474" s="199">
        <v>0</v>
      </c>
      <c r="P474" s="199">
        <v>0</v>
      </c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5">
      <c r="A475" s="33" t="s">
        <v>140</v>
      </c>
      <c r="B475" s="33" t="s">
        <v>143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>
        <v>0</v>
      </c>
      <c r="J475" s="199">
        <v>0</v>
      </c>
      <c r="K475" s="199">
        <v>0</v>
      </c>
      <c r="L475" s="199">
        <v>0</v>
      </c>
      <c r="M475" s="199">
        <v>0</v>
      </c>
      <c r="N475" s="199">
        <v>0</v>
      </c>
      <c r="O475" s="199">
        <v>0</v>
      </c>
      <c r="P475" s="199">
        <v>0</v>
      </c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5">
      <c r="A476" s="33" t="s">
        <v>140</v>
      </c>
      <c r="B476" s="33" t="s">
        <v>143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>
        <v>0</v>
      </c>
      <c r="J476" s="199">
        <v>0</v>
      </c>
      <c r="K476" s="199">
        <v>0</v>
      </c>
      <c r="L476" s="199">
        <v>0</v>
      </c>
      <c r="M476" s="199">
        <v>0</v>
      </c>
      <c r="N476" s="199">
        <v>0</v>
      </c>
      <c r="O476" s="199">
        <v>0</v>
      </c>
      <c r="P476" s="199">
        <v>0</v>
      </c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5">
      <c r="A477" s="33" t="s">
        <v>140</v>
      </c>
      <c r="B477" s="33" t="s">
        <v>143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>
        <v>0</v>
      </c>
      <c r="J477" s="199">
        <v>0</v>
      </c>
      <c r="K477" s="199">
        <v>0</v>
      </c>
      <c r="L477" s="199">
        <v>0</v>
      </c>
      <c r="M477" s="199">
        <v>0</v>
      </c>
      <c r="N477" s="199">
        <v>0</v>
      </c>
      <c r="O477" s="199">
        <v>0</v>
      </c>
      <c r="P477" s="199">
        <v>0</v>
      </c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5">
      <c r="A478" s="33" t="s">
        <v>140</v>
      </c>
      <c r="B478" s="33" t="s">
        <v>143</v>
      </c>
      <c r="C478" s="33">
        <v>35</v>
      </c>
      <c r="D478" s="33" t="s">
        <v>73</v>
      </c>
      <c r="E478" s="200">
        <v>0</v>
      </c>
      <c r="F478" s="199">
        <v>0</v>
      </c>
      <c r="G478" s="200">
        <v>0</v>
      </c>
      <c r="H478" s="199">
        <v>-2541.2800000000002</v>
      </c>
      <c r="I478" s="200">
        <v>0</v>
      </c>
      <c r="J478" s="199">
        <v>0</v>
      </c>
      <c r="K478" s="199">
        <v>0</v>
      </c>
      <c r="L478" s="199">
        <v>0</v>
      </c>
      <c r="M478" s="199">
        <v>0</v>
      </c>
      <c r="N478" s="199">
        <v>0</v>
      </c>
      <c r="O478" s="199">
        <v>0</v>
      </c>
      <c r="P478" s="199">
        <v>0</v>
      </c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5">
      <c r="A479" s="33" t="s">
        <v>140</v>
      </c>
      <c r="B479" s="33" t="s">
        <v>143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>
        <v>0</v>
      </c>
      <c r="J479" s="199">
        <v>0</v>
      </c>
      <c r="K479" s="199">
        <v>0</v>
      </c>
      <c r="L479" s="199">
        <v>0</v>
      </c>
      <c r="M479" s="199">
        <v>0</v>
      </c>
      <c r="N479" s="199">
        <v>0</v>
      </c>
      <c r="O479" s="199">
        <v>0</v>
      </c>
      <c r="P479" s="199">
        <v>0</v>
      </c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5">
      <c r="A480" s="33" t="s">
        <v>140</v>
      </c>
      <c r="B480" s="33" t="s">
        <v>143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>
        <v>0</v>
      </c>
      <c r="J480" s="199">
        <v>0</v>
      </c>
      <c r="K480" s="199">
        <v>0</v>
      </c>
      <c r="L480" s="199">
        <v>0</v>
      </c>
      <c r="M480" s="199">
        <v>0</v>
      </c>
      <c r="N480" s="199">
        <v>0</v>
      </c>
      <c r="O480" s="199">
        <v>0</v>
      </c>
      <c r="P480" s="199">
        <v>0</v>
      </c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5">
      <c r="A481" s="33" t="s">
        <v>140</v>
      </c>
      <c r="B481" s="33" t="s">
        <v>143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>
        <v>0</v>
      </c>
      <c r="J481" s="199">
        <v>0</v>
      </c>
      <c r="K481" s="199">
        <v>0</v>
      </c>
      <c r="L481" s="199">
        <v>0</v>
      </c>
      <c r="M481" s="199">
        <v>0</v>
      </c>
      <c r="N481" s="199">
        <v>0</v>
      </c>
      <c r="O481" s="199">
        <v>0</v>
      </c>
      <c r="P481" s="199">
        <v>0</v>
      </c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5">
      <c r="A482" s="33" t="s">
        <v>140</v>
      </c>
      <c r="B482" s="33" t="s">
        <v>143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>
        <v>0</v>
      </c>
      <c r="J482" s="199">
        <v>0</v>
      </c>
      <c r="K482" s="199">
        <v>0</v>
      </c>
      <c r="L482" s="199">
        <v>0</v>
      </c>
      <c r="M482" s="199">
        <v>0</v>
      </c>
      <c r="N482" s="199">
        <v>0</v>
      </c>
      <c r="O482" s="199">
        <v>0</v>
      </c>
      <c r="P482" s="199">
        <v>0</v>
      </c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5">
      <c r="A483" s="33" t="s">
        <v>140</v>
      </c>
      <c r="B483" s="33" t="s">
        <v>143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>
        <v>0</v>
      </c>
      <c r="J483" s="199">
        <v>0</v>
      </c>
      <c r="K483" s="199">
        <v>0</v>
      </c>
      <c r="L483" s="199">
        <v>0</v>
      </c>
      <c r="M483" s="199">
        <v>0</v>
      </c>
      <c r="N483" s="199">
        <v>0</v>
      </c>
      <c r="O483" s="199">
        <v>0</v>
      </c>
      <c r="P483" s="199">
        <v>0</v>
      </c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5">
      <c r="A484" s="33" t="s">
        <v>140</v>
      </c>
      <c r="B484" s="33" t="s">
        <v>144</v>
      </c>
      <c r="C484" s="33">
        <v>1</v>
      </c>
      <c r="D484" s="33" t="s">
        <v>25</v>
      </c>
      <c r="E484" s="200">
        <v>41151063</v>
      </c>
      <c r="F484" s="199">
        <v>92392968.040000007</v>
      </c>
      <c r="G484" s="200">
        <v>-87867</v>
      </c>
      <c r="H484" s="199">
        <v>-269007.28000000003</v>
      </c>
      <c r="I484" s="200">
        <v>58779</v>
      </c>
      <c r="J484" s="199">
        <v>128065.06</v>
      </c>
      <c r="K484" s="199">
        <v>-23806</v>
      </c>
      <c r="L484" s="199">
        <v>-47611.77</v>
      </c>
      <c r="M484" s="199">
        <v>105303</v>
      </c>
      <c r="N484" s="199">
        <v>231402.44</v>
      </c>
      <c r="O484" s="199">
        <v>0</v>
      </c>
      <c r="P484" s="199">
        <v>-665061.68999999994</v>
      </c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5">
      <c r="A485" s="33" t="s">
        <v>140</v>
      </c>
      <c r="B485" s="33" t="s">
        <v>144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>
        <v>0</v>
      </c>
      <c r="J485" s="199">
        <v>0</v>
      </c>
      <c r="K485" s="199">
        <v>0</v>
      </c>
      <c r="L485" s="199">
        <v>0</v>
      </c>
      <c r="M485" s="199">
        <v>0</v>
      </c>
      <c r="N485" s="199">
        <v>0</v>
      </c>
      <c r="O485" s="199">
        <v>0</v>
      </c>
      <c r="P485" s="199">
        <v>0</v>
      </c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5">
      <c r="A486" s="33" t="s">
        <v>140</v>
      </c>
      <c r="B486" s="33" t="s">
        <v>144</v>
      </c>
      <c r="C486" s="33">
        <v>3</v>
      </c>
      <c r="D486" s="33" t="s">
        <v>27</v>
      </c>
      <c r="E486" s="200">
        <v>19208491</v>
      </c>
      <c r="F486" s="199">
        <v>45307321</v>
      </c>
      <c r="G486" s="200">
        <v>-19208491</v>
      </c>
      <c r="H486" s="199">
        <v>-45307321</v>
      </c>
      <c r="I486" s="200">
        <v>0</v>
      </c>
      <c r="J486" s="199">
        <v>0</v>
      </c>
      <c r="K486" s="199">
        <v>0</v>
      </c>
      <c r="L486" s="199">
        <v>0</v>
      </c>
      <c r="M486" s="199">
        <v>0</v>
      </c>
      <c r="N486" s="199">
        <v>0</v>
      </c>
      <c r="O486" s="199">
        <v>19208491</v>
      </c>
      <c r="P486" s="199">
        <v>45307321</v>
      </c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5">
      <c r="A487" s="33" t="s">
        <v>140</v>
      </c>
      <c r="B487" s="33" t="s">
        <v>144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>
        <v>0</v>
      </c>
      <c r="J487" s="199">
        <v>0</v>
      </c>
      <c r="K487" s="199">
        <v>0</v>
      </c>
      <c r="L487" s="199">
        <v>0</v>
      </c>
      <c r="M487" s="199">
        <v>0</v>
      </c>
      <c r="N487" s="199">
        <v>0</v>
      </c>
      <c r="O487" s="199">
        <v>0</v>
      </c>
      <c r="P487" s="199">
        <v>0</v>
      </c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5">
      <c r="A488" s="33" t="s">
        <v>140</v>
      </c>
      <c r="B488" s="33" t="s">
        <v>144</v>
      </c>
      <c r="C488" s="33">
        <v>5</v>
      </c>
      <c r="D488" s="33" t="s">
        <v>125</v>
      </c>
      <c r="E488" s="200">
        <v>0</v>
      </c>
      <c r="F488" s="199">
        <v>1129129</v>
      </c>
      <c r="G488" s="200">
        <v>0</v>
      </c>
      <c r="H488" s="199">
        <v>1891.68</v>
      </c>
      <c r="I488" s="200">
        <v>0</v>
      </c>
      <c r="J488" s="199">
        <v>0</v>
      </c>
      <c r="K488" s="199">
        <v>0</v>
      </c>
      <c r="L488" s="199">
        <v>0</v>
      </c>
      <c r="M488" s="199">
        <v>0</v>
      </c>
      <c r="N488" s="199">
        <v>0</v>
      </c>
      <c r="O488" s="199">
        <v>0</v>
      </c>
      <c r="P488" s="199">
        <v>17050</v>
      </c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5">
      <c r="A489" s="33" t="s">
        <v>140</v>
      </c>
      <c r="B489" s="33" t="s">
        <v>144</v>
      </c>
      <c r="C489" s="33">
        <v>6</v>
      </c>
      <c r="D489" s="33" t="s">
        <v>25</v>
      </c>
      <c r="E489" s="200">
        <v>-42688795</v>
      </c>
      <c r="F489" s="199">
        <v>-96195381.11999999</v>
      </c>
      <c r="G489" s="200">
        <v>-229268</v>
      </c>
      <c r="H489" s="199">
        <v>-194596.82</v>
      </c>
      <c r="I489" s="200">
        <v>21407</v>
      </c>
      <c r="J489" s="199">
        <v>46190.879999999997</v>
      </c>
      <c r="K489" s="199">
        <v>-10120</v>
      </c>
      <c r="L489" s="199">
        <v>-24961.599999999999</v>
      </c>
      <c r="M489" s="199">
        <v>5960</v>
      </c>
      <c r="N489" s="199">
        <v>660896.73</v>
      </c>
      <c r="O489" s="199">
        <v>0</v>
      </c>
      <c r="P489" s="199">
        <v>-1553.65</v>
      </c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5">
      <c r="A490" s="33" t="s">
        <v>140</v>
      </c>
      <c r="B490" s="33" t="s">
        <v>144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>
        <v>0</v>
      </c>
      <c r="J490" s="199">
        <v>0</v>
      </c>
      <c r="K490" s="199">
        <v>0</v>
      </c>
      <c r="L490" s="199">
        <v>0</v>
      </c>
      <c r="M490" s="199">
        <v>0</v>
      </c>
      <c r="N490" s="199">
        <v>0</v>
      </c>
      <c r="O490" s="199">
        <v>0</v>
      </c>
      <c r="P490" s="199">
        <v>0</v>
      </c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5">
      <c r="A491" s="33" t="s">
        <v>140</v>
      </c>
      <c r="B491" s="33" t="s">
        <v>144</v>
      </c>
      <c r="C491" s="33">
        <v>8</v>
      </c>
      <c r="D491" s="33" t="s">
        <v>27</v>
      </c>
      <c r="E491" s="200">
        <v>-19275990</v>
      </c>
      <c r="F491" s="199">
        <v>-45452981</v>
      </c>
      <c r="G491" s="200">
        <v>19208491</v>
      </c>
      <c r="H491" s="199">
        <v>45307323</v>
      </c>
      <c r="I491" s="200">
        <v>0</v>
      </c>
      <c r="J491" s="199">
        <v>0</v>
      </c>
      <c r="K491" s="199">
        <v>0</v>
      </c>
      <c r="L491" s="199">
        <v>0</v>
      </c>
      <c r="M491" s="199">
        <v>0</v>
      </c>
      <c r="N491" s="199">
        <v>0</v>
      </c>
      <c r="O491" s="199">
        <v>-19208491</v>
      </c>
      <c r="P491" s="199">
        <v>-45307321</v>
      </c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5">
      <c r="A492" s="33" t="s">
        <v>140</v>
      </c>
      <c r="B492" s="33" t="s">
        <v>144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>
        <v>0</v>
      </c>
      <c r="J492" s="199">
        <v>0</v>
      </c>
      <c r="K492" s="199">
        <v>0</v>
      </c>
      <c r="L492" s="199">
        <v>0</v>
      </c>
      <c r="M492" s="199">
        <v>0</v>
      </c>
      <c r="N492" s="199">
        <v>0</v>
      </c>
      <c r="O492" s="199">
        <v>0</v>
      </c>
      <c r="P492" s="199">
        <v>0</v>
      </c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5">
      <c r="A493" s="33" t="s">
        <v>140</v>
      </c>
      <c r="B493" s="33" t="s">
        <v>144</v>
      </c>
      <c r="C493" s="33">
        <v>10</v>
      </c>
      <c r="D493" s="33" t="s">
        <v>32</v>
      </c>
      <c r="E493" s="200">
        <v>719145</v>
      </c>
      <c r="F493" s="199">
        <v>1587153.0149999999</v>
      </c>
      <c r="G493" s="200">
        <v>-21</v>
      </c>
      <c r="H493" s="199">
        <v>-46.347000000000001</v>
      </c>
      <c r="I493" s="200">
        <v>0</v>
      </c>
      <c r="J493" s="199">
        <v>0</v>
      </c>
      <c r="K493" s="199">
        <v>0</v>
      </c>
      <c r="L493" s="199">
        <v>0</v>
      </c>
      <c r="M493" s="199">
        <v>0</v>
      </c>
      <c r="N493" s="199">
        <v>0</v>
      </c>
      <c r="O493" s="199">
        <v>0</v>
      </c>
      <c r="P493" s="199">
        <v>0</v>
      </c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5">
      <c r="A494" s="33" t="s">
        <v>140</v>
      </c>
      <c r="B494" s="33" t="s">
        <v>144</v>
      </c>
      <c r="C494" s="33">
        <v>11</v>
      </c>
      <c r="D494" s="33" t="s">
        <v>35</v>
      </c>
      <c r="E494" s="200">
        <v>859628</v>
      </c>
      <c r="F494" s="199">
        <v>2026388.13</v>
      </c>
      <c r="G494" s="200">
        <v>-2035</v>
      </c>
      <c r="H494" s="199">
        <v>-5352.05</v>
      </c>
      <c r="I494" s="200">
        <v>0</v>
      </c>
      <c r="J494" s="199">
        <v>0</v>
      </c>
      <c r="K494" s="199">
        <v>0</v>
      </c>
      <c r="L494" s="199">
        <v>0</v>
      </c>
      <c r="M494" s="199">
        <v>0</v>
      </c>
      <c r="N494" s="199">
        <v>0</v>
      </c>
      <c r="O494" s="199">
        <v>0</v>
      </c>
      <c r="P494" s="199">
        <v>0</v>
      </c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5">
      <c r="A495" s="33" t="s">
        <v>140</v>
      </c>
      <c r="B495" s="33" t="s">
        <v>144</v>
      </c>
      <c r="C495" s="33">
        <v>12</v>
      </c>
      <c r="D495" s="33" t="s">
        <v>36</v>
      </c>
      <c r="E495" s="200">
        <v>0</v>
      </c>
      <c r="F495" s="199">
        <v>0</v>
      </c>
      <c r="G495" s="200">
        <v>0</v>
      </c>
      <c r="H495" s="199">
        <v>0</v>
      </c>
      <c r="I495" s="200">
        <v>0</v>
      </c>
      <c r="J495" s="199">
        <v>0</v>
      </c>
      <c r="K495" s="199">
        <v>0</v>
      </c>
      <c r="L495" s="199">
        <v>0</v>
      </c>
      <c r="M495" s="199">
        <v>0</v>
      </c>
      <c r="N495" s="199">
        <v>0</v>
      </c>
      <c r="O495" s="199">
        <v>0</v>
      </c>
      <c r="P495" s="199">
        <v>0</v>
      </c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5">
      <c r="A496" s="33" t="s">
        <v>140</v>
      </c>
      <c r="B496" s="33" t="s">
        <v>144</v>
      </c>
      <c r="C496" s="33">
        <v>13</v>
      </c>
      <c r="D496" s="33" t="s">
        <v>39</v>
      </c>
      <c r="E496" s="200">
        <v>-57911</v>
      </c>
      <c r="F496" s="199">
        <v>-127809.577</v>
      </c>
      <c r="G496" s="200">
        <v>-1702877</v>
      </c>
      <c r="H496" s="199">
        <v>-3758249.5389999999</v>
      </c>
      <c r="I496" s="200">
        <v>1708683</v>
      </c>
      <c r="J496" s="199">
        <v>3771063.3810000001</v>
      </c>
      <c r="K496" s="199">
        <v>-10401</v>
      </c>
      <c r="L496" s="199">
        <v>-22955.007000000001</v>
      </c>
      <c r="M496" s="199">
        <v>0</v>
      </c>
      <c r="N496" s="199">
        <v>0</v>
      </c>
      <c r="O496" s="199">
        <v>0</v>
      </c>
      <c r="P496" s="199">
        <v>0</v>
      </c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5">
      <c r="A497" s="33" t="s">
        <v>140</v>
      </c>
      <c r="B497" s="33" t="s">
        <v>144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-569</v>
      </c>
      <c r="H497" s="199">
        <v>-1266.03</v>
      </c>
      <c r="I497" s="200">
        <v>-1</v>
      </c>
      <c r="J497" s="199">
        <v>-2.19</v>
      </c>
      <c r="K497" s="199">
        <v>0</v>
      </c>
      <c r="L497" s="199">
        <v>0</v>
      </c>
      <c r="M497" s="199">
        <v>0</v>
      </c>
      <c r="N497" s="199">
        <v>0</v>
      </c>
      <c r="O497" s="199">
        <v>0</v>
      </c>
      <c r="P497" s="199">
        <v>0</v>
      </c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5">
      <c r="A498" s="33" t="s">
        <v>140</v>
      </c>
      <c r="B498" s="33" t="s">
        <v>144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0</v>
      </c>
      <c r="H498" s="199">
        <v>0</v>
      </c>
      <c r="I498" s="200">
        <v>6</v>
      </c>
      <c r="J498" s="199">
        <v>12.9</v>
      </c>
      <c r="K498" s="199">
        <v>0</v>
      </c>
      <c r="L498" s="199">
        <v>0</v>
      </c>
      <c r="M498" s="199">
        <v>0</v>
      </c>
      <c r="N498" s="199">
        <v>0</v>
      </c>
      <c r="O498" s="199">
        <v>0</v>
      </c>
      <c r="P498" s="199">
        <v>0</v>
      </c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5">
      <c r="A499" s="33" t="s">
        <v>140</v>
      </c>
      <c r="B499" s="33" t="s">
        <v>144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>
        <v>0</v>
      </c>
      <c r="J499" s="199">
        <v>0</v>
      </c>
      <c r="K499" s="199">
        <v>0</v>
      </c>
      <c r="L499" s="199">
        <v>0</v>
      </c>
      <c r="M499" s="199">
        <v>0</v>
      </c>
      <c r="N499" s="199">
        <v>0</v>
      </c>
      <c r="O499" s="199">
        <v>0</v>
      </c>
      <c r="P499" s="199">
        <v>0</v>
      </c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5">
      <c r="A500" s="33" t="s">
        <v>140</v>
      </c>
      <c r="B500" s="33" t="s">
        <v>144</v>
      </c>
      <c r="C500" s="33">
        <v>17</v>
      </c>
      <c r="D500" s="33" t="s">
        <v>126</v>
      </c>
      <c r="E500" s="200">
        <v>3701</v>
      </c>
      <c r="F500" s="199">
        <v>8168.11</v>
      </c>
      <c r="G500" s="200">
        <v>217856</v>
      </c>
      <c r="H500" s="199">
        <v>480810.82</v>
      </c>
      <c r="I500" s="200">
        <v>0</v>
      </c>
      <c r="J500" s="199">
        <v>0</v>
      </c>
      <c r="K500" s="199">
        <v>0</v>
      </c>
      <c r="L500" s="199">
        <v>0</v>
      </c>
      <c r="M500" s="199">
        <v>0</v>
      </c>
      <c r="N500" s="199">
        <v>0</v>
      </c>
      <c r="O500" s="199">
        <v>0</v>
      </c>
      <c r="P500" s="199">
        <v>0</v>
      </c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5">
      <c r="A501" s="33" t="s">
        <v>140</v>
      </c>
      <c r="B501" s="33" t="s">
        <v>144</v>
      </c>
      <c r="C501" s="33">
        <v>18</v>
      </c>
      <c r="D501" s="33" t="s">
        <v>127</v>
      </c>
      <c r="E501" s="200">
        <v>0</v>
      </c>
      <c r="F501" s="199">
        <v>0</v>
      </c>
      <c r="G501" s="200">
        <v>0</v>
      </c>
      <c r="H501" s="199">
        <v>0</v>
      </c>
      <c r="I501" s="200">
        <v>0</v>
      </c>
      <c r="J501" s="199">
        <v>0</v>
      </c>
      <c r="K501" s="199">
        <v>0</v>
      </c>
      <c r="L501" s="199">
        <v>0</v>
      </c>
      <c r="M501" s="199">
        <v>0</v>
      </c>
      <c r="N501" s="199">
        <v>0</v>
      </c>
      <c r="O501" s="199">
        <v>0</v>
      </c>
      <c r="P501" s="199">
        <v>0</v>
      </c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5">
      <c r="A502" s="33" t="s">
        <v>140</v>
      </c>
      <c r="B502" s="33" t="s">
        <v>144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>
        <v>0</v>
      </c>
      <c r="J502" s="199">
        <v>0</v>
      </c>
      <c r="K502" s="199">
        <v>0</v>
      </c>
      <c r="L502" s="199">
        <v>0</v>
      </c>
      <c r="M502" s="199">
        <v>0</v>
      </c>
      <c r="N502" s="199">
        <v>0</v>
      </c>
      <c r="O502" s="199">
        <v>0</v>
      </c>
      <c r="P502" s="199">
        <v>0</v>
      </c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5">
      <c r="A503" s="33" t="s">
        <v>140</v>
      </c>
      <c r="B503" s="33" t="s">
        <v>144</v>
      </c>
      <c r="C503" s="33">
        <v>20</v>
      </c>
      <c r="D503" s="33" t="s">
        <v>128</v>
      </c>
      <c r="E503" s="200">
        <v>0</v>
      </c>
      <c r="F503" s="199">
        <v>0</v>
      </c>
      <c r="G503" s="200">
        <v>0</v>
      </c>
      <c r="H503" s="199">
        <v>0</v>
      </c>
      <c r="I503" s="200">
        <v>0</v>
      </c>
      <c r="J503" s="199">
        <v>0</v>
      </c>
      <c r="K503" s="199">
        <v>0</v>
      </c>
      <c r="L503" s="199">
        <v>0</v>
      </c>
      <c r="M503" s="199">
        <v>0</v>
      </c>
      <c r="N503" s="199">
        <v>0</v>
      </c>
      <c r="O503" s="199">
        <v>0</v>
      </c>
      <c r="P503" s="199">
        <v>0</v>
      </c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5">
      <c r="A504" s="33" t="s">
        <v>140</v>
      </c>
      <c r="B504" s="33" t="s">
        <v>144</v>
      </c>
      <c r="C504" s="33">
        <v>21</v>
      </c>
      <c r="D504" s="33" t="s">
        <v>129</v>
      </c>
      <c r="E504" s="200">
        <v>0</v>
      </c>
      <c r="F504" s="199">
        <v>0</v>
      </c>
      <c r="G504" s="200">
        <v>0</v>
      </c>
      <c r="H504" s="199">
        <v>0</v>
      </c>
      <c r="I504" s="200">
        <v>0</v>
      </c>
      <c r="J504" s="199">
        <v>0</v>
      </c>
      <c r="K504" s="199">
        <v>0</v>
      </c>
      <c r="L504" s="199">
        <v>0</v>
      </c>
      <c r="M504" s="199">
        <v>0</v>
      </c>
      <c r="N504" s="199">
        <v>0</v>
      </c>
      <c r="O504" s="199">
        <v>0</v>
      </c>
      <c r="P504" s="199">
        <v>0</v>
      </c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5">
      <c r="A505" s="33" t="s">
        <v>140</v>
      </c>
      <c r="B505" s="33" t="s">
        <v>144</v>
      </c>
      <c r="C505" s="33">
        <v>22</v>
      </c>
      <c r="D505" s="33" t="s">
        <v>130</v>
      </c>
      <c r="E505" s="200">
        <v>80668</v>
      </c>
      <c r="F505" s="199">
        <v>178034.27600000001</v>
      </c>
      <c r="G505" s="200">
        <v>1804781</v>
      </c>
      <c r="H505" s="199">
        <v>3983151.6669999999</v>
      </c>
      <c r="I505" s="200">
        <v>-1788874</v>
      </c>
      <c r="J505" s="199">
        <v>-3948044.9180000001</v>
      </c>
      <c r="K505" s="199">
        <v>44327</v>
      </c>
      <c r="L505" s="199">
        <v>97829.688999999998</v>
      </c>
      <c r="M505" s="199">
        <v>-111263</v>
      </c>
      <c r="N505" s="199">
        <v>-245557.44099999999</v>
      </c>
      <c r="O505" s="199">
        <v>0</v>
      </c>
      <c r="P505" s="199">
        <v>0</v>
      </c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5">
      <c r="A506" s="33" t="s">
        <v>140</v>
      </c>
      <c r="B506" s="33" t="s">
        <v>144</v>
      </c>
      <c r="C506" s="33">
        <v>23</v>
      </c>
      <c r="D506" s="33" t="s">
        <v>131</v>
      </c>
      <c r="E506" s="200">
        <v>-719145</v>
      </c>
      <c r="F506" s="199">
        <v>-1587153.0149999999</v>
      </c>
      <c r="G506" s="200">
        <v>21</v>
      </c>
      <c r="H506" s="199">
        <v>46.347000000000001</v>
      </c>
      <c r="I506" s="200">
        <v>0</v>
      </c>
      <c r="J506" s="199">
        <v>0</v>
      </c>
      <c r="K506" s="199">
        <v>0</v>
      </c>
      <c r="L506" s="199">
        <v>0</v>
      </c>
      <c r="M506" s="199">
        <v>0</v>
      </c>
      <c r="N506" s="199">
        <v>0</v>
      </c>
      <c r="O506" s="199">
        <v>0</v>
      </c>
      <c r="P506" s="199">
        <v>0</v>
      </c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5">
      <c r="A507" s="33" t="s">
        <v>140</v>
      </c>
      <c r="B507" s="33" t="s">
        <v>144</v>
      </c>
      <c r="C507" s="33">
        <v>24</v>
      </c>
      <c r="D507" s="33" t="s">
        <v>55</v>
      </c>
      <c r="E507" s="200">
        <v>-24183369</v>
      </c>
      <c r="F507" s="199">
        <v>-379380.82</v>
      </c>
      <c r="G507" s="200">
        <v>-2294047</v>
      </c>
      <c r="H507" s="199">
        <v>-14240.75</v>
      </c>
      <c r="I507" s="200">
        <v>1699793</v>
      </c>
      <c r="J507" s="199">
        <v>9.9999999999980105E-3</v>
      </c>
      <c r="K507" s="199">
        <v>-766071</v>
      </c>
      <c r="L507" s="199">
        <v>1.3500311979441904E-13</v>
      </c>
      <c r="M507" s="199">
        <v>0</v>
      </c>
      <c r="N507" s="199">
        <v>-163.5</v>
      </c>
      <c r="O507" s="199">
        <v>0</v>
      </c>
      <c r="P507" s="199">
        <v>665225.68999999994</v>
      </c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5">
      <c r="A508" s="33" t="s">
        <v>140</v>
      </c>
      <c r="B508" s="33" t="s">
        <v>144</v>
      </c>
      <c r="C508" s="33">
        <v>25</v>
      </c>
      <c r="D508" s="33" t="s">
        <v>56</v>
      </c>
      <c r="E508" s="200">
        <v>0</v>
      </c>
      <c r="F508" s="199">
        <v>-2278451.4500000002</v>
      </c>
      <c r="G508" s="200">
        <v>0</v>
      </c>
      <c r="H508" s="199">
        <v>-3170212.12</v>
      </c>
      <c r="I508" s="200">
        <v>0</v>
      </c>
      <c r="J508" s="199">
        <v>0</v>
      </c>
      <c r="K508" s="199">
        <v>0</v>
      </c>
      <c r="L508" s="199">
        <v>0</v>
      </c>
      <c r="M508" s="199">
        <v>0</v>
      </c>
      <c r="N508" s="199">
        <v>0</v>
      </c>
      <c r="O508" s="199">
        <v>0</v>
      </c>
      <c r="P508" s="199">
        <v>-0.5</v>
      </c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5">
      <c r="A509" s="33" t="s">
        <v>140</v>
      </c>
      <c r="B509" s="33" t="s">
        <v>144</v>
      </c>
      <c r="C509" s="33">
        <v>26</v>
      </c>
      <c r="D509" s="33" t="s">
        <v>132</v>
      </c>
      <c r="E509" s="200">
        <v>0</v>
      </c>
      <c r="F509" s="199">
        <v>0</v>
      </c>
      <c r="G509" s="200">
        <v>0</v>
      </c>
      <c r="H509" s="199">
        <v>0</v>
      </c>
      <c r="I509" s="200">
        <v>0</v>
      </c>
      <c r="J509" s="199">
        <v>0</v>
      </c>
      <c r="K509" s="199">
        <v>0</v>
      </c>
      <c r="L509" s="199">
        <v>0</v>
      </c>
      <c r="M509" s="199">
        <v>0</v>
      </c>
      <c r="N509" s="199">
        <v>0</v>
      </c>
      <c r="O509" s="199">
        <v>0</v>
      </c>
      <c r="P509" s="199">
        <v>0</v>
      </c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5">
      <c r="A510" s="33" t="s">
        <v>140</v>
      </c>
      <c r="B510" s="33" t="s">
        <v>144</v>
      </c>
      <c r="C510" s="33">
        <v>27</v>
      </c>
      <c r="D510" s="33" t="s">
        <v>133</v>
      </c>
      <c r="E510" s="200">
        <v>0</v>
      </c>
      <c r="F510" s="199">
        <v>0</v>
      </c>
      <c r="G510" s="200">
        <v>0</v>
      </c>
      <c r="H510" s="199">
        <v>0</v>
      </c>
      <c r="I510" s="200">
        <v>0</v>
      </c>
      <c r="J510" s="199">
        <v>0</v>
      </c>
      <c r="K510" s="199">
        <v>0</v>
      </c>
      <c r="L510" s="199">
        <v>0</v>
      </c>
      <c r="M510" s="199">
        <v>0</v>
      </c>
      <c r="N510" s="199">
        <v>0</v>
      </c>
      <c r="O510" s="199">
        <v>0</v>
      </c>
      <c r="P510" s="199">
        <v>0</v>
      </c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5">
      <c r="A511" s="33" t="s">
        <v>140</v>
      </c>
      <c r="B511" s="33" t="s">
        <v>144</v>
      </c>
      <c r="C511" s="33">
        <v>28</v>
      </c>
      <c r="D511" s="33" t="s">
        <v>134</v>
      </c>
      <c r="E511" s="200">
        <v>0</v>
      </c>
      <c r="F511" s="199">
        <v>0</v>
      </c>
      <c r="G511" s="200">
        <v>0</v>
      </c>
      <c r="H511" s="199">
        <v>0</v>
      </c>
      <c r="I511" s="200">
        <v>0</v>
      </c>
      <c r="J511" s="199">
        <v>0</v>
      </c>
      <c r="K511" s="199">
        <v>0</v>
      </c>
      <c r="L511" s="199">
        <v>0</v>
      </c>
      <c r="M511" s="199">
        <v>0</v>
      </c>
      <c r="N511" s="199">
        <v>0</v>
      </c>
      <c r="O511" s="199">
        <v>0</v>
      </c>
      <c r="P511" s="199">
        <v>0</v>
      </c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5">
      <c r="A512" s="33" t="s">
        <v>140</v>
      </c>
      <c r="B512" s="33" t="s">
        <v>144</v>
      </c>
      <c r="C512" s="33">
        <v>29</v>
      </c>
      <c r="D512" s="33" t="s">
        <v>135</v>
      </c>
      <c r="E512" s="200">
        <v>0</v>
      </c>
      <c r="F512" s="199">
        <v>0</v>
      </c>
      <c r="G512" s="200">
        <v>0</v>
      </c>
      <c r="H512" s="199">
        <v>0</v>
      </c>
      <c r="I512" s="200">
        <v>0</v>
      </c>
      <c r="J512" s="199">
        <v>0</v>
      </c>
      <c r="K512" s="199">
        <v>0</v>
      </c>
      <c r="L512" s="199">
        <v>0</v>
      </c>
      <c r="M512" s="199">
        <v>0</v>
      </c>
      <c r="N512" s="199">
        <v>0</v>
      </c>
      <c r="O512" s="199">
        <v>0</v>
      </c>
      <c r="P512" s="199">
        <v>0</v>
      </c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5">
      <c r="A513" s="33" t="s">
        <v>140</v>
      </c>
      <c r="B513" s="33" t="s">
        <v>144</v>
      </c>
      <c r="C513" s="33">
        <v>30</v>
      </c>
      <c r="D513" s="33" t="s">
        <v>136</v>
      </c>
      <c r="E513" s="200">
        <v>0</v>
      </c>
      <c r="F513" s="199">
        <v>0</v>
      </c>
      <c r="G513" s="200">
        <v>0</v>
      </c>
      <c r="H513" s="199">
        <v>0</v>
      </c>
      <c r="I513" s="200">
        <v>0</v>
      </c>
      <c r="J513" s="199">
        <v>0</v>
      </c>
      <c r="K513" s="199">
        <v>0</v>
      </c>
      <c r="L513" s="199">
        <v>0</v>
      </c>
      <c r="M513" s="199">
        <v>0</v>
      </c>
      <c r="N513" s="199">
        <v>0</v>
      </c>
      <c r="O513" s="199">
        <v>0</v>
      </c>
      <c r="P513" s="199">
        <v>0</v>
      </c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5">
      <c r="A514" s="33" t="s">
        <v>140</v>
      </c>
      <c r="B514" s="33" t="s">
        <v>144</v>
      </c>
      <c r="C514" s="33">
        <v>31</v>
      </c>
      <c r="D514" s="33" t="s">
        <v>137</v>
      </c>
      <c r="E514" s="200">
        <v>0</v>
      </c>
      <c r="F514" s="199">
        <v>0</v>
      </c>
      <c r="G514" s="200">
        <v>0</v>
      </c>
      <c r="H514" s="199">
        <v>0</v>
      </c>
      <c r="I514" s="200">
        <v>0</v>
      </c>
      <c r="J514" s="199">
        <v>0</v>
      </c>
      <c r="K514" s="199">
        <v>0</v>
      </c>
      <c r="L514" s="199">
        <v>0</v>
      </c>
      <c r="M514" s="199">
        <v>0</v>
      </c>
      <c r="N514" s="199">
        <v>0</v>
      </c>
      <c r="O514" s="199">
        <v>0</v>
      </c>
      <c r="P514" s="199">
        <v>0</v>
      </c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5">
      <c r="A515" s="33" t="s">
        <v>140</v>
      </c>
      <c r="B515" s="33" t="s">
        <v>144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>
        <v>0</v>
      </c>
      <c r="J515" s="199">
        <v>0</v>
      </c>
      <c r="K515" s="199">
        <v>0</v>
      </c>
      <c r="L515" s="199">
        <v>0</v>
      </c>
      <c r="M515" s="199">
        <v>0</v>
      </c>
      <c r="N515" s="199">
        <v>0</v>
      </c>
      <c r="O515" s="199">
        <v>0</v>
      </c>
      <c r="P515" s="199">
        <v>0</v>
      </c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5">
      <c r="A516" s="33" t="s">
        <v>140</v>
      </c>
      <c r="B516" s="33" t="s">
        <v>144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>
        <v>0</v>
      </c>
      <c r="J516" s="199">
        <v>0</v>
      </c>
      <c r="K516" s="199">
        <v>0</v>
      </c>
      <c r="L516" s="199">
        <v>0</v>
      </c>
      <c r="M516" s="199">
        <v>0</v>
      </c>
      <c r="N516" s="199">
        <v>0</v>
      </c>
      <c r="O516" s="199">
        <v>0</v>
      </c>
      <c r="P516" s="199">
        <v>0</v>
      </c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5">
      <c r="A517" s="33" t="s">
        <v>140</v>
      </c>
      <c r="B517" s="33" t="s">
        <v>144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>
        <v>0</v>
      </c>
      <c r="J517" s="199">
        <v>0</v>
      </c>
      <c r="K517" s="199">
        <v>0</v>
      </c>
      <c r="L517" s="199">
        <v>0</v>
      </c>
      <c r="M517" s="199">
        <v>0</v>
      </c>
      <c r="N517" s="199">
        <v>0</v>
      </c>
      <c r="O517" s="199">
        <v>0</v>
      </c>
      <c r="P517" s="199">
        <v>0</v>
      </c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5">
      <c r="A518" s="33" t="s">
        <v>140</v>
      </c>
      <c r="B518" s="33" t="s">
        <v>144</v>
      </c>
      <c r="C518" s="33">
        <v>35</v>
      </c>
      <c r="D518" s="33" t="s">
        <v>73</v>
      </c>
      <c r="E518" s="200">
        <v>0</v>
      </c>
      <c r="F518" s="199">
        <v>-9739.94</v>
      </c>
      <c r="G518" s="200">
        <v>0</v>
      </c>
      <c r="H518" s="199">
        <v>-281.75</v>
      </c>
      <c r="I518" s="200">
        <v>0</v>
      </c>
      <c r="J518" s="199">
        <v>0</v>
      </c>
      <c r="K518" s="199">
        <v>0</v>
      </c>
      <c r="L518" s="199">
        <v>0</v>
      </c>
      <c r="M518" s="199">
        <v>0</v>
      </c>
      <c r="N518" s="199">
        <v>0</v>
      </c>
      <c r="O518" s="199">
        <v>0</v>
      </c>
      <c r="P518" s="199">
        <v>0</v>
      </c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5">
      <c r="A519" s="33" t="s">
        <v>140</v>
      </c>
      <c r="B519" s="33" t="s">
        <v>144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>
        <v>0</v>
      </c>
      <c r="J519" s="199">
        <v>0</v>
      </c>
      <c r="K519" s="199">
        <v>0</v>
      </c>
      <c r="L519" s="199">
        <v>0</v>
      </c>
      <c r="M519" s="199">
        <v>0</v>
      </c>
      <c r="N519" s="199">
        <v>0</v>
      </c>
      <c r="O519" s="199">
        <v>0</v>
      </c>
      <c r="P519" s="199">
        <v>0</v>
      </c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5">
      <c r="A520" s="33" t="s">
        <v>140</v>
      </c>
      <c r="B520" s="33" t="s">
        <v>144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>
        <v>0</v>
      </c>
      <c r="J520" s="199">
        <v>0</v>
      </c>
      <c r="K520" s="199">
        <v>0</v>
      </c>
      <c r="L520" s="199">
        <v>0</v>
      </c>
      <c r="M520" s="199">
        <v>0</v>
      </c>
      <c r="N520" s="199">
        <v>0</v>
      </c>
      <c r="O520" s="199">
        <v>0</v>
      </c>
      <c r="P520" s="199">
        <v>0</v>
      </c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5">
      <c r="A521" s="33" t="s">
        <v>140</v>
      </c>
      <c r="B521" s="33" t="s">
        <v>144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>
        <v>0</v>
      </c>
      <c r="J521" s="199">
        <v>0</v>
      </c>
      <c r="K521" s="199">
        <v>0</v>
      </c>
      <c r="L521" s="199">
        <v>0</v>
      </c>
      <c r="M521" s="199">
        <v>0</v>
      </c>
      <c r="N521" s="199">
        <v>0</v>
      </c>
      <c r="O521" s="199">
        <v>0</v>
      </c>
      <c r="P521" s="199">
        <v>0</v>
      </c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5">
      <c r="A522" s="33" t="s">
        <v>140</v>
      </c>
      <c r="B522" s="33" t="s">
        <v>144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>
        <v>0</v>
      </c>
      <c r="J522" s="199">
        <v>0</v>
      </c>
      <c r="K522" s="199">
        <v>0</v>
      </c>
      <c r="L522" s="199">
        <v>0</v>
      </c>
      <c r="M522" s="199">
        <v>0</v>
      </c>
      <c r="N522" s="199">
        <v>0</v>
      </c>
      <c r="O522" s="199">
        <v>0</v>
      </c>
      <c r="P522" s="199">
        <v>0</v>
      </c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5">
      <c r="A523" s="33" t="s">
        <v>140</v>
      </c>
      <c r="B523" s="33" t="s">
        <v>144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0</v>
      </c>
      <c r="I523" s="200">
        <v>0</v>
      </c>
      <c r="J523" s="199">
        <v>0</v>
      </c>
      <c r="K523" s="199">
        <v>0</v>
      </c>
      <c r="L523" s="199">
        <v>0</v>
      </c>
      <c r="M523" s="199">
        <v>0</v>
      </c>
      <c r="N523" s="199">
        <v>0</v>
      </c>
      <c r="O523" s="199">
        <v>0</v>
      </c>
      <c r="P523" s="199">
        <v>0</v>
      </c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5">
      <c r="A524" s="33" t="s">
        <v>145</v>
      </c>
      <c r="B524" s="33" t="s">
        <v>146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>
        <v>0</v>
      </c>
      <c r="J524" s="199">
        <v>0</v>
      </c>
      <c r="K524" s="199">
        <v>0</v>
      </c>
      <c r="L524" s="199">
        <v>0</v>
      </c>
      <c r="M524" s="199">
        <v>0</v>
      </c>
      <c r="N524" s="199">
        <v>0</v>
      </c>
      <c r="O524" s="199">
        <v>0</v>
      </c>
      <c r="P524" s="199">
        <v>0</v>
      </c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5">
      <c r="A525" s="33" t="s">
        <v>145</v>
      </c>
      <c r="B525" s="33" t="s">
        <v>146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>
        <v>0</v>
      </c>
      <c r="J525" s="199">
        <v>0</v>
      </c>
      <c r="K525" s="199">
        <v>0</v>
      </c>
      <c r="L525" s="199">
        <v>0</v>
      </c>
      <c r="M525" s="199">
        <v>0</v>
      </c>
      <c r="N525" s="199">
        <v>0</v>
      </c>
      <c r="O525" s="199">
        <v>0</v>
      </c>
      <c r="P525" s="199">
        <v>0</v>
      </c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5">
      <c r="A526" s="33" t="s">
        <v>145</v>
      </c>
      <c r="B526" s="33" t="s">
        <v>146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>
        <v>0</v>
      </c>
      <c r="J526" s="199">
        <v>0</v>
      </c>
      <c r="K526" s="199">
        <v>0</v>
      </c>
      <c r="L526" s="199">
        <v>0</v>
      </c>
      <c r="M526" s="199">
        <v>0</v>
      </c>
      <c r="N526" s="199">
        <v>0</v>
      </c>
      <c r="O526" s="199">
        <v>0</v>
      </c>
      <c r="P526" s="199">
        <v>0</v>
      </c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5">
      <c r="A527" s="33" t="s">
        <v>145</v>
      </c>
      <c r="B527" s="33" t="s">
        <v>146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>
        <v>0</v>
      </c>
      <c r="J527" s="199">
        <v>0</v>
      </c>
      <c r="K527" s="199">
        <v>0</v>
      </c>
      <c r="L527" s="199">
        <v>0</v>
      </c>
      <c r="M527" s="199">
        <v>0</v>
      </c>
      <c r="N527" s="199">
        <v>0</v>
      </c>
      <c r="O527" s="199">
        <v>0</v>
      </c>
      <c r="P527" s="199">
        <v>0</v>
      </c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5">
      <c r="A528" s="33" t="s">
        <v>145</v>
      </c>
      <c r="B528" s="33" t="s">
        <v>146</v>
      </c>
      <c r="C528" s="33">
        <v>5</v>
      </c>
      <c r="D528" s="33" t="s">
        <v>125</v>
      </c>
      <c r="E528" s="200">
        <v>0</v>
      </c>
      <c r="F528" s="199">
        <v>0</v>
      </c>
      <c r="G528" s="200">
        <v>0</v>
      </c>
      <c r="H528" s="199">
        <v>0</v>
      </c>
      <c r="I528" s="200">
        <v>0</v>
      </c>
      <c r="J528" s="199">
        <v>0</v>
      </c>
      <c r="K528" s="199">
        <v>0</v>
      </c>
      <c r="L528" s="199">
        <v>0</v>
      </c>
      <c r="M528" s="199">
        <v>0</v>
      </c>
      <c r="N528" s="199">
        <v>0</v>
      </c>
      <c r="O528" s="199">
        <v>0</v>
      </c>
      <c r="P528" s="199">
        <v>0</v>
      </c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5">
      <c r="A529" s="33" t="s">
        <v>145</v>
      </c>
      <c r="B529" s="33" t="s">
        <v>146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>
        <v>0</v>
      </c>
      <c r="J529" s="199">
        <v>0</v>
      </c>
      <c r="K529" s="199">
        <v>0</v>
      </c>
      <c r="L529" s="199">
        <v>0</v>
      </c>
      <c r="M529" s="199">
        <v>0</v>
      </c>
      <c r="N529" s="199">
        <v>0</v>
      </c>
      <c r="O529" s="199">
        <v>0</v>
      </c>
      <c r="P529" s="199">
        <v>0</v>
      </c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5">
      <c r="A530" s="33" t="s">
        <v>145</v>
      </c>
      <c r="B530" s="33" t="s">
        <v>146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>
        <v>0</v>
      </c>
      <c r="J530" s="199">
        <v>0</v>
      </c>
      <c r="K530" s="199">
        <v>0</v>
      </c>
      <c r="L530" s="199">
        <v>0</v>
      </c>
      <c r="M530" s="199">
        <v>0</v>
      </c>
      <c r="N530" s="199">
        <v>0</v>
      </c>
      <c r="O530" s="199">
        <v>0</v>
      </c>
      <c r="P530" s="199">
        <v>0</v>
      </c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5">
      <c r="A531" s="33" t="s">
        <v>145</v>
      </c>
      <c r="B531" s="33" t="s">
        <v>146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>
        <v>0</v>
      </c>
      <c r="J531" s="199">
        <v>0</v>
      </c>
      <c r="K531" s="199">
        <v>0</v>
      </c>
      <c r="L531" s="199">
        <v>0</v>
      </c>
      <c r="M531" s="199">
        <v>0</v>
      </c>
      <c r="N531" s="199">
        <v>0</v>
      </c>
      <c r="O531" s="199">
        <v>0</v>
      </c>
      <c r="P531" s="199">
        <v>0</v>
      </c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5">
      <c r="A532" s="33" t="s">
        <v>145</v>
      </c>
      <c r="B532" s="33" t="s">
        <v>146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>
        <v>0</v>
      </c>
      <c r="J532" s="199">
        <v>0</v>
      </c>
      <c r="K532" s="199">
        <v>0</v>
      </c>
      <c r="L532" s="199">
        <v>0</v>
      </c>
      <c r="M532" s="199">
        <v>0</v>
      </c>
      <c r="N532" s="199">
        <v>0</v>
      </c>
      <c r="O532" s="199">
        <v>0</v>
      </c>
      <c r="P532" s="199">
        <v>0</v>
      </c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5">
      <c r="A533" s="33" t="s">
        <v>145</v>
      </c>
      <c r="B533" s="33" t="s">
        <v>146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>
        <v>0</v>
      </c>
      <c r="J533" s="199">
        <v>0</v>
      </c>
      <c r="K533" s="199">
        <v>0</v>
      </c>
      <c r="L533" s="199">
        <v>0</v>
      </c>
      <c r="M533" s="199">
        <v>0</v>
      </c>
      <c r="N533" s="199">
        <v>0</v>
      </c>
      <c r="O533" s="199">
        <v>0</v>
      </c>
      <c r="P533" s="199">
        <v>0</v>
      </c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5">
      <c r="A534" s="33" t="s">
        <v>145</v>
      </c>
      <c r="B534" s="33" t="s">
        <v>146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>
        <v>0</v>
      </c>
      <c r="J534" s="199">
        <v>0</v>
      </c>
      <c r="K534" s="199">
        <v>0</v>
      </c>
      <c r="L534" s="199">
        <v>0</v>
      </c>
      <c r="M534" s="199">
        <v>0</v>
      </c>
      <c r="N534" s="199">
        <v>0</v>
      </c>
      <c r="O534" s="199">
        <v>0</v>
      </c>
      <c r="P534" s="199">
        <v>0</v>
      </c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5">
      <c r="A535" s="33" t="s">
        <v>145</v>
      </c>
      <c r="B535" s="33" t="s">
        <v>146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>
        <v>0</v>
      </c>
      <c r="J535" s="199">
        <v>0</v>
      </c>
      <c r="K535" s="199">
        <v>0</v>
      </c>
      <c r="L535" s="199">
        <v>0</v>
      </c>
      <c r="M535" s="199">
        <v>0</v>
      </c>
      <c r="N535" s="199">
        <v>0</v>
      </c>
      <c r="O535" s="199">
        <v>0</v>
      </c>
      <c r="P535" s="199">
        <v>0</v>
      </c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5">
      <c r="A536" s="33" t="s">
        <v>145</v>
      </c>
      <c r="B536" s="33" t="s">
        <v>146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>
        <v>0</v>
      </c>
      <c r="J536" s="199">
        <v>0</v>
      </c>
      <c r="K536" s="199">
        <v>0</v>
      </c>
      <c r="L536" s="199">
        <v>0</v>
      </c>
      <c r="M536" s="199">
        <v>0</v>
      </c>
      <c r="N536" s="199">
        <v>0</v>
      </c>
      <c r="O536" s="199">
        <v>0</v>
      </c>
      <c r="P536" s="199">
        <v>0</v>
      </c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5">
      <c r="A537" s="33" t="s">
        <v>145</v>
      </c>
      <c r="B537" s="33" t="s">
        <v>146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>
        <v>0</v>
      </c>
      <c r="J537" s="199">
        <v>0</v>
      </c>
      <c r="K537" s="199">
        <v>0</v>
      </c>
      <c r="L537" s="199">
        <v>0</v>
      </c>
      <c r="M537" s="199">
        <v>0</v>
      </c>
      <c r="N537" s="199">
        <v>0</v>
      </c>
      <c r="O537" s="199">
        <v>0</v>
      </c>
      <c r="P537" s="199">
        <v>0</v>
      </c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5">
      <c r="A538" s="33" t="s">
        <v>145</v>
      </c>
      <c r="B538" s="33" t="s">
        <v>146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>
        <v>0</v>
      </c>
      <c r="J538" s="199">
        <v>0</v>
      </c>
      <c r="K538" s="199">
        <v>0</v>
      </c>
      <c r="L538" s="199">
        <v>0</v>
      </c>
      <c r="M538" s="199">
        <v>0</v>
      </c>
      <c r="N538" s="199">
        <v>0</v>
      </c>
      <c r="O538" s="199">
        <v>0</v>
      </c>
      <c r="P538" s="199">
        <v>0</v>
      </c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5">
      <c r="A539" s="33" t="s">
        <v>145</v>
      </c>
      <c r="B539" s="33" t="s">
        <v>146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>
        <v>0</v>
      </c>
      <c r="J539" s="199">
        <v>0</v>
      </c>
      <c r="K539" s="199">
        <v>0</v>
      </c>
      <c r="L539" s="199">
        <v>0</v>
      </c>
      <c r="M539" s="199">
        <v>0</v>
      </c>
      <c r="N539" s="199">
        <v>0</v>
      </c>
      <c r="O539" s="199">
        <v>0</v>
      </c>
      <c r="P539" s="199">
        <v>0</v>
      </c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5">
      <c r="A540" s="33" t="s">
        <v>145</v>
      </c>
      <c r="B540" s="33" t="s">
        <v>146</v>
      </c>
      <c r="C540" s="33">
        <v>17</v>
      </c>
      <c r="D540" s="33" t="s">
        <v>126</v>
      </c>
      <c r="E540" s="200">
        <v>0</v>
      </c>
      <c r="F540" s="199">
        <v>0</v>
      </c>
      <c r="G540" s="200">
        <v>0</v>
      </c>
      <c r="H540" s="199">
        <v>0</v>
      </c>
      <c r="I540" s="200">
        <v>0</v>
      </c>
      <c r="J540" s="199">
        <v>0</v>
      </c>
      <c r="K540" s="199">
        <v>0</v>
      </c>
      <c r="L540" s="199">
        <v>0</v>
      </c>
      <c r="M540" s="199">
        <v>0</v>
      </c>
      <c r="N540" s="199">
        <v>0</v>
      </c>
      <c r="O540" s="199">
        <v>0</v>
      </c>
      <c r="P540" s="199">
        <v>0</v>
      </c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5">
      <c r="A541" s="33" t="s">
        <v>145</v>
      </c>
      <c r="B541" s="33" t="s">
        <v>146</v>
      </c>
      <c r="C541" s="33">
        <v>18</v>
      </c>
      <c r="D541" s="33" t="s">
        <v>127</v>
      </c>
      <c r="E541" s="200">
        <v>0</v>
      </c>
      <c r="F541" s="199">
        <v>0</v>
      </c>
      <c r="G541" s="200">
        <v>0</v>
      </c>
      <c r="H541" s="199">
        <v>0</v>
      </c>
      <c r="I541" s="200">
        <v>0</v>
      </c>
      <c r="J541" s="199">
        <v>0</v>
      </c>
      <c r="K541" s="199">
        <v>0</v>
      </c>
      <c r="L541" s="199">
        <v>0</v>
      </c>
      <c r="M541" s="199">
        <v>0</v>
      </c>
      <c r="N541" s="199">
        <v>0</v>
      </c>
      <c r="O541" s="199">
        <v>0</v>
      </c>
      <c r="P541" s="199">
        <v>0</v>
      </c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5">
      <c r="A542" s="33" t="s">
        <v>145</v>
      </c>
      <c r="B542" s="33" t="s">
        <v>146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>
        <v>0</v>
      </c>
      <c r="J542" s="199">
        <v>0</v>
      </c>
      <c r="K542" s="199">
        <v>0</v>
      </c>
      <c r="L542" s="199">
        <v>0</v>
      </c>
      <c r="M542" s="199">
        <v>0</v>
      </c>
      <c r="N542" s="199">
        <v>0</v>
      </c>
      <c r="O542" s="199">
        <v>0</v>
      </c>
      <c r="P542" s="199">
        <v>0</v>
      </c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5">
      <c r="A543" s="33" t="s">
        <v>145</v>
      </c>
      <c r="B543" s="33" t="s">
        <v>146</v>
      </c>
      <c r="C543" s="33">
        <v>20</v>
      </c>
      <c r="D543" s="33" t="s">
        <v>128</v>
      </c>
      <c r="E543" s="200">
        <v>0</v>
      </c>
      <c r="F543" s="199">
        <v>0</v>
      </c>
      <c r="G543" s="200">
        <v>0</v>
      </c>
      <c r="H543" s="199">
        <v>0</v>
      </c>
      <c r="I543" s="200">
        <v>0</v>
      </c>
      <c r="J543" s="199">
        <v>0</v>
      </c>
      <c r="K543" s="199">
        <v>0</v>
      </c>
      <c r="L543" s="199">
        <v>0</v>
      </c>
      <c r="M543" s="199">
        <v>0</v>
      </c>
      <c r="N543" s="199">
        <v>0</v>
      </c>
      <c r="O543" s="199">
        <v>0</v>
      </c>
      <c r="P543" s="199">
        <v>0</v>
      </c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5">
      <c r="A544" s="33" t="s">
        <v>145</v>
      </c>
      <c r="B544" s="33" t="s">
        <v>146</v>
      </c>
      <c r="C544" s="33">
        <v>21</v>
      </c>
      <c r="D544" s="33" t="s">
        <v>129</v>
      </c>
      <c r="E544" s="200">
        <v>0</v>
      </c>
      <c r="F544" s="199">
        <v>0</v>
      </c>
      <c r="G544" s="200">
        <v>0</v>
      </c>
      <c r="H544" s="199">
        <v>0</v>
      </c>
      <c r="I544" s="200">
        <v>0</v>
      </c>
      <c r="J544" s="199">
        <v>0</v>
      </c>
      <c r="K544" s="199">
        <v>0</v>
      </c>
      <c r="L544" s="199">
        <v>0</v>
      </c>
      <c r="M544" s="199">
        <v>0</v>
      </c>
      <c r="N544" s="199">
        <v>0</v>
      </c>
      <c r="O544" s="199">
        <v>0</v>
      </c>
      <c r="P544" s="199">
        <v>0</v>
      </c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5">
      <c r="A545" s="33" t="s">
        <v>145</v>
      </c>
      <c r="B545" s="33" t="s">
        <v>146</v>
      </c>
      <c r="C545" s="33">
        <v>22</v>
      </c>
      <c r="D545" s="33" t="s">
        <v>130</v>
      </c>
      <c r="E545" s="200">
        <v>0</v>
      </c>
      <c r="F545" s="199">
        <v>0</v>
      </c>
      <c r="G545" s="200">
        <v>0</v>
      </c>
      <c r="H545" s="199">
        <v>0</v>
      </c>
      <c r="I545" s="200">
        <v>0</v>
      </c>
      <c r="J545" s="199">
        <v>0</v>
      </c>
      <c r="K545" s="199">
        <v>0</v>
      </c>
      <c r="L545" s="199">
        <v>0</v>
      </c>
      <c r="M545" s="199">
        <v>0</v>
      </c>
      <c r="N545" s="199">
        <v>0</v>
      </c>
      <c r="O545" s="199">
        <v>0</v>
      </c>
      <c r="P545" s="199">
        <v>0</v>
      </c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5">
      <c r="A546" s="33" t="s">
        <v>145</v>
      </c>
      <c r="B546" s="33" t="s">
        <v>146</v>
      </c>
      <c r="C546" s="33">
        <v>23</v>
      </c>
      <c r="D546" s="33" t="s">
        <v>131</v>
      </c>
      <c r="E546" s="200">
        <v>0</v>
      </c>
      <c r="F546" s="199">
        <v>0</v>
      </c>
      <c r="G546" s="200">
        <v>0</v>
      </c>
      <c r="H546" s="199">
        <v>0</v>
      </c>
      <c r="I546" s="200">
        <v>0</v>
      </c>
      <c r="J546" s="199">
        <v>0</v>
      </c>
      <c r="K546" s="199">
        <v>0</v>
      </c>
      <c r="L546" s="199">
        <v>0</v>
      </c>
      <c r="M546" s="199">
        <v>0</v>
      </c>
      <c r="N546" s="199">
        <v>0</v>
      </c>
      <c r="O546" s="199">
        <v>0</v>
      </c>
      <c r="P546" s="199">
        <v>0</v>
      </c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5">
      <c r="A547" s="33" t="s">
        <v>145</v>
      </c>
      <c r="B547" s="33" t="s">
        <v>146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>
        <v>0</v>
      </c>
      <c r="J547" s="199">
        <v>0</v>
      </c>
      <c r="K547" s="199">
        <v>0</v>
      </c>
      <c r="L547" s="199">
        <v>0</v>
      </c>
      <c r="M547" s="199">
        <v>0</v>
      </c>
      <c r="N547" s="199">
        <v>0</v>
      </c>
      <c r="O547" s="199">
        <v>0</v>
      </c>
      <c r="P547" s="199">
        <v>0</v>
      </c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5">
      <c r="A548" s="33" t="s">
        <v>145</v>
      </c>
      <c r="B548" s="33" t="s">
        <v>146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>
        <v>0</v>
      </c>
      <c r="J548" s="199">
        <v>0</v>
      </c>
      <c r="K548" s="199">
        <v>0</v>
      </c>
      <c r="L548" s="199">
        <v>0</v>
      </c>
      <c r="M548" s="199">
        <v>0</v>
      </c>
      <c r="N548" s="199">
        <v>0</v>
      </c>
      <c r="O548" s="199">
        <v>0</v>
      </c>
      <c r="P548" s="199">
        <v>0</v>
      </c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5">
      <c r="A549" s="33" t="s">
        <v>145</v>
      </c>
      <c r="B549" s="33" t="s">
        <v>146</v>
      </c>
      <c r="C549" s="33">
        <v>26</v>
      </c>
      <c r="D549" s="33" t="s">
        <v>132</v>
      </c>
      <c r="E549" s="200">
        <v>0</v>
      </c>
      <c r="F549" s="199">
        <v>0</v>
      </c>
      <c r="G549" s="200">
        <v>0</v>
      </c>
      <c r="H549" s="199">
        <v>0</v>
      </c>
      <c r="I549" s="200">
        <v>0</v>
      </c>
      <c r="J549" s="199">
        <v>0</v>
      </c>
      <c r="K549" s="199">
        <v>0</v>
      </c>
      <c r="L549" s="199">
        <v>0</v>
      </c>
      <c r="M549" s="199">
        <v>0</v>
      </c>
      <c r="N549" s="199">
        <v>0</v>
      </c>
      <c r="O549" s="199">
        <v>0</v>
      </c>
      <c r="P549" s="199">
        <v>0</v>
      </c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5">
      <c r="A550" s="33" t="s">
        <v>145</v>
      </c>
      <c r="B550" s="33" t="s">
        <v>146</v>
      </c>
      <c r="C550" s="33">
        <v>27</v>
      </c>
      <c r="D550" s="33" t="s">
        <v>133</v>
      </c>
      <c r="E550" s="200">
        <v>0</v>
      </c>
      <c r="F550" s="199">
        <v>0</v>
      </c>
      <c r="G550" s="200">
        <v>0</v>
      </c>
      <c r="H550" s="199">
        <v>0</v>
      </c>
      <c r="I550" s="200">
        <v>0</v>
      </c>
      <c r="J550" s="199">
        <v>0</v>
      </c>
      <c r="K550" s="199">
        <v>0</v>
      </c>
      <c r="L550" s="199">
        <v>0</v>
      </c>
      <c r="M550" s="199">
        <v>0</v>
      </c>
      <c r="N550" s="199">
        <v>0</v>
      </c>
      <c r="O550" s="199">
        <v>0</v>
      </c>
      <c r="P550" s="199">
        <v>0</v>
      </c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5">
      <c r="A551" s="33" t="s">
        <v>145</v>
      </c>
      <c r="B551" s="33" t="s">
        <v>146</v>
      </c>
      <c r="C551" s="33">
        <v>28</v>
      </c>
      <c r="D551" s="33" t="s">
        <v>134</v>
      </c>
      <c r="E551" s="200">
        <v>0</v>
      </c>
      <c r="F551" s="199">
        <v>0</v>
      </c>
      <c r="G551" s="200">
        <v>0</v>
      </c>
      <c r="H551" s="199">
        <v>0</v>
      </c>
      <c r="I551" s="200">
        <v>0</v>
      </c>
      <c r="J551" s="199">
        <v>0</v>
      </c>
      <c r="K551" s="199">
        <v>0</v>
      </c>
      <c r="L551" s="199">
        <v>0</v>
      </c>
      <c r="M551" s="199">
        <v>0</v>
      </c>
      <c r="N551" s="199">
        <v>0</v>
      </c>
      <c r="O551" s="199">
        <v>0</v>
      </c>
      <c r="P551" s="199">
        <v>0</v>
      </c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5">
      <c r="A552" s="33" t="s">
        <v>145</v>
      </c>
      <c r="B552" s="33" t="s">
        <v>146</v>
      </c>
      <c r="C552" s="33">
        <v>29</v>
      </c>
      <c r="D552" s="33" t="s">
        <v>135</v>
      </c>
      <c r="E552" s="200">
        <v>0</v>
      </c>
      <c r="F552" s="199">
        <v>0</v>
      </c>
      <c r="G552" s="200">
        <v>0</v>
      </c>
      <c r="H552" s="199">
        <v>0</v>
      </c>
      <c r="I552" s="200">
        <v>0</v>
      </c>
      <c r="J552" s="199">
        <v>0</v>
      </c>
      <c r="K552" s="199">
        <v>0</v>
      </c>
      <c r="L552" s="199">
        <v>0</v>
      </c>
      <c r="M552" s="199">
        <v>0</v>
      </c>
      <c r="N552" s="199">
        <v>0</v>
      </c>
      <c r="O552" s="199">
        <v>0</v>
      </c>
      <c r="P552" s="199">
        <v>0</v>
      </c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5">
      <c r="A553" s="33" t="s">
        <v>145</v>
      </c>
      <c r="B553" s="33" t="s">
        <v>146</v>
      </c>
      <c r="C553" s="33">
        <v>30</v>
      </c>
      <c r="D553" s="33" t="s">
        <v>136</v>
      </c>
      <c r="E553" s="200">
        <v>0</v>
      </c>
      <c r="F553" s="199">
        <v>0</v>
      </c>
      <c r="G553" s="200">
        <v>0</v>
      </c>
      <c r="H553" s="199">
        <v>0</v>
      </c>
      <c r="I553" s="200">
        <v>0</v>
      </c>
      <c r="J553" s="199">
        <v>0</v>
      </c>
      <c r="K553" s="199">
        <v>0</v>
      </c>
      <c r="L553" s="199">
        <v>0</v>
      </c>
      <c r="M553" s="199">
        <v>0</v>
      </c>
      <c r="N553" s="199">
        <v>0</v>
      </c>
      <c r="O553" s="199">
        <v>0</v>
      </c>
      <c r="P553" s="199">
        <v>0</v>
      </c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5">
      <c r="A554" s="33" t="s">
        <v>145</v>
      </c>
      <c r="B554" s="33" t="s">
        <v>146</v>
      </c>
      <c r="C554" s="33">
        <v>31</v>
      </c>
      <c r="D554" s="33" t="s">
        <v>137</v>
      </c>
      <c r="E554" s="200">
        <v>0</v>
      </c>
      <c r="F554" s="199">
        <v>0</v>
      </c>
      <c r="G554" s="200">
        <v>0</v>
      </c>
      <c r="H554" s="199">
        <v>0</v>
      </c>
      <c r="I554" s="200">
        <v>0</v>
      </c>
      <c r="J554" s="199">
        <v>0</v>
      </c>
      <c r="K554" s="199">
        <v>0</v>
      </c>
      <c r="L554" s="199">
        <v>0</v>
      </c>
      <c r="M554" s="199">
        <v>0</v>
      </c>
      <c r="N554" s="199">
        <v>0</v>
      </c>
      <c r="O554" s="199">
        <v>0</v>
      </c>
      <c r="P554" s="199">
        <v>0</v>
      </c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5">
      <c r="A555" s="33" t="s">
        <v>145</v>
      </c>
      <c r="B555" s="33" t="s">
        <v>146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>
        <v>0</v>
      </c>
      <c r="J555" s="199">
        <v>0</v>
      </c>
      <c r="K555" s="199">
        <v>0</v>
      </c>
      <c r="L555" s="199">
        <v>0</v>
      </c>
      <c r="M555" s="199">
        <v>0</v>
      </c>
      <c r="N555" s="199">
        <v>0</v>
      </c>
      <c r="O555" s="199">
        <v>0</v>
      </c>
      <c r="P555" s="199">
        <v>0</v>
      </c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5">
      <c r="A556" s="33" t="s">
        <v>145</v>
      </c>
      <c r="B556" s="33" t="s">
        <v>146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>
        <v>0</v>
      </c>
      <c r="J556" s="199">
        <v>0</v>
      </c>
      <c r="K556" s="199">
        <v>0</v>
      </c>
      <c r="L556" s="199">
        <v>0</v>
      </c>
      <c r="M556" s="199">
        <v>0</v>
      </c>
      <c r="N556" s="199">
        <v>0</v>
      </c>
      <c r="O556" s="199">
        <v>0</v>
      </c>
      <c r="P556" s="199">
        <v>0</v>
      </c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5">
      <c r="A557" s="33" t="s">
        <v>145</v>
      </c>
      <c r="B557" s="33" t="s">
        <v>146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>
        <v>0</v>
      </c>
      <c r="J557" s="199">
        <v>0</v>
      </c>
      <c r="K557" s="199">
        <v>0</v>
      </c>
      <c r="L557" s="199">
        <v>0</v>
      </c>
      <c r="M557" s="199">
        <v>0</v>
      </c>
      <c r="N557" s="199">
        <v>0</v>
      </c>
      <c r="O557" s="199">
        <v>0</v>
      </c>
      <c r="P557" s="199">
        <v>0</v>
      </c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5">
      <c r="A558" s="33" t="s">
        <v>145</v>
      </c>
      <c r="B558" s="33" t="s">
        <v>146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>
        <v>0</v>
      </c>
      <c r="J558" s="199">
        <v>0</v>
      </c>
      <c r="K558" s="199">
        <v>0</v>
      </c>
      <c r="L558" s="199">
        <v>0</v>
      </c>
      <c r="M558" s="199">
        <v>0</v>
      </c>
      <c r="N558" s="199">
        <v>0</v>
      </c>
      <c r="O558" s="199">
        <v>0</v>
      </c>
      <c r="P558" s="199">
        <v>0</v>
      </c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5">
      <c r="A559" s="33" t="s">
        <v>145</v>
      </c>
      <c r="B559" s="33" t="s">
        <v>146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>
        <v>0</v>
      </c>
      <c r="J559" s="199">
        <v>0</v>
      </c>
      <c r="K559" s="199">
        <v>0</v>
      </c>
      <c r="L559" s="199">
        <v>0</v>
      </c>
      <c r="M559" s="199">
        <v>0</v>
      </c>
      <c r="N559" s="199">
        <v>0</v>
      </c>
      <c r="O559" s="199">
        <v>0</v>
      </c>
      <c r="P559" s="199">
        <v>0</v>
      </c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5">
      <c r="A560" s="33" t="s">
        <v>145</v>
      </c>
      <c r="B560" s="33" t="s">
        <v>146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>
        <v>0</v>
      </c>
      <c r="J560" s="199">
        <v>0</v>
      </c>
      <c r="K560" s="199">
        <v>0</v>
      </c>
      <c r="L560" s="199">
        <v>0</v>
      </c>
      <c r="M560" s="199">
        <v>0</v>
      </c>
      <c r="N560" s="199">
        <v>0</v>
      </c>
      <c r="O560" s="199">
        <v>0</v>
      </c>
      <c r="P560" s="199">
        <v>0</v>
      </c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5">
      <c r="A561" s="33" t="s">
        <v>145</v>
      </c>
      <c r="B561" s="33" t="s">
        <v>146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>
        <v>0</v>
      </c>
      <c r="J561" s="199">
        <v>0</v>
      </c>
      <c r="K561" s="199">
        <v>0</v>
      </c>
      <c r="L561" s="199">
        <v>0</v>
      </c>
      <c r="M561" s="199">
        <v>0</v>
      </c>
      <c r="N561" s="199">
        <v>0</v>
      </c>
      <c r="O561" s="199">
        <v>0</v>
      </c>
      <c r="P561" s="199">
        <v>0</v>
      </c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5">
      <c r="A562" s="33" t="s">
        <v>145</v>
      </c>
      <c r="B562" s="33" t="s">
        <v>146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>
        <v>0</v>
      </c>
      <c r="J562" s="199">
        <v>0</v>
      </c>
      <c r="K562" s="199">
        <v>0</v>
      </c>
      <c r="L562" s="199">
        <v>0</v>
      </c>
      <c r="M562" s="199">
        <v>0</v>
      </c>
      <c r="N562" s="199">
        <v>0</v>
      </c>
      <c r="O562" s="199">
        <v>0</v>
      </c>
      <c r="P562" s="199">
        <v>0</v>
      </c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5">
      <c r="A563" s="33" t="s">
        <v>145</v>
      </c>
      <c r="B563" s="33" t="s">
        <v>146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>
        <v>0</v>
      </c>
      <c r="J563" s="199">
        <v>0</v>
      </c>
      <c r="K563" s="199">
        <v>0</v>
      </c>
      <c r="L563" s="199">
        <v>0</v>
      </c>
      <c r="M563" s="199">
        <v>0</v>
      </c>
      <c r="N563" s="199">
        <v>0</v>
      </c>
      <c r="O563" s="199">
        <v>0</v>
      </c>
      <c r="P563" s="199">
        <v>0</v>
      </c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5">
      <c r="A564" s="33" t="s">
        <v>147</v>
      </c>
      <c r="B564" s="33" t="s">
        <v>148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>
        <v>0</v>
      </c>
      <c r="J564" s="199">
        <v>0</v>
      </c>
      <c r="K564" s="199">
        <v>0</v>
      </c>
      <c r="L564" s="199">
        <v>0</v>
      </c>
      <c r="M564" s="199">
        <v>0</v>
      </c>
      <c r="N564" s="199">
        <v>0</v>
      </c>
      <c r="O564" s="199">
        <v>0</v>
      </c>
      <c r="P564" s="199">
        <v>0</v>
      </c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5">
      <c r="A565" s="33" t="s">
        <v>147</v>
      </c>
      <c r="B565" s="33" t="s">
        <v>148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>
        <v>0</v>
      </c>
      <c r="J565" s="199">
        <v>0</v>
      </c>
      <c r="K565" s="199">
        <v>0</v>
      </c>
      <c r="L565" s="199">
        <v>0</v>
      </c>
      <c r="M565" s="199">
        <v>0</v>
      </c>
      <c r="N565" s="199">
        <v>0</v>
      </c>
      <c r="O565" s="199">
        <v>0</v>
      </c>
      <c r="P565" s="199">
        <v>0</v>
      </c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5">
      <c r="A566" s="33" t="s">
        <v>147</v>
      </c>
      <c r="B566" s="33" t="s">
        <v>148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>
        <v>0</v>
      </c>
      <c r="J566" s="199">
        <v>0</v>
      </c>
      <c r="K566" s="199">
        <v>0</v>
      </c>
      <c r="L566" s="199">
        <v>0</v>
      </c>
      <c r="M566" s="199">
        <v>0</v>
      </c>
      <c r="N566" s="199">
        <v>0</v>
      </c>
      <c r="O566" s="199">
        <v>0</v>
      </c>
      <c r="P566" s="199">
        <v>0</v>
      </c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5">
      <c r="A567" s="33" t="s">
        <v>147</v>
      </c>
      <c r="B567" s="33" t="s">
        <v>148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>
        <v>0</v>
      </c>
      <c r="J567" s="199">
        <v>0</v>
      </c>
      <c r="K567" s="199">
        <v>0</v>
      </c>
      <c r="L567" s="199">
        <v>0</v>
      </c>
      <c r="M567" s="199">
        <v>0</v>
      </c>
      <c r="N567" s="199">
        <v>0</v>
      </c>
      <c r="O567" s="199">
        <v>0</v>
      </c>
      <c r="P567" s="199">
        <v>0</v>
      </c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5">
      <c r="A568" s="33" t="s">
        <v>147</v>
      </c>
      <c r="B568" s="33" t="s">
        <v>148</v>
      </c>
      <c r="C568" s="33">
        <v>5</v>
      </c>
      <c r="D568" s="33" t="s">
        <v>125</v>
      </c>
      <c r="E568" s="200">
        <v>0</v>
      </c>
      <c r="F568" s="199">
        <v>0</v>
      </c>
      <c r="G568" s="200">
        <v>0</v>
      </c>
      <c r="H568" s="199">
        <v>0</v>
      </c>
      <c r="I568" s="200">
        <v>0</v>
      </c>
      <c r="J568" s="199">
        <v>0</v>
      </c>
      <c r="K568" s="199">
        <v>0</v>
      </c>
      <c r="L568" s="199">
        <v>0</v>
      </c>
      <c r="M568" s="199">
        <v>0</v>
      </c>
      <c r="N568" s="199">
        <v>0</v>
      </c>
      <c r="O568" s="199">
        <v>0</v>
      </c>
      <c r="P568" s="199">
        <v>0</v>
      </c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5">
      <c r="A569" s="33" t="s">
        <v>147</v>
      </c>
      <c r="B569" s="33" t="s">
        <v>148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>
        <v>0</v>
      </c>
      <c r="J569" s="199">
        <v>0</v>
      </c>
      <c r="K569" s="199">
        <v>0</v>
      </c>
      <c r="L569" s="199">
        <v>0</v>
      </c>
      <c r="M569" s="199">
        <v>0</v>
      </c>
      <c r="N569" s="199">
        <v>0</v>
      </c>
      <c r="O569" s="199">
        <v>0</v>
      </c>
      <c r="P569" s="199">
        <v>0</v>
      </c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5">
      <c r="A570" s="33" t="s">
        <v>147</v>
      </c>
      <c r="B570" s="33" t="s">
        <v>148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  <c r="I570" s="201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</row>
    <row r="571" spans="1:118" x14ac:dyDescent="0.25">
      <c r="A571" s="33" t="s">
        <v>147</v>
      </c>
      <c r="B571" s="33" t="s">
        <v>148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  <c r="I571" s="201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  <c r="O571" s="33">
        <v>0</v>
      </c>
      <c r="P571" s="33">
        <v>0</v>
      </c>
    </row>
    <row r="572" spans="1:118" x14ac:dyDescent="0.25">
      <c r="A572" s="33" t="s">
        <v>147</v>
      </c>
      <c r="B572" s="33" t="s">
        <v>148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  <c r="I572" s="201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  <c r="O572" s="33">
        <v>0</v>
      </c>
      <c r="P572" s="33">
        <v>0</v>
      </c>
    </row>
    <row r="573" spans="1:118" x14ac:dyDescent="0.25">
      <c r="A573" s="33" t="s">
        <v>147</v>
      </c>
      <c r="B573" s="33" t="s">
        <v>148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  <c r="I573" s="201">
        <v>0</v>
      </c>
      <c r="J573" s="33">
        <v>0</v>
      </c>
      <c r="K573" s="33">
        <v>0</v>
      </c>
      <c r="L573" s="33">
        <v>0</v>
      </c>
      <c r="M573" s="33">
        <v>0</v>
      </c>
      <c r="N573" s="33">
        <v>0</v>
      </c>
      <c r="O573" s="33">
        <v>0</v>
      </c>
      <c r="P573" s="33">
        <v>0</v>
      </c>
    </row>
    <row r="574" spans="1:118" x14ac:dyDescent="0.25">
      <c r="A574" s="33" t="s">
        <v>147</v>
      </c>
      <c r="B574" s="33" t="s">
        <v>148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  <c r="I574" s="201">
        <v>0</v>
      </c>
      <c r="J574" s="33">
        <v>0</v>
      </c>
      <c r="K574" s="33">
        <v>0</v>
      </c>
      <c r="L574" s="33">
        <v>0</v>
      </c>
      <c r="M574" s="33">
        <v>0</v>
      </c>
      <c r="N574" s="33">
        <v>0</v>
      </c>
      <c r="O574" s="33">
        <v>0</v>
      </c>
      <c r="P574" s="33">
        <v>0</v>
      </c>
    </row>
    <row r="575" spans="1:118" x14ac:dyDescent="0.25">
      <c r="A575" s="33" t="s">
        <v>147</v>
      </c>
      <c r="B575" s="33" t="s">
        <v>148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  <c r="I575" s="201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</row>
    <row r="576" spans="1:118" x14ac:dyDescent="0.25">
      <c r="A576" s="33" t="s">
        <v>147</v>
      </c>
      <c r="B576" s="33" t="s">
        <v>148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  <c r="I576" s="201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  <c r="O576" s="33">
        <v>0</v>
      </c>
      <c r="P576" s="33">
        <v>0</v>
      </c>
    </row>
    <row r="577" spans="1:16" x14ac:dyDescent="0.25">
      <c r="A577" s="33" t="s">
        <v>147</v>
      </c>
      <c r="B577" s="33" t="s">
        <v>148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  <c r="I577" s="201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  <c r="O577" s="33">
        <v>0</v>
      </c>
      <c r="P577" s="33">
        <v>0</v>
      </c>
    </row>
    <row r="578" spans="1:16" x14ac:dyDescent="0.25">
      <c r="A578" s="33" t="s">
        <v>147</v>
      </c>
      <c r="B578" s="33" t="s">
        <v>148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  <c r="I578" s="201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  <c r="O578" s="33">
        <v>0</v>
      </c>
      <c r="P578" s="33">
        <v>0</v>
      </c>
    </row>
    <row r="579" spans="1:16" x14ac:dyDescent="0.25">
      <c r="A579" s="33" t="s">
        <v>147</v>
      </c>
      <c r="B579" s="33" t="s">
        <v>148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  <c r="I579" s="201">
        <v>0</v>
      </c>
      <c r="J579" s="33">
        <v>0</v>
      </c>
      <c r="K579" s="33">
        <v>0</v>
      </c>
      <c r="L579" s="33">
        <v>0</v>
      </c>
      <c r="M579" s="33">
        <v>0</v>
      </c>
      <c r="N579" s="33">
        <v>0</v>
      </c>
      <c r="O579" s="33">
        <v>0</v>
      </c>
      <c r="P579" s="33">
        <v>0</v>
      </c>
    </row>
    <row r="580" spans="1:16" x14ac:dyDescent="0.25">
      <c r="A580" s="33" t="s">
        <v>147</v>
      </c>
      <c r="B580" s="33" t="s">
        <v>148</v>
      </c>
      <c r="C580" s="33">
        <v>17</v>
      </c>
      <c r="D580" s="33" t="s">
        <v>126</v>
      </c>
      <c r="E580" s="201">
        <v>0</v>
      </c>
      <c r="F580" s="33">
        <v>0</v>
      </c>
      <c r="G580" s="201">
        <v>0</v>
      </c>
      <c r="H580" s="33">
        <v>0</v>
      </c>
      <c r="I580" s="201">
        <v>0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</row>
    <row r="581" spans="1:16" x14ac:dyDescent="0.25">
      <c r="A581" s="33" t="s">
        <v>147</v>
      </c>
      <c r="B581" s="33" t="s">
        <v>148</v>
      </c>
      <c r="C581" s="33">
        <v>18</v>
      </c>
      <c r="D581" s="33" t="s">
        <v>127</v>
      </c>
      <c r="E581" s="201">
        <v>0</v>
      </c>
      <c r="F581" s="33">
        <v>0</v>
      </c>
      <c r="G581" s="201">
        <v>0</v>
      </c>
      <c r="H581" s="33">
        <v>0</v>
      </c>
      <c r="I581" s="201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  <c r="O581" s="33">
        <v>0</v>
      </c>
      <c r="P581" s="33">
        <v>0</v>
      </c>
    </row>
    <row r="582" spans="1:16" x14ac:dyDescent="0.25">
      <c r="A582" s="33" t="s">
        <v>147</v>
      </c>
      <c r="B582" s="33" t="s">
        <v>148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  <c r="I582" s="201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  <c r="O582" s="33">
        <v>0</v>
      </c>
      <c r="P582" s="33">
        <v>0</v>
      </c>
    </row>
    <row r="583" spans="1:16" x14ac:dyDescent="0.25">
      <c r="A583" s="33" t="s">
        <v>147</v>
      </c>
      <c r="B583" s="33" t="s">
        <v>148</v>
      </c>
      <c r="C583" s="33">
        <v>20</v>
      </c>
      <c r="D583" s="33" t="s">
        <v>128</v>
      </c>
      <c r="E583" s="201">
        <v>0</v>
      </c>
      <c r="F583" s="33">
        <v>0</v>
      </c>
      <c r="G583" s="201">
        <v>0</v>
      </c>
      <c r="H583" s="33">
        <v>0</v>
      </c>
      <c r="I583" s="201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  <c r="O583" s="33">
        <v>0</v>
      </c>
      <c r="P583" s="33">
        <v>0</v>
      </c>
    </row>
    <row r="584" spans="1:16" x14ac:dyDescent="0.25">
      <c r="A584" s="33" t="s">
        <v>147</v>
      </c>
      <c r="B584" s="33" t="s">
        <v>148</v>
      </c>
      <c r="C584" s="33">
        <v>21</v>
      </c>
      <c r="D584" s="33" t="s">
        <v>129</v>
      </c>
      <c r="E584" s="201">
        <v>0</v>
      </c>
      <c r="F584" s="33">
        <v>0</v>
      </c>
      <c r="G584" s="201">
        <v>0</v>
      </c>
      <c r="H584" s="33">
        <v>0</v>
      </c>
      <c r="I584" s="201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  <c r="O584" s="33">
        <v>0</v>
      </c>
      <c r="P584" s="33">
        <v>0</v>
      </c>
    </row>
    <row r="585" spans="1:16" x14ac:dyDescent="0.25">
      <c r="A585" s="33" t="s">
        <v>147</v>
      </c>
      <c r="B585" s="33" t="s">
        <v>148</v>
      </c>
      <c r="C585" s="33">
        <v>22</v>
      </c>
      <c r="D585" s="33" t="s">
        <v>130</v>
      </c>
      <c r="E585" s="201">
        <v>0</v>
      </c>
      <c r="F585" s="33">
        <v>0</v>
      </c>
      <c r="G585" s="201">
        <v>0</v>
      </c>
      <c r="H585" s="33">
        <v>0</v>
      </c>
      <c r="I585" s="201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</row>
    <row r="586" spans="1:16" x14ac:dyDescent="0.25">
      <c r="A586" s="33" t="s">
        <v>147</v>
      </c>
      <c r="B586" s="33" t="s">
        <v>148</v>
      </c>
      <c r="C586" s="33">
        <v>23</v>
      </c>
      <c r="D586" s="33" t="s">
        <v>131</v>
      </c>
      <c r="E586" s="201">
        <v>0</v>
      </c>
      <c r="F586" s="33">
        <v>0</v>
      </c>
      <c r="G586" s="201">
        <v>0</v>
      </c>
      <c r="H586" s="33">
        <v>0</v>
      </c>
      <c r="I586" s="201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33">
        <v>0</v>
      </c>
      <c r="P586" s="33">
        <v>0</v>
      </c>
    </row>
    <row r="587" spans="1:16" x14ac:dyDescent="0.25">
      <c r="A587" s="33" t="s">
        <v>147</v>
      </c>
      <c r="B587" s="33" t="s">
        <v>148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  <c r="I587" s="201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</row>
    <row r="588" spans="1:16" x14ac:dyDescent="0.25">
      <c r="A588" s="33" t="s">
        <v>147</v>
      </c>
      <c r="B588" s="33" t="s">
        <v>148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  <c r="I588" s="201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  <c r="O588" s="33">
        <v>0</v>
      </c>
      <c r="P588" s="33">
        <v>0</v>
      </c>
    </row>
    <row r="589" spans="1:16" x14ac:dyDescent="0.25">
      <c r="A589" s="33" t="s">
        <v>147</v>
      </c>
      <c r="B589" s="33" t="s">
        <v>148</v>
      </c>
      <c r="C589" s="33">
        <v>26</v>
      </c>
      <c r="D589" s="33" t="s">
        <v>132</v>
      </c>
      <c r="E589" s="201">
        <v>0</v>
      </c>
      <c r="F589" s="33">
        <v>0</v>
      </c>
      <c r="G589" s="201">
        <v>0</v>
      </c>
      <c r="H589" s="33">
        <v>0</v>
      </c>
      <c r="I589" s="201">
        <v>0</v>
      </c>
      <c r="J589" s="33">
        <v>0</v>
      </c>
      <c r="K589" s="33">
        <v>0</v>
      </c>
      <c r="L589" s="33">
        <v>0</v>
      </c>
      <c r="M589" s="33">
        <v>0</v>
      </c>
      <c r="N589" s="33">
        <v>0</v>
      </c>
      <c r="O589" s="33">
        <v>0</v>
      </c>
      <c r="P589" s="33">
        <v>0</v>
      </c>
    </row>
    <row r="590" spans="1:16" x14ac:dyDescent="0.25">
      <c r="A590" s="33" t="s">
        <v>147</v>
      </c>
      <c r="B590" s="33" t="s">
        <v>148</v>
      </c>
      <c r="C590" s="33">
        <v>27</v>
      </c>
      <c r="D590" s="33" t="s">
        <v>133</v>
      </c>
      <c r="E590" s="201">
        <v>0</v>
      </c>
      <c r="F590" s="33">
        <v>0</v>
      </c>
      <c r="G590" s="201">
        <v>0</v>
      </c>
      <c r="H590" s="33">
        <v>0</v>
      </c>
      <c r="I590" s="201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</row>
    <row r="591" spans="1:16" x14ac:dyDescent="0.25">
      <c r="A591" s="33" t="s">
        <v>147</v>
      </c>
      <c r="B591" s="33" t="s">
        <v>148</v>
      </c>
      <c r="C591" s="33">
        <v>28</v>
      </c>
      <c r="D591" s="33" t="s">
        <v>134</v>
      </c>
      <c r="E591" s="201">
        <v>0</v>
      </c>
      <c r="F591" s="33">
        <v>0</v>
      </c>
      <c r="G591" s="201">
        <v>0</v>
      </c>
      <c r="H591" s="33">
        <v>0</v>
      </c>
      <c r="I591" s="201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  <c r="O591" s="33">
        <v>0</v>
      </c>
      <c r="P591" s="33">
        <v>0</v>
      </c>
    </row>
    <row r="592" spans="1:16" x14ac:dyDescent="0.25">
      <c r="A592" s="33" t="s">
        <v>147</v>
      </c>
      <c r="B592" s="33" t="s">
        <v>148</v>
      </c>
      <c r="C592" s="33">
        <v>29</v>
      </c>
      <c r="D592" s="33" t="s">
        <v>135</v>
      </c>
      <c r="E592" s="201">
        <v>0</v>
      </c>
      <c r="F592" s="33">
        <v>0</v>
      </c>
      <c r="G592" s="201">
        <v>0</v>
      </c>
      <c r="H592" s="33">
        <v>0</v>
      </c>
      <c r="I592" s="201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  <c r="O592" s="33">
        <v>0</v>
      </c>
      <c r="P592" s="33">
        <v>0</v>
      </c>
    </row>
    <row r="593" spans="1:16" x14ac:dyDescent="0.25">
      <c r="A593" s="33" t="s">
        <v>147</v>
      </c>
      <c r="B593" s="33" t="s">
        <v>148</v>
      </c>
      <c r="C593" s="33">
        <v>30</v>
      </c>
      <c r="D593" s="33" t="s">
        <v>136</v>
      </c>
      <c r="E593" s="201">
        <v>0</v>
      </c>
      <c r="F593" s="33">
        <v>0</v>
      </c>
      <c r="G593" s="201">
        <v>0</v>
      </c>
      <c r="H593" s="33">
        <v>0</v>
      </c>
      <c r="I593" s="201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  <c r="O593" s="33">
        <v>0</v>
      </c>
      <c r="P593" s="33">
        <v>0</v>
      </c>
    </row>
    <row r="594" spans="1:16" x14ac:dyDescent="0.25">
      <c r="A594" s="33" t="s">
        <v>147</v>
      </c>
      <c r="B594" s="33" t="s">
        <v>148</v>
      </c>
      <c r="C594" s="33">
        <v>31</v>
      </c>
      <c r="D594" s="33" t="s">
        <v>137</v>
      </c>
      <c r="E594" s="201">
        <v>0</v>
      </c>
      <c r="F594" s="33">
        <v>0</v>
      </c>
      <c r="G594" s="201">
        <v>0</v>
      </c>
      <c r="H594" s="33">
        <v>0</v>
      </c>
      <c r="I594" s="201">
        <v>0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  <c r="O594" s="33">
        <v>0</v>
      </c>
      <c r="P594" s="33">
        <v>0</v>
      </c>
    </row>
    <row r="595" spans="1:16" x14ac:dyDescent="0.25">
      <c r="A595" s="33" t="s">
        <v>147</v>
      </c>
      <c r="B595" s="33" t="s">
        <v>148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  <c r="I595" s="201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</row>
    <row r="596" spans="1:16" x14ac:dyDescent="0.25">
      <c r="A596" s="33" t="s">
        <v>147</v>
      </c>
      <c r="B596" s="33" t="s">
        <v>148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  <c r="I596" s="201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  <c r="O596" s="33">
        <v>0</v>
      </c>
      <c r="P596" s="33">
        <v>0</v>
      </c>
    </row>
    <row r="597" spans="1:16" x14ac:dyDescent="0.25">
      <c r="A597" s="33" t="s">
        <v>147</v>
      </c>
      <c r="B597" s="33" t="s">
        <v>148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  <c r="I597" s="201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  <c r="O597" s="33">
        <v>0</v>
      </c>
      <c r="P597" s="33">
        <v>0</v>
      </c>
    </row>
    <row r="598" spans="1:16" x14ac:dyDescent="0.25">
      <c r="A598" s="33" t="s">
        <v>147</v>
      </c>
      <c r="B598" s="33" t="s">
        <v>148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  <c r="I598" s="201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  <c r="O598" s="33">
        <v>0</v>
      </c>
      <c r="P598" s="33">
        <v>0</v>
      </c>
    </row>
    <row r="599" spans="1:16" x14ac:dyDescent="0.25">
      <c r="A599" s="33" t="s">
        <v>147</v>
      </c>
      <c r="B599" s="33" t="s">
        <v>148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  <c r="I599" s="201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  <c r="O599" s="33">
        <v>0</v>
      </c>
      <c r="P599" s="33">
        <v>0</v>
      </c>
    </row>
    <row r="600" spans="1:16" x14ac:dyDescent="0.25">
      <c r="A600" s="33" t="s">
        <v>147</v>
      </c>
      <c r="B600" s="33" t="s">
        <v>148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  <c r="I600" s="201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</row>
    <row r="601" spans="1:16" x14ac:dyDescent="0.25">
      <c r="A601" s="33" t="s">
        <v>147</v>
      </c>
      <c r="B601" s="33" t="s">
        <v>148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  <c r="I601" s="201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  <c r="O601" s="33">
        <v>0</v>
      </c>
      <c r="P601" s="33">
        <v>0</v>
      </c>
    </row>
    <row r="602" spans="1:16" x14ac:dyDescent="0.25">
      <c r="A602" s="33" t="s">
        <v>147</v>
      </c>
      <c r="B602" s="33" t="s">
        <v>148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  <c r="I602" s="201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  <c r="O602" s="33">
        <v>0</v>
      </c>
      <c r="P602" s="33">
        <v>0</v>
      </c>
    </row>
    <row r="603" spans="1:16" x14ac:dyDescent="0.25">
      <c r="A603" s="33" t="s">
        <v>147</v>
      </c>
      <c r="B603" s="33" t="s">
        <v>148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  <c r="I603" s="201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  <c r="O603" s="33">
        <v>0</v>
      </c>
      <c r="P603" s="33">
        <v>0</v>
      </c>
    </row>
    <row r="633" spans="4:31" x14ac:dyDescent="0.25">
      <c r="I633" s="207"/>
    </row>
    <row r="636" spans="4:31" x14ac:dyDescent="0.25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5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201" customFormat="1" x14ac:dyDescent="0.25">
      <c r="D638" s="208" t="s">
        <v>113</v>
      </c>
      <c r="E638" s="209"/>
      <c r="F638" s="210">
        <f>BUG_GL!H82</f>
        <v>0</v>
      </c>
      <c r="G638" s="211">
        <f>BUG_GL!I82</f>
        <v>10983302.846000003</v>
      </c>
      <c r="H638" s="210">
        <f>BUG_GL!J82</f>
        <v>0</v>
      </c>
      <c r="I638" s="211">
        <f>BUG_GL!K82</f>
        <v>-10566036.280000003</v>
      </c>
      <c r="J638" s="210">
        <f>BUG_GL!L82</f>
        <v>0</v>
      </c>
      <c r="K638" s="211">
        <f>BUG_GL!M82</f>
        <v>-62093.420000000006</v>
      </c>
      <c r="L638" s="210">
        <f>BUG_GL!N82</f>
        <v>0</v>
      </c>
      <c r="M638" s="211">
        <f>BUG_GL!O82</f>
        <v>1820570.2180000001</v>
      </c>
      <c r="N638" s="210">
        <f>BUG_GL!P82</f>
        <v>0</v>
      </c>
      <c r="O638" s="211">
        <f>BUG_GL!Q82</f>
        <v>-563722.26400000032</v>
      </c>
      <c r="P638" s="210">
        <f>BUG_GL!R82</f>
        <v>0</v>
      </c>
      <c r="Q638" s="210">
        <f>BUG_GL!S82</f>
        <v>-441742.34799998929</v>
      </c>
      <c r="R638" s="210">
        <f>BUG_GL!T82</f>
        <v>0</v>
      </c>
      <c r="S638" s="210">
        <f>BUG_GL!U82</f>
        <v>-269784.0500000001</v>
      </c>
      <c r="T638" s="210">
        <f>BUG_GL!V82</f>
        <v>0</v>
      </c>
      <c r="U638" s="210">
        <f>BUG_GL!W82</f>
        <v>-0.01</v>
      </c>
      <c r="V638" s="210">
        <f>BUG_GL!X82</f>
        <v>0</v>
      </c>
      <c r="W638" s="210">
        <f>BUG_GL!Y82</f>
        <v>23.25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5">
      <c r="D639" s="208" t="s">
        <v>141</v>
      </c>
      <c r="E639" s="209"/>
      <c r="F639" s="210">
        <f>CE_GL!H82</f>
        <v>0</v>
      </c>
      <c r="G639" s="212">
        <f>CE_GL!I82</f>
        <v>-3629573.1239999733</v>
      </c>
      <c r="H639" s="210">
        <f>CE_GL!J82</f>
        <v>0</v>
      </c>
      <c r="I639" s="211">
        <f>CE_GL!K82</f>
        <v>-1609351.6479999989</v>
      </c>
      <c r="J639" s="210">
        <f>CE_GL!L82</f>
        <v>0</v>
      </c>
      <c r="K639" s="211">
        <f>CE_GL!M82</f>
        <v>1697517.3279999944</v>
      </c>
      <c r="L639" s="210">
        <f>CE_GL!N82</f>
        <v>0</v>
      </c>
      <c r="M639" s="211">
        <f>CE_GL!O82</f>
        <v>2007157.8120000002</v>
      </c>
      <c r="N639" s="210">
        <f>CE_GL!P82</f>
        <v>0</v>
      </c>
      <c r="O639" s="211">
        <f>CE_GL!Q82</f>
        <v>770947.56799999997</v>
      </c>
      <c r="P639" s="210">
        <f>CE_GL!R82</f>
        <v>0</v>
      </c>
      <c r="Q639" s="210">
        <f>CE_GL!S82</f>
        <v>-646300.84400000016</v>
      </c>
      <c r="R639" s="210">
        <f>CE_GL!T82</f>
        <v>0</v>
      </c>
      <c r="S639" s="210">
        <f>CE_GL!U82</f>
        <v>263436.56000000006</v>
      </c>
      <c r="T639" s="210">
        <f>CE_GL!V82</f>
        <v>0</v>
      </c>
      <c r="U639" s="210">
        <f>CE_GL!W82</f>
        <v>-9231.1700000000092</v>
      </c>
      <c r="V639" s="210">
        <f>CE_GL!X82</f>
        <v>0</v>
      </c>
      <c r="W639" s="210">
        <f>CE_GL!Y82</f>
        <v>55087.59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5">
      <c r="D640" s="208" t="s">
        <v>142</v>
      </c>
      <c r="E640" s="209"/>
      <c r="F640" s="210">
        <f>+'EAST-EGM-GL'!H82</f>
        <v>0</v>
      </c>
      <c r="G640" s="211">
        <f>+'EAST-EGM-GL'!I82</f>
        <v>10691469.334999859</v>
      </c>
      <c r="H640" s="210">
        <f>+'EAST-EGM-GL'!J82</f>
        <v>0</v>
      </c>
      <c r="I640" s="211">
        <f>+'EAST-EGM-GL'!K82</f>
        <v>4309407.8249999871</v>
      </c>
      <c r="J640" s="210">
        <f>+'EAST-EGM-GL'!L82</f>
        <v>0</v>
      </c>
      <c r="K640" s="210">
        <f>+'EAST-EGM-GL'!M82</f>
        <v>19905590.467999998</v>
      </c>
      <c r="L640" s="210">
        <f>+'EAST-EGM-GL'!N82</f>
        <v>0</v>
      </c>
      <c r="M640" s="210">
        <f>+'EAST-EGM-GL'!O82</f>
        <v>5756406.4639999988</v>
      </c>
      <c r="N640" s="210">
        <f>+'EAST-EGM-GL'!P82</f>
        <v>0</v>
      </c>
      <c r="O640" s="211">
        <f>+'EAST-EGM-GL'!Q82</f>
        <v>2126010.8979999991</v>
      </c>
      <c r="P640" s="210">
        <f>+'EAST-EGM-GL'!R82</f>
        <v>0</v>
      </c>
      <c r="Q640" s="210">
        <f>+'EAST-EGM-GL'!S82</f>
        <v>3324865.4789999998</v>
      </c>
      <c r="R640" s="210">
        <f>+'EAST-EGM-GL'!T82</f>
        <v>0</v>
      </c>
      <c r="S640" s="210">
        <f>+'EAST-EGM-GL'!U82</f>
        <v>-887562.12000000034</v>
      </c>
      <c r="T640" s="210">
        <f>+'EAST-EGM-GL'!V82</f>
        <v>0</v>
      </c>
      <c r="U640" s="210">
        <f>+'EAST-EGM-GL'!W82</f>
        <v>-525773.87</v>
      </c>
      <c r="V640" s="210">
        <f>+'EAST-EGM-GL'!X82</f>
        <v>0</v>
      </c>
      <c r="W640" s="210">
        <f>+'EAST-EGM-GL'!Y82</f>
        <v>1528772.09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5">
      <c r="D641" s="208" t="s">
        <v>150</v>
      </c>
      <c r="E641" s="209"/>
      <c r="F641" s="210">
        <f>+'EAST-LRC-GL'!H82</f>
        <v>0</v>
      </c>
      <c r="G641" s="211">
        <f>+'EAST-LRC-GL'!I82</f>
        <v>740264.45999999973</v>
      </c>
      <c r="H641" s="210">
        <f>+'EAST-LRC-GL'!J82</f>
        <v>0</v>
      </c>
      <c r="I641" s="211">
        <f>+'EAST-LRC-GL'!K82</f>
        <v>716650.94199999922</v>
      </c>
      <c r="J641" s="210">
        <f>+'EAST-LRC-GL'!L82</f>
        <v>0</v>
      </c>
      <c r="K641" s="210">
        <f>+'EAST-LRC-GL'!M82</f>
        <v>-132761.49100000013</v>
      </c>
      <c r="L641" s="210">
        <f>+'EAST-LRC-GL'!N82</f>
        <v>0</v>
      </c>
      <c r="M641" s="210">
        <f>+'EAST-LRC-GL'!O82</f>
        <v>122666.66500000001</v>
      </c>
      <c r="N641" s="210">
        <f>+'EAST-LRC-GL'!P82</f>
        <v>0</v>
      </c>
      <c r="O641" s="211">
        <f>+'EAST-LRC-GL'!Q82</f>
        <v>-13003.084000000013</v>
      </c>
      <c r="P641" s="210">
        <f>+'EAST-LRC-GL'!R82</f>
        <v>0</v>
      </c>
      <c r="Q641" s="210">
        <f>+'EAST-LRC-GL'!S82</f>
        <v>231.68800000000033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131.47000000000116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5">
      <c r="D642" s="208" t="s">
        <v>151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5">
      <c r="D643" s="208" t="s">
        <v>152</v>
      </c>
      <c r="E643" s="209"/>
      <c r="F643" s="210">
        <f>+'EAST-CON-GL '!H82</f>
        <v>0</v>
      </c>
      <c r="G643" s="210">
        <f>+'EAST-CON-GL '!I82</f>
        <v>11431733.79499981</v>
      </c>
      <c r="H643" s="210">
        <f>+'EAST-CON-GL '!J82</f>
        <v>0</v>
      </c>
      <c r="I643" s="210">
        <f>+'EAST-CON-GL '!K82</f>
        <v>5026058.7669999916</v>
      </c>
      <c r="J643" s="210">
        <f>+'EAST-CON-GL '!L82</f>
        <v>0</v>
      </c>
      <c r="K643" s="210">
        <f>+'EAST-CON-GL '!M82</f>
        <v>19772828.977000002</v>
      </c>
      <c r="L643" s="210">
        <f>+'EAST-CON-GL '!N82</f>
        <v>0</v>
      </c>
      <c r="M643" s="210">
        <f>+'EAST-CON-GL '!O82</f>
        <v>5943282.2889999999</v>
      </c>
      <c r="N643" s="210">
        <f>+'EAST-CON-GL '!P82</f>
        <v>0</v>
      </c>
      <c r="O643" s="210">
        <f>+'EAST-CON-GL '!Q82</f>
        <v>2113007.8139999984</v>
      </c>
      <c r="P643" s="210">
        <f>+'EAST-CON-GL '!R82</f>
        <v>0</v>
      </c>
      <c r="Q643" s="210">
        <f>+'EAST-CON-GL '!S82</f>
        <v>3325097.1669999999</v>
      </c>
      <c r="R643" s="210">
        <f>+'EAST-CON-GL '!T82</f>
        <v>0</v>
      </c>
      <c r="S643" s="210">
        <f>+'EAST-CON-GL '!U82</f>
        <v>-887562.12000000034</v>
      </c>
      <c r="T643" s="210">
        <f>+'EAST-CON-GL '!V82</f>
        <v>0</v>
      </c>
      <c r="U643" s="210">
        <f>+'EAST-CON-GL '!W82</f>
        <v>-525773.87</v>
      </c>
      <c r="V643" s="210">
        <f>+'EAST-CON-GL '!X82</f>
        <v>0</v>
      </c>
      <c r="W643" s="210">
        <f>+'EAST-CON-GL '!Y82</f>
        <v>1528903.5600000008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5">
      <c r="D644" s="208" t="s">
        <v>153</v>
      </c>
      <c r="E644" s="209"/>
      <c r="F644" s="210">
        <f>+'TX-EGM-GL'!H82</f>
        <v>0</v>
      </c>
      <c r="G644" s="211">
        <f>+'TX-EGM-GL'!I82</f>
        <v>10404897.875999998</v>
      </c>
      <c r="H644" s="210">
        <f>+'TX-EGM-GL'!J82</f>
        <v>0</v>
      </c>
      <c r="I644" s="211">
        <f>+'TX-EGM-GL'!K91</f>
        <v>-4237058.7469999976</v>
      </c>
      <c r="J644" s="210">
        <f>+'TX-EGM-GL'!L82</f>
        <v>0</v>
      </c>
      <c r="K644" s="211">
        <f>+'TX-EGM-GL'!M82</f>
        <v>1100818.3690000004</v>
      </c>
      <c r="L644" s="210">
        <f>+'TX-EGM-GL'!N82</f>
        <v>0</v>
      </c>
      <c r="M644" s="211">
        <f>+'TX-EGM-GL'!O82</f>
        <v>-248.23500000000331</v>
      </c>
      <c r="N644" s="210">
        <f>+'TX-EGM-GL'!P82</f>
        <v>0</v>
      </c>
      <c r="O644" s="211">
        <f>+'TX-EGM-GL'!Q82</f>
        <v>440858.60899999988</v>
      </c>
      <c r="P644" s="210">
        <f>+'TX-EGM-GL'!R82</f>
        <v>0</v>
      </c>
      <c r="Q644" s="210">
        <f>+'TX-EGM-GL'!S82</f>
        <v>-135100.5679999991</v>
      </c>
      <c r="R644" s="210">
        <f>+'TX-EGM-GL'!T82</f>
        <v>0</v>
      </c>
      <c r="S644" s="210">
        <f>+'TX-EGM-GL'!U82</f>
        <v>-10825.479999999998</v>
      </c>
      <c r="T644" s="210">
        <f>+'TX-EGM-GL'!V82</f>
        <v>0</v>
      </c>
      <c r="U644" s="210">
        <f>+'TX-EGM-GL'!W82</f>
        <v>-3518.13</v>
      </c>
      <c r="V644" s="210">
        <f>+'TX-EGM-GL'!X82</f>
        <v>0</v>
      </c>
      <c r="W644" s="210">
        <f>+'TX-EGM-GL'!Y82</f>
        <v>305.47000000000048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5">
      <c r="D645" s="208" t="s">
        <v>181</v>
      </c>
      <c r="E645" s="209"/>
      <c r="F645" s="210">
        <f>+'TX-HPLR-GL '!H82</f>
        <v>0</v>
      </c>
      <c r="G645" s="211">
        <f>+'TX-HPLR-GL '!I82</f>
        <v>254767.59999999998</v>
      </c>
      <c r="H645" s="210">
        <f>+'TX-HPLR-GL '!J82</f>
        <v>0</v>
      </c>
      <c r="I645" s="211">
        <f>+'TX-HPLR-GL '!K82</f>
        <v>-265884.48</v>
      </c>
      <c r="J645" s="210">
        <f>+'TX-HPLR-GL '!L82</f>
        <v>0</v>
      </c>
      <c r="K645" s="211">
        <f>+'TX-HPLR-GL '!M82</f>
        <v>113410.16</v>
      </c>
      <c r="L645" s="210">
        <f>+'TX-HPLR-GL '!N82</f>
        <v>0</v>
      </c>
      <c r="M645" s="211">
        <f>+'TX-HPLR-GL '!O82</f>
        <v>415.68000000000029</v>
      </c>
      <c r="N645" s="210">
        <f>+'TX-HPLR-GL '!P82</f>
        <v>0</v>
      </c>
      <c r="O645" s="211">
        <f>+'TX-HPLR-GL '!Q82</f>
        <v>-113198.00320000001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-5000.16</v>
      </c>
      <c r="T645" s="210">
        <f>+'TX-HPLR-GL '!V82</f>
        <v>0</v>
      </c>
      <c r="U645" s="210">
        <f>+'TX-HPLR-GL '!W82</f>
        <v>10000.32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5">
      <c r="D646" s="208" t="s">
        <v>180</v>
      </c>
      <c r="E646" s="209"/>
      <c r="F646" s="210">
        <f>+'TX-HPLC-GL'!H82</f>
        <v>0</v>
      </c>
      <c r="G646" s="210">
        <f>+'TX-HPLC-GL'!I82</f>
        <v>3136253</v>
      </c>
      <c r="H646" s="210">
        <f>+'TX-HPLC-GL'!J82</f>
        <v>0</v>
      </c>
      <c r="I646" s="210">
        <f>+'TX-HPLC-GL'!K82</f>
        <v>337966</v>
      </c>
      <c r="J646" s="210">
        <f>+'TX-HPLC-GL'!L82</f>
        <v>0</v>
      </c>
      <c r="K646" s="210">
        <f>+'TX-HPLC-GL'!M82</f>
        <v>-1688281</v>
      </c>
      <c r="L646" s="210">
        <f>+'TX-HPLC-GL'!N82</f>
        <v>0</v>
      </c>
      <c r="M646" s="210">
        <f>+'TX-HPLC-GL'!O82</f>
        <v>1920010</v>
      </c>
      <c r="N646" s="210">
        <f>+'TX-HPLC-GL'!P82</f>
        <v>0</v>
      </c>
      <c r="O646" s="211">
        <f>+'TX-HPLC-GL'!Q82</f>
        <v>95943</v>
      </c>
      <c r="P646" s="210">
        <f>+'TX-HPLC-GL'!R82</f>
        <v>0</v>
      </c>
      <c r="Q646" s="210">
        <f>+'TX-HPLC-GL'!S82</f>
        <v>101361</v>
      </c>
      <c r="R646" s="210">
        <f>+'TX-HPLC-GL'!T82</f>
        <v>0</v>
      </c>
      <c r="S646" s="210">
        <f>+'TX-HPLC-GL'!U82</f>
        <v>3890.8199999999915</v>
      </c>
      <c r="T646" s="210">
        <f>+'TX-HPLC-GL'!V82</f>
        <v>0</v>
      </c>
      <c r="U646" s="210">
        <f>+'TX-HPLC-GL'!W82</f>
        <v>51668.119999999981</v>
      </c>
      <c r="V646" s="210">
        <f>+'TX-HPLC-GL'!X82</f>
        <v>0</v>
      </c>
      <c r="W646" s="210">
        <f>+'TX-HPLC-GL'!Y82</f>
        <v>-19986.490000000005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5">
      <c r="D647" s="208" t="s">
        <v>154</v>
      </c>
      <c r="E647" s="209"/>
      <c r="F647" s="210">
        <f>+'TX-CON-GL '!H82</f>
        <v>0</v>
      </c>
      <c r="G647" s="210">
        <f>+'TX-CON-GL '!I82</f>
        <v>13795918.475999985</v>
      </c>
      <c r="H647" s="210">
        <f>+'TX-CON-GL '!J82</f>
        <v>0</v>
      </c>
      <c r="I647" s="210">
        <f>+'TX-CON-GL '!K82</f>
        <v>-4164977.2269999967</v>
      </c>
      <c r="J647" s="210">
        <f>+'TX-CON-GL '!L82</f>
        <v>0</v>
      </c>
      <c r="K647" s="210">
        <f>+'TX-CON-GL '!M82</f>
        <v>-474052.47100000019</v>
      </c>
      <c r="L647" s="210">
        <f>+'TX-CON-GL '!N82</f>
        <v>0</v>
      </c>
      <c r="M647" s="210">
        <f>+'TX-CON-GL '!O82</f>
        <v>1920177.4450000001</v>
      </c>
      <c r="N647" s="210">
        <f>+'TX-CON-GL '!P82</f>
        <v>0</v>
      </c>
      <c r="O647" s="210">
        <f>+'TX-CON-GL '!Q82</f>
        <v>423603.60579999996</v>
      </c>
      <c r="P647" s="210">
        <f>+'TX-CON-GL '!R82</f>
        <v>0</v>
      </c>
      <c r="Q647" s="210">
        <f>+'TX-CON-GL '!S82</f>
        <v>-33739.567999999112</v>
      </c>
      <c r="R647" s="210">
        <f>+'TX-CON-GL '!T82</f>
        <v>0</v>
      </c>
      <c r="S647" s="210">
        <f>+'TX-CON-GL '!U82</f>
        <v>-11934.820000000002</v>
      </c>
      <c r="T647" s="210">
        <f>+'TX-CON-GL '!V82</f>
        <v>0</v>
      </c>
      <c r="U647" s="210">
        <f>+'TX-CON-GL '!W82</f>
        <v>58150.309999999954</v>
      </c>
      <c r="V647" s="210">
        <f>+'TX-CON-GL '!X82</f>
        <v>0</v>
      </c>
      <c r="W647" s="210">
        <f>+'TX-CON-GL '!Y82</f>
        <v>-19681.020000000015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5">
      <c r="D648" s="208" t="s">
        <v>144</v>
      </c>
      <c r="E648" s="209"/>
      <c r="F648" s="210">
        <f>+'WE-GL '!H82</f>
        <v>0</v>
      </c>
      <c r="G648" s="211">
        <f>+'WE-GL '!I82</f>
        <v>-3394592.4910000106</v>
      </c>
      <c r="H648" s="210">
        <f>+'WE-GL '!J82</f>
        <v>0</v>
      </c>
      <c r="I648" s="210">
        <f>+'WE-GL '!K82</f>
        <v>-3142502.1720000049</v>
      </c>
      <c r="J648" s="210">
        <f>+'WE-GL '!L82</f>
        <v>0</v>
      </c>
      <c r="K648" s="211">
        <f>+'WE-GL '!M82</f>
        <v>21410.122999999894</v>
      </c>
      <c r="L648" s="210">
        <f>+'WE-GL '!N82</f>
        <v>0</v>
      </c>
      <c r="M648" s="211">
        <f>+'WE-GL '!O82</f>
        <v>2301.3120000000054</v>
      </c>
      <c r="N648" s="210">
        <f>+'WE-GL '!P82</f>
        <v>0</v>
      </c>
      <c r="O648" s="211">
        <f>+'WE-GL '!Q82</f>
        <v>646578.22899999993</v>
      </c>
      <c r="P648" s="210">
        <f>+'WE-GL '!R82</f>
        <v>0</v>
      </c>
      <c r="Q648" s="210">
        <f>+'WE-GL '!S82</f>
        <v>15659.850000003818</v>
      </c>
      <c r="R648" s="210">
        <f>+'WE-GL '!T82</f>
        <v>0</v>
      </c>
      <c r="S648" s="210">
        <f>+'WE-GL '!U82</f>
        <v>-484378.91000000003</v>
      </c>
      <c r="T648" s="210">
        <f>+'WE-GL '!V82</f>
        <v>0</v>
      </c>
      <c r="U648" s="210">
        <f>+'WE-GL '!W82</f>
        <v>142.90000000000006</v>
      </c>
      <c r="V648" s="210">
        <f>+'WE-GL '!X82</f>
        <v>0</v>
      </c>
      <c r="W648" s="210">
        <f>+'WE-GL '!Y82</f>
        <v>2035.9300000000003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5">
      <c r="D649" s="208" t="s">
        <v>202</v>
      </c>
      <c r="E649" s="209"/>
      <c r="F649" s="210">
        <f>+'DEN-GL'!H82</f>
        <v>0</v>
      </c>
      <c r="G649" s="211">
        <f>+'DEN-GL'!I82</f>
        <v>-559151.60799999756</v>
      </c>
      <c r="H649" s="210">
        <f>+'DEN-GL'!J82</f>
        <v>0</v>
      </c>
      <c r="I649" s="211">
        <f>+'DEN-GL'!K82</f>
        <v>190751.41999999931</v>
      </c>
      <c r="J649" s="210">
        <f>+'DEN-GL'!L82</f>
        <v>0</v>
      </c>
      <c r="K649" s="211">
        <f>+'DEN-GL'!M82</f>
        <v>-391223.32199999993</v>
      </c>
      <c r="L649" s="210">
        <f>+'DEN-GL'!N82</f>
        <v>0</v>
      </c>
      <c r="M649" s="211">
        <f>+'DEN-GL'!O82</f>
        <v>-243.72000000000116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-25237.207999999999</v>
      </c>
      <c r="R649" s="210">
        <f>+'DEN-GL'!T82</f>
        <v>0</v>
      </c>
      <c r="S649" s="210">
        <f>+'DEN-GL'!U82</f>
        <v>-416492.3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-148074.41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5">
      <c r="D650" s="208" t="s">
        <v>146</v>
      </c>
      <c r="E650" s="209"/>
      <c r="F650" s="210">
        <f>+STG_GL!H82</f>
        <v>0</v>
      </c>
      <c r="G650" s="210">
        <f>+STG_GL!I82</f>
        <v>0</v>
      </c>
      <c r="H650" s="210">
        <f>+STG_GL!J82</f>
        <v>0</v>
      </c>
      <c r="I650" s="210">
        <f>+STG_GL!K82</f>
        <v>-459457</v>
      </c>
      <c r="J650" s="210">
        <f>+STG_GL!L82</f>
        <v>0</v>
      </c>
      <c r="K650" s="210">
        <f>+STG_GL!M82</f>
        <v>2805302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-260</v>
      </c>
      <c r="P650" s="210">
        <f>+STG_GL!R82</f>
        <v>0</v>
      </c>
      <c r="Q650" s="210">
        <f>+STG_GL!S82</f>
        <v>246293</v>
      </c>
      <c r="R650" s="210">
        <f>+STG_GL!T82</f>
        <v>0</v>
      </c>
      <c r="S650" s="210">
        <f>+STG_GL!U82</f>
        <v>32787</v>
      </c>
      <c r="T650" s="210">
        <f>+STG_GL!V82</f>
        <v>0</v>
      </c>
      <c r="U650" s="210">
        <f>+STG_GL!W82</f>
        <v>-34336.910000000003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5">
      <c r="D651" s="208" t="s">
        <v>160</v>
      </c>
      <c r="E651" s="209"/>
      <c r="F651" s="210">
        <f>+'ONT_GL '!H82</f>
        <v>0</v>
      </c>
      <c r="G651" s="211">
        <f>+'ONT_GL '!I82</f>
        <v>-928353.79000002448</v>
      </c>
      <c r="H651" s="210">
        <f>+'ONT_GL '!J82</f>
        <v>0</v>
      </c>
      <c r="I651" s="210">
        <f>+'ONT_GL '!K82</f>
        <v>291598.38999999966</v>
      </c>
      <c r="J651" s="210">
        <f>+'ONT_GL '!L82</f>
        <v>0</v>
      </c>
      <c r="K651" s="211">
        <f>+'ONT_GL '!M82</f>
        <v>-219481.30000000005</v>
      </c>
      <c r="L651" s="210">
        <f>+'ONT_GL '!N82</f>
        <v>0</v>
      </c>
      <c r="M651" s="211">
        <f>+'ONT_GL '!O82</f>
        <v>221666.71000000005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-472696</v>
      </c>
      <c r="R651" s="210">
        <f>+'ONT_GL '!T82</f>
        <v>0</v>
      </c>
      <c r="S651" s="210">
        <f>+'ONT_GL '!U82</f>
        <v>327757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5">
      <c r="D652" s="208" t="s">
        <v>193</v>
      </c>
      <c r="E652" s="209"/>
      <c r="F652" s="210">
        <f>+ARUBA_GL!H82</f>
        <v>0</v>
      </c>
      <c r="G652" s="211">
        <f>+ARUBA_GL!I82</f>
        <v>3006648.0340000018</v>
      </c>
      <c r="H652" s="210">
        <f>+ARUBA_GL!J82</f>
        <v>0</v>
      </c>
      <c r="I652" s="211">
        <f>+ARUBA_GL!K82</f>
        <v>-1978384.4980000053</v>
      </c>
      <c r="J652" s="210">
        <f>+ARUBA_GL!L82</f>
        <v>0</v>
      </c>
      <c r="K652" s="211">
        <f>+ARUBA_GL!M82</f>
        <v>-1444.2159999999999</v>
      </c>
      <c r="L652" s="210">
        <f>+ARUBA_GL!N82</f>
        <v>0</v>
      </c>
      <c r="M652" s="211">
        <f>+ARUBA_GL!O82</f>
        <v>-547046.89199999999</v>
      </c>
      <c r="N652" s="210">
        <f>+ARUBA_GL!P82</f>
        <v>0</v>
      </c>
      <c r="O652" s="211">
        <f>+ARUBA_GL!Q82</f>
        <v>-769725.50399999996</v>
      </c>
      <c r="P652" s="210">
        <f>+ARUBA_GL!R82</f>
        <v>0</v>
      </c>
      <c r="Q652" s="210">
        <f>+ARUBA_GL!S82</f>
        <v>-4042.84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5">
      <c r="D653" s="208" t="s">
        <v>197</v>
      </c>
      <c r="E653" s="209"/>
      <c r="F653" s="210">
        <f>+SITHE_GL!H82</f>
        <v>0</v>
      </c>
      <c r="G653" s="211">
        <f>+SITHE_GL!I82</f>
        <v>3694813.3480000021</v>
      </c>
      <c r="H653" s="210">
        <f>+SITHE_GL!J82</f>
        <v>0</v>
      </c>
      <c r="I653" s="211">
        <f>+SITHE_GL!K82</f>
        <v>-2963532.7019999996</v>
      </c>
      <c r="J653" s="210">
        <f>+SITHE_GL!L82</f>
        <v>0</v>
      </c>
      <c r="K653" s="211">
        <f>+SITHE_GL!M82</f>
        <v>159358.34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1">
        <f>+SITHE_GL!Q82</f>
        <v>-459286</v>
      </c>
      <c r="P653" s="210">
        <f>+SITHE_GL!R82</f>
        <v>0</v>
      </c>
      <c r="Q653" s="210">
        <f>+SITHE_GL!S82</f>
        <v>-97280.085000000312</v>
      </c>
      <c r="R653" s="210">
        <f>+SITHE_GL!T82</f>
        <v>0</v>
      </c>
      <c r="S653" s="210">
        <f>+SITHE_GL!U82</f>
        <v>153274</v>
      </c>
      <c r="T653" s="210">
        <f>+SITHE_GL!V82</f>
        <v>0</v>
      </c>
      <c r="U653" s="210">
        <f>+SITHE_GL!W82</f>
        <v>178.37</v>
      </c>
      <c r="V653" s="210">
        <f>+SITHE_GL!X82</f>
        <v>0</v>
      </c>
      <c r="W653" s="210">
        <f>+SITHE_GL!Y82</f>
        <v>141007.35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RECLASS</vt:lpstr>
      <vt:lpstr>Check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TX-HPLC-GL</vt:lpstr>
      <vt:lpstr>TX-HPLR-GL 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Havlíček Jan</cp:lastModifiedBy>
  <cp:lastPrinted>2000-03-17T19:43:10Z</cp:lastPrinted>
  <dcterms:created xsi:type="dcterms:W3CDTF">1997-07-11T21:57:33Z</dcterms:created>
  <dcterms:modified xsi:type="dcterms:W3CDTF">2023-09-10T12:18:42Z</dcterms:modified>
</cp:coreProperties>
</file>