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0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Check!$A$1:$H$29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K1" i="44"/>
  <c r="M1" i="44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W11" i="20"/>
  <c r="X11" i="20"/>
  <c r="Y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R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X32" i="20"/>
  <c r="Y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X39" i="20"/>
  <c r="Y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X49" i="20"/>
  <c r="Y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Y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P74" i="20"/>
  <c r="R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H30" i="4"/>
  <c r="B31" i="4"/>
  <c r="C31" i="4"/>
  <c r="D31" i="4"/>
  <c r="E31" i="4"/>
  <c r="F31" i="4"/>
  <c r="G31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Y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X11" i="21"/>
  <c r="Y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W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X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Z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Y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W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AG11" i="6"/>
  <c r="D12" i="6"/>
  <c r="E12" i="6"/>
  <c r="W12" i="6"/>
  <c r="D13" i="6"/>
  <c r="E13" i="6"/>
  <c r="D14" i="6"/>
  <c r="E14" i="6"/>
  <c r="D15" i="6"/>
  <c r="E15" i="6"/>
  <c r="I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I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W41" i="6"/>
  <c r="Y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G54" i="6"/>
  <c r="I54" i="6"/>
  <c r="AG54" i="6"/>
  <c r="D55" i="6"/>
  <c r="E55" i="6"/>
  <c r="G55" i="6"/>
  <c r="I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O74" i="6"/>
  <c r="W74" i="6"/>
  <c r="Y74" i="6"/>
  <c r="AA74" i="6"/>
  <c r="AC74" i="6"/>
  <c r="AE74" i="6"/>
  <c r="AG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I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K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AA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U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X54" i="25"/>
  <c r="Z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K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R27" i="46"/>
  <c r="S27" i="46"/>
  <c r="T27" i="46"/>
  <c r="U27" i="46"/>
  <c r="D28" i="46"/>
  <c r="E28" i="46"/>
  <c r="F28" i="46"/>
  <c r="G28" i="46"/>
  <c r="H28" i="46"/>
  <c r="I28" i="46"/>
  <c r="J28" i="46"/>
  <c r="K28" i="46"/>
  <c r="L28" i="46"/>
  <c r="M28" i="46"/>
  <c r="P28" i="46"/>
  <c r="Q28" i="46"/>
  <c r="T28" i="46"/>
  <c r="U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Q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P89" i="46"/>
  <c r="Q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X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Y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W54" i="28"/>
  <c r="Y54" i="28"/>
  <c r="Z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Y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EQ0397 and EQ1328
</t>
        </r>
      </text>
    </comment>
    <comment ref="AC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951 and 317 adj per fred deal N48579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  <comment ref="AC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S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cilco
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S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bammel drip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S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prod serv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6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4950600 third party revenues</t>
        </r>
      </text>
    </comment>
    <comment ref="K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and drift not captured in November booked in December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<sst xmlns="http://schemas.openxmlformats.org/spreadsheetml/2006/main" count="6655" uniqueCount="224">
  <si>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</si>
  <si>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</si>
  <si>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</si>
  <si>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</si>
  <si>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</si>
  <si>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</si>
  <si>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</si>
  <si>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</si>
  <si>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</si>
  <si>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</si>
  <si>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</si>
  <si>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</si>
  <si>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</si>
  <si>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</si>
  <si>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</si>
  <si>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</si>
  <si>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</si>
  <si>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</si>
  <si>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</si>
  <si>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</si>
  <si>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</si>
  <si>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</si>
  <si>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</si>
  <si>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</si>
  <si>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</si>
  <si>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</si>
  <si>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</si>
  <si>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</si>
  <si>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</si>
  <si>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</si>
  <si>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</si>
  <si>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</si>
  <si>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</si>
  <si>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</si>
  <si>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</si>
  <si>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</si>
  <si>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</si>
  <si>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</si>
  <si>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</si>
  <si>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</si>
  <si>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</si>
  <si>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</si>
  <si>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</si>
  <si>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</si>
  <si>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</si>
  <si>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</si>
  <si>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</si>
  <si>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</si>
  <si>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</si>
  <si>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</si>
  <si>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</si>
  <si>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</si>
  <si>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</si>
  <si>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</si>
  <si>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</si>
  <si>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</si>
  <si>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</si>
  <si>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</si>
  <si>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</si>
  <si>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</si>
  <si>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</si>
  <si>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</si>
  <si>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</si>
  <si>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</si>
  <si>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</si>
  <si>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</si>
  <si>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</si>
  <si>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</si>
  <si>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</si>
  <si>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</si>
  <si>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</si>
  <si>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</si>
  <si>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</si>
  <si>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</si>
  <si>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</si>
  <si>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</si>
  <si>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</si>
  <si>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</si>
  <si>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</si>
  <si>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</si>
  <si>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</si>
  <si>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</si>
  <si>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</si>
  <si>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</si>
  <si>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</si>
  <si>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</si>
  <si>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</si>
  <si>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</si>
  <si>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</si>
  <si>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</si>
  <si>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</si>
  <si>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</si>
  <si>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</si>
  <si>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</si>
  <si>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</si>
  <si>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</si>
  <si>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</si>
  <si>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</si>
  <si>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</si>
  <si>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</si>
  <si>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</si>
  <si>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</si>
  <si>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</si>
  <si>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</si>
  <si>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</si>
  <si>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</si>
  <si>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</si>
  <si>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</si>
  <si>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</si>
  <si>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</si>
  <si>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</si>
  <si>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</si>
  <si>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</si>
  <si>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</si>
  <si>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</si>
  <si>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</si>
  <si>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</si>
  <si>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</si>
  <si>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</si>
  <si>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</si>
  <si>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</si>
  <si>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</si>
  <si>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</si>
  <si>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</si>
  <si>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</si>
  <si>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</si>
  <si>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</si>
  <si>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</si>
  <si>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</si>
  <si>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</si>
  <si>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</si>
  <si>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</si>
  <si>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</si>
  <si>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</si>
  <si>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</si>
  <si>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</si>
  <si>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</si>
  <si>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</si>
  <si>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</si>
  <si>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</si>
  <si>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</si>
  <si>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</si>
  <si>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</si>
  <si>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</si>
  <si>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</si>
  <si>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</si>
  <si>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</si>
  <si>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</si>
  <si>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</si>
  <si>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</si>
  <si>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</si>
  <si>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</si>
  <si>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</si>
  <si>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</si>
  <si>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</si>
  <si>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</si>
  <si>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</si>
  <si>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</si>
  <si>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</si>
  <si>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</si>
  <si>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</si>
  <si>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</si>
  <si>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</si>
  <si>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</si>
  <si>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</si>
  <si>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</si>
  <si>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</si>
  <si>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</si>
  <si>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</si>
  <si>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</si>
  <si>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</si>
  <si>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</si>
  <si>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</si>
  <si>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</si>
  <si>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</si>
  <si>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</si>
  <si>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</si>
  <si>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</si>
  <si>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</si>
  <si>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</si>
  <si>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</si>
  <si>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</si>
  <si>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</si>
  <si>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</si>
  <si>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</si>
  <si>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</si>
  <si>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</si>
  <si>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</si>
  <si>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</si>
  <si>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</si>
  <si>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</si>
  <si>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</si>
  <si>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</si>
  <si>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</si>
  <si>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</si>
  <si>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</si>
  <si>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</si>
  <si>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</si>
  <si>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December</t>
  </si>
  <si>
    <t>PRODUCTION MONTH: 9912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</si>
  <si>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</si>
  <si>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</si>
  <si>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</si>
  <si>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</si>
  <si>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</si>
  <si>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</si>
  <si>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</si>
  <si>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</si>
  <si>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</si>
  <si>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</si>
  <si>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</si>
  <si>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</si>
  <si>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</si>
  <si>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</si>
  <si>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</si>
  <si>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</si>
  <si>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February</t>
  </si>
  <si>
    <t>March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</si>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</sst>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1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65" fontId="16" fillId="0" borderId="0" xfId="1" applyNumberFormat="1" applyFont="1" applyAlignment="1">
      <alignment horizontal="center"/>
    </xf>
    <xf numFmtId="37" fontId="16" fillId="0" borderId="0" xfId="1" applyNumberFormat="1" applyFont="1" applyAlignment="1">
      <alignment horizontal="center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26" fillId="5" borderId="11" xfId="1" applyNumberFormat="1" applyFon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165" fontId="15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9/Flash/99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5">
          <cell r="G55">
            <v>9836514.6000000015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C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Qu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6">
          <cell r="B16">
            <v>-531000</v>
          </cell>
          <cell r="C16">
            <v>1091000</v>
          </cell>
          <cell r="D16">
            <v>-4812000</v>
          </cell>
          <cell r="E16">
            <v>-239000</v>
          </cell>
          <cell r="G16">
            <v>1553000</v>
          </cell>
          <cell r="H16">
            <v>1390000</v>
          </cell>
          <cell r="I16">
            <v>-34000</v>
          </cell>
          <cell r="J16">
            <v>-1241000</v>
          </cell>
          <cell r="K16">
            <v>9167000</v>
          </cell>
          <cell r="L16">
            <v>2456000</v>
          </cell>
          <cell r="M16">
            <v>-1138000</v>
          </cell>
          <cell r="N16">
            <v>-40000</v>
          </cell>
          <cell r="O16">
            <v>62000</v>
          </cell>
          <cell r="P16">
            <v>293000</v>
          </cell>
          <cell r="Q16">
            <v>321000</v>
          </cell>
          <cell r="R16">
            <v>25000</v>
          </cell>
          <cell r="T16">
            <v>8323000</v>
          </cell>
        </row>
        <row r="33">
          <cell r="T33">
            <v>1610309</v>
          </cell>
        </row>
        <row r="50">
          <cell r="B50">
            <v>-333120</v>
          </cell>
          <cell r="C50">
            <v>839446</v>
          </cell>
          <cell r="D50">
            <v>-4812000</v>
          </cell>
          <cell r="E50">
            <v>-239000</v>
          </cell>
          <cell r="G50">
            <v>1620809</v>
          </cell>
          <cell r="H50">
            <v>1624059</v>
          </cell>
          <cell r="I50">
            <v>-34000</v>
          </cell>
          <cell r="J50">
            <v>-1241000</v>
          </cell>
          <cell r="K50">
            <v>9167000</v>
          </cell>
          <cell r="L50">
            <v>1265170</v>
          </cell>
          <cell r="M50">
            <v>-597440</v>
          </cell>
          <cell r="N50">
            <v>88487</v>
          </cell>
          <cell r="O50">
            <v>-29809</v>
          </cell>
          <cell r="P50">
            <v>293000</v>
          </cell>
          <cell r="Q50">
            <v>2149176</v>
          </cell>
          <cell r="R50">
            <v>172531</v>
          </cell>
          <cell r="T50">
            <v>9933309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7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425004736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945150825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348284001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793939926.97600007</v>
      </c>
      <c r="H11" s="60">
        <f>F11-D11</f>
        <v>-76720735</v>
      </c>
      <c r="I11" s="38">
        <f>G11-E11</f>
        <v>-151210898.02399993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15513020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-9712019.4499999993</v>
      </c>
      <c r="H12" s="60">
        <f>F12-D12</f>
        <v>0</v>
      </c>
      <c r="I12" s="38">
        <f>G12-E12</f>
        <v>-25225039.449999999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153659673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380150161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160350300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409728498</v>
      </c>
      <c r="H13" s="60">
        <f t="shared" ref="H13:I15" si="0">F13-D13</f>
        <v>6690627</v>
      </c>
      <c r="I13" s="38">
        <f t="shared" si="0"/>
        <v>29578337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10532765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16424794.799999999</v>
      </c>
      <c r="H15" s="60">
        <f t="shared" si="0"/>
        <v>0</v>
      </c>
      <c r="I15" s="38">
        <f t="shared" si="0"/>
        <v>5892029.7999999989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578664409</v>
      </c>
      <c r="E16" s="39">
        <f t="shared" si="1"/>
        <v>1351346275</v>
      </c>
      <c r="F16" s="61">
        <f t="shared" si="1"/>
        <v>508634301</v>
      </c>
      <c r="G16" s="39">
        <f t="shared" si="1"/>
        <v>1210381200.326</v>
      </c>
      <c r="H16" s="61">
        <f t="shared" si="1"/>
        <v>-70030108</v>
      </c>
      <c r="I16" s="39">
        <f t="shared" si="1"/>
        <v>-140965074.67399991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-418562163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-924758652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-342052204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-758906793.37</v>
      </c>
      <c r="H19" s="60">
        <f>F19-D19</f>
        <v>76509959</v>
      </c>
      <c r="I19" s="38">
        <f>G19-E19</f>
        <v>165851858.63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-3579696.37</v>
      </c>
      <c r="H20" s="60">
        <f>F20-D20</f>
        <v>0</v>
      </c>
      <c r="I20" s="38">
        <f>G20-E20</f>
        <v>-3579696.37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-153444327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-379144327.98000002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-160350300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-395692505</v>
      </c>
      <c r="H21" s="60">
        <f t="shared" ref="H21:I23" si="2">F21-D21</f>
        <v>-6905973</v>
      </c>
      <c r="I21" s="38">
        <f t="shared" si="2"/>
        <v>-16548177.019999981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1640529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3880984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1713102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3706580.5475000003</v>
      </c>
      <c r="H23" s="60">
        <f t="shared" si="2"/>
        <v>72573</v>
      </c>
      <c r="I23" s="38">
        <f t="shared" si="2"/>
        <v>-174403.45249999966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-570365961</v>
      </c>
      <c r="E24" s="39">
        <f t="shared" si="3"/>
        <v>-1300021995.98</v>
      </c>
      <c r="F24" s="61">
        <f t="shared" si="3"/>
        <v>-500689402</v>
      </c>
      <c r="G24" s="39">
        <f t="shared" si="3"/>
        <v>-1154472414.1925001</v>
      </c>
      <c r="H24" s="61">
        <f t="shared" si="3"/>
        <v>69676559</v>
      </c>
      <c r="I24" s="39">
        <f t="shared" si="3"/>
        <v>145549581.78750002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13392764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30221802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31824041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73473751.400000006</v>
      </c>
      <c r="H27" s="60">
        <f>F27-D27</f>
        <v>18431277</v>
      </c>
      <c r="I27" s="38">
        <f>G27-E27</f>
        <v>43251949.400000006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-8976042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-20555130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-31831872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-73500109</v>
      </c>
      <c r="H28" s="60">
        <f>F28-D28</f>
        <v>-22855830</v>
      </c>
      <c r="I28" s="38">
        <f>G28-E28</f>
        <v>-52944979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-7831</v>
      </c>
      <c r="G29" s="70">
        <f t="shared" si="4"/>
        <v>-26357.59999999404</v>
      </c>
      <c r="H29" s="69">
        <f t="shared" si="4"/>
        <v>-4424553</v>
      </c>
      <c r="I29" s="70">
        <f t="shared" si="4"/>
        <v>-9693029.599999994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-3165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109214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-894666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-473081.11119999969</v>
      </c>
      <c r="H32" s="60">
        <f>F32-D32</f>
        <v>-891501</v>
      </c>
      <c r="I32" s="38">
        <f>G32-E32</f>
        <v>-582295.11119999969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343047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752294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-5735069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-786462.71</v>
      </c>
      <c r="H33" s="60">
        <f t="shared" ref="H33:I35" si="5">F33-D33</f>
        <v>-6078116</v>
      </c>
      <c r="I33" s="38">
        <f t="shared" si="5"/>
        <v>-1538756.71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-411686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-904101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280494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487680.31</v>
      </c>
      <c r="H34" s="60">
        <f t="shared" si="5"/>
        <v>692180</v>
      </c>
      <c r="I34" s="38">
        <f t="shared" si="5"/>
        <v>1391781.31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1289621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2191137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148898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-1024842.17</v>
      </c>
      <c r="H35" s="60">
        <f t="shared" si="5"/>
        <v>-1140723</v>
      </c>
      <c r="I35" s="38">
        <f t="shared" si="5"/>
        <v>-3215979.17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1217817</v>
      </c>
      <c r="E36" s="39">
        <f t="shared" si="6"/>
        <v>2148544</v>
      </c>
      <c r="F36" s="61">
        <f t="shared" si="6"/>
        <v>-6200343</v>
      </c>
      <c r="G36" s="39">
        <f t="shared" si="6"/>
        <v>-1796705.6811999995</v>
      </c>
      <c r="H36" s="61">
        <f t="shared" si="6"/>
        <v>-7418160</v>
      </c>
      <c r="I36" s="39">
        <f t="shared" si="6"/>
        <v>-3945249.6811999995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7710783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16718582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15382456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33669109.170000002</v>
      </c>
      <c r="H39" s="60">
        <f t="shared" ref="H39:I41" si="7">F39-D39</f>
        <v>7671673</v>
      </c>
      <c r="I39" s="38">
        <f t="shared" si="7"/>
        <v>16950527.170000002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-22471779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-39425720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-16728510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-26436077.670000002</v>
      </c>
      <c r="H40" s="60">
        <f t="shared" si="7"/>
        <v>5743269</v>
      </c>
      <c r="I40" s="38">
        <f t="shared" si="7"/>
        <v>12989642.329999998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-22471779</v>
      </c>
      <c r="E42" s="70">
        <f t="shared" si="8"/>
        <v>-39425720</v>
      </c>
      <c r="F42" s="69">
        <f t="shared" si="8"/>
        <v>-16728510</v>
      </c>
      <c r="G42" s="70">
        <f t="shared" si="8"/>
        <v>-26436077.670000002</v>
      </c>
      <c r="H42" s="69">
        <f t="shared" si="8"/>
        <v>5743269</v>
      </c>
      <c r="I42" s="70">
        <f t="shared" si="8"/>
        <v>12989642.329999998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-14760996</v>
      </c>
      <c r="E43" s="39">
        <f t="shared" si="9"/>
        <v>-22707138</v>
      </c>
      <c r="F43" s="61">
        <f t="shared" si="9"/>
        <v>-1346054</v>
      </c>
      <c r="G43" s="39">
        <f t="shared" si="9"/>
        <v>7233031.5</v>
      </c>
      <c r="H43" s="61">
        <f t="shared" si="9"/>
        <v>13414942</v>
      </c>
      <c r="I43" s="39">
        <f t="shared" si="9"/>
        <v>29940169.5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5161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152085.99</v>
      </c>
      <c r="H47" s="60">
        <f>F47-D47</f>
        <v>0</v>
      </c>
      <c r="I47" s="38">
        <f>G47-E47</f>
        <v>152085.99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828009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1691217.707153549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-395832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-1183393.1999999997</v>
      </c>
      <c r="H49" s="60">
        <f>F49-D49</f>
        <v>-1223841</v>
      </c>
      <c r="I49" s="38">
        <f>G49-E49</f>
        <v>-2874610.9071535487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-1635627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-3870695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-1725721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-3736932.3775000004</v>
      </c>
      <c r="H51" s="60">
        <f>F51-D51</f>
        <v>-90094</v>
      </c>
      <c r="I51" s="38">
        <f>G51-E51</f>
        <v>133762.62249999959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-4418243.66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-191001761.13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-2852897.4499999997</v>
      </c>
      <c r="H54" s="60">
        <f>F54-D54</f>
        <v>-191001761.13</v>
      </c>
      <c r="I54" s="38">
        <f>G54-E54</f>
        <v>1565346.2100000004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-14464040.109999999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-1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-19373982.600000001</v>
      </c>
      <c r="H55" s="60">
        <f>F55-D55</f>
        <v>-1</v>
      </c>
      <c r="I55" s="38">
        <f>G55-E55</f>
        <v>-4909942.4900000021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-18882283.77</v>
      </c>
      <c r="F56" s="61">
        <f t="shared" si="10"/>
        <v>-191001762.13</v>
      </c>
      <c r="G56" s="39">
        <f t="shared" si="10"/>
        <v>-22226880.050000001</v>
      </c>
      <c r="H56" s="61">
        <f t="shared" si="10"/>
        <v>-191001762.13</v>
      </c>
      <c r="I56" s="39">
        <f t="shared" si="10"/>
        <v>-3344596.2800000017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3263597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118000.79000000001</v>
      </c>
      <c r="H59" s="60">
        <f>F59-D59</f>
        <v>3263597</v>
      </c>
      <c r="I59" s="38">
        <f>G59-E59</f>
        <v>118000.79000000001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573553</v>
      </c>
      <c r="H60" s="60">
        <f>F60-D60</f>
        <v>0</v>
      </c>
      <c r="I60" s="38">
        <f>G60-E60</f>
        <v>573553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691553.79</v>
      </c>
      <c r="H61" s="69">
        <f t="shared" si="11"/>
        <v>3263597</v>
      </c>
      <c r="I61" s="70">
        <f t="shared" si="11"/>
        <v>691553.79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42944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-19968184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-2383243.73</v>
      </c>
      <c r="H64" s="60">
        <f>F64-D64</f>
        <v>-19968184</v>
      </c>
      <c r="I64" s="38">
        <f>G64-E64</f>
        <v>-2426187.73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19989553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2359055.08</v>
      </c>
      <c r="H65" s="60">
        <f>F65-D65</f>
        <v>19989553</v>
      </c>
      <c r="I65" s="38">
        <f>G65-E65</f>
        <v>2359055.08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21369</v>
      </c>
      <c r="G66" s="39">
        <f t="shared" si="12"/>
        <v>-24188.649999999907</v>
      </c>
      <c r="H66" s="61">
        <f t="shared" si="12"/>
        <v>21369</v>
      </c>
      <c r="I66" s="39">
        <f t="shared" si="12"/>
        <v>-67132.649999999907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8580229.1845990885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8580229.0999999978</v>
      </c>
      <c r="H70" s="60">
        <f>F70-D70</f>
        <v>0</v>
      </c>
      <c r="I70" s="38">
        <f>G70-E70</f>
        <v>-8.4599090740084648E-2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-35858375.086300001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-35909796</v>
      </c>
      <c r="H71" s="60">
        <f>F71-D71</f>
        <v>0</v>
      </c>
      <c r="I71" s="38">
        <f>G71-E71</f>
        <v>-51420.913699999452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-27278145.901700914</v>
      </c>
      <c r="F72" s="69">
        <f t="shared" si="13"/>
        <v>0</v>
      </c>
      <c r="G72" s="70">
        <f t="shared" si="13"/>
        <v>-27329566.900000002</v>
      </c>
      <c r="H72" s="69">
        <f t="shared" si="13"/>
        <v>0</v>
      </c>
      <c r="I72" s="70">
        <f t="shared" si="13"/>
        <v>-51420.998299090192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-8086</v>
      </c>
      <c r="H73" s="60">
        <f>F73-D73</f>
        <v>0</v>
      </c>
      <c r="I73" s="38">
        <f>G73-E73</f>
        <v>-8086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9531724.0573000014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8204332.3300000001</v>
      </c>
      <c r="H74" s="60">
        <f t="shared" ref="H74:I79" si="14">F74-D74</f>
        <v>0</v>
      </c>
      <c r="I74" s="38">
        <f t="shared" si="14"/>
        <v>-1327391.7273000013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142498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142500</v>
      </c>
      <c r="H75" s="60">
        <f t="shared" si="14"/>
        <v>0</v>
      </c>
      <c r="I75" s="38">
        <f t="shared" si="14"/>
        <v>2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-47527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-59175.33</v>
      </c>
      <c r="H76" s="60">
        <f t="shared" si="14"/>
        <v>0</v>
      </c>
      <c r="I76" s="38">
        <f t="shared" si="14"/>
        <v>-11648.330000000002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-4042109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-4298692</v>
      </c>
      <c r="H77" s="60">
        <f t="shared" si="14"/>
        <v>0</v>
      </c>
      <c r="I77" s="38">
        <f t="shared" si="14"/>
        <v>-256583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1083367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-1173362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0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-100406</v>
      </c>
      <c r="H80" s="60">
        <f>F80-D80</f>
        <v>0</v>
      </c>
      <c r="I80" s="38">
        <f>G80-E80</f>
        <v>-100406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383532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-940952.84</v>
      </c>
      <c r="H81" s="60">
        <f>F81-D81</f>
        <v>0</v>
      </c>
      <c r="I81" s="38">
        <f>G81-E81</f>
        <v>-1324484.8399999999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-788596.94224742055</v>
      </c>
      <c r="F82" s="91">
        <f>F16+F24+F29+F36+F43+F45+F47+F49</f>
        <v>0</v>
      </c>
      <c r="G82" s="92">
        <f>SUM(G72:G81)+G16+G24+G29+G36+G43+G45+G47+G49+G51+G56+G61+G66</f>
        <v>10548823.144799856</v>
      </c>
      <c r="H82" s="91">
        <f>H16+H24+H29+H36+H43+H45+H47+H49</f>
        <v>0</v>
      </c>
      <c r="I82" s="92">
        <f>SUM(I72:I81)+I16+I24+I29+I36+I43+I45+I47+I49+I51+I56+I61+I66</f>
        <v>11337420.087047482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3"/>
      <c r="E85" s="183"/>
      <c r="F85" s="183"/>
      <c r="G85" s="183"/>
      <c r="H85" s="31"/>
      <c r="I85" s="31"/>
    </row>
    <row r="86" spans="1:9" x14ac:dyDescent="0.25">
      <c r="A86" s="146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10433492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</f>
        <v>240869</v>
      </c>
      <c r="H86" s="147">
        <f t="shared" ref="H86:I88" si="15">F86-D86</f>
        <v>0</v>
      </c>
      <c r="I86" s="147">
        <f t="shared" si="15"/>
        <v>-10192623</v>
      </c>
    </row>
    <row r="87" spans="1:9" x14ac:dyDescent="0.25">
      <c r="A87" s="146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</f>
        <v>10836263</v>
      </c>
      <c r="H87" s="148">
        <f t="shared" si="15"/>
        <v>0</v>
      </c>
      <c r="I87" s="148">
        <f t="shared" si="15"/>
        <v>10836263</v>
      </c>
    </row>
    <row r="88" spans="1:9" x14ac:dyDescent="0.25">
      <c r="A88" s="146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</f>
        <v>-1856132</v>
      </c>
      <c r="H88" s="149">
        <f t="shared" si="15"/>
        <v>0</v>
      </c>
      <c r="I88" s="149">
        <f t="shared" si="15"/>
        <v>-1856132</v>
      </c>
    </row>
    <row r="89" spans="1:9" s="129" customFormat="1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10433492</v>
      </c>
      <c r="F89" s="162">
        <f t="shared" si="16"/>
        <v>0</v>
      </c>
      <c r="G89" s="162">
        <f t="shared" si="16"/>
        <v>9221000</v>
      </c>
      <c r="H89" s="162">
        <f t="shared" si="16"/>
        <v>0</v>
      </c>
      <c r="I89" s="162">
        <f t="shared" si="16"/>
        <v>-1212492</v>
      </c>
    </row>
    <row r="90" spans="1:9" s="129" customFormat="1" x14ac:dyDescent="0.25">
      <c r="A90" s="164"/>
      <c r="B90" s="161"/>
      <c r="D90" s="165"/>
      <c r="E90" s="165"/>
      <c r="F90" s="165"/>
      <c r="G90" s="165"/>
      <c r="H90" s="165"/>
      <c r="I90" s="165"/>
    </row>
    <row r="91" spans="1:9" s="129" customFormat="1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9644895.0577525795</v>
      </c>
      <c r="F91" s="162">
        <f t="shared" si="17"/>
        <v>0</v>
      </c>
      <c r="G91" s="162">
        <f t="shared" si="17"/>
        <v>19769823.144799858</v>
      </c>
      <c r="H91" s="162">
        <f t="shared" si="17"/>
        <v>0</v>
      </c>
      <c r="I91" s="162">
        <f t="shared" si="17"/>
        <v>10124928.087047482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7"/>
  <sheetViews>
    <sheetView tabSelected="1" topLeftCell="A3" zoomScale="75" workbookViewId="0">
      <pane xSplit="1" ySplit="8" topLeftCell="B11" activePane="bottomRight" state="frozen"/>
      <selection pane="topRight"/>
      <selection pane="bottomLeft"/>
      <selection pane="bottomRight" activeCell="C17" sqref="C17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199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192</v>
      </c>
      <c r="C10" s="169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6">
        <f>'CE-FLSH'!$M$82</f>
        <v>-531139.12339998316</v>
      </c>
      <c r="C11" s="65">
        <f t="shared" ref="C11:C26" si="0">+D11-B11</f>
        <v>139.1233999831602</v>
      </c>
      <c r="D11" s="126">
        <f>+'[2]ST Warroom 99'!$B$16</f>
        <v>-531000</v>
      </c>
      <c r="E11" s="126">
        <f>+F11-D11</f>
        <v>197880</v>
      </c>
      <c r="F11" s="126">
        <f>+'[2]ST Warroom 99'!$B$50</f>
        <v>-333120</v>
      </c>
      <c r="G11" s="170">
        <f>CE_GL!$E$82</f>
        <v>846745.02100002766</v>
      </c>
      <c r="H11" s="107">
        <f t="shared" ref="H11:H27" si="1">G11-F11</f>
        <v>1179865.0210000277</v>
      </c>
      <c r="I11" s="31"/>
      <c r="J11" s="31"/>
    </row>
    <row r="12" spans="1:10" x14ac:dyDescent="0.25">
      <c r="A12" s="101" t="s">
        <v>195</v>
      </c>
      <c r="B12" s="126">
        <f>'SITHE-FLSH'!$M$82</f>
        <v>100054.03673286547</v>
      </c>
      <c r="C12" s="65">
        <f>+D12-B12</f>
        <v>-140054.03673286547</v>
      </c>
      <c r="D12" s="126">
        <f>+'[2]ST Warroom 99'!$N$16</f>
        <v>-40000</v>
      </c>
      <c r="E12" s="126">
        <f>+F12-D12</f>
        <v>128487</v>
      </c>
      <c r="F12" s="126">
        <f>+'[2]ST Warroom 99'!$N$50</f>
        <v>88487</v>
      </c>
      <c r="G12" s="170">
        <f>SITHE_GL!$E$82</f>
        <v>-58984.781999998377</v>
      </c>
      <c r="H12" s="107">
        <f>G12-F12</f>
        <v>-147471.78199999838</v>
      </c>
      <c r="I12" s="31"/>
      <c r="J12" s="31"/>
    </row>
    <row r="13" spans="1:10" x14ac:dyDescent="0.25">
      <c r="A13" s="101" t="s">
        <v>189</v>
      </c>
      <c r="B13" s="126">
        <f>'ARUBA-FLSH'!$M$82</f>
        <v>320670.37983501854</v>
      </c>
      <c r="C13" s="65">
        <f>+D13-B13</f>
        <v>329.62016498146113</v>
      </c>
      <c r="D13" s="126">
        <f>+'[2]ST Warroom 99'!$Q$16</f>
        <v>321000</v>
      </c>
      <c r="E13" s="126">
        <f>+F13-D13</f>
        <v>1828176</v>
      </c>
      <c r="F13" s="126">
        <f>+'[2]ST Warroom 99'!$Q$50</f>
        <v>2149176</v>
      </c>
      <c r="G13" s="170">
        <f>ARUBA_GL!$E$82</f>
        <v>2149176.2920000027</v>
      </c>
      <c r="H13" s="107">
        <f>G13-F13</f>
        <v>0.29200000269338489</v>
      </c>
      <c r="I13" s="31"/>
      <c r="J13" s="31"/>
    </row>
    <row r="14" spans="1:10" x14ac:dyDescent="0.25">
      <c r="A14" s="101" t="s">
        <v>14</v>
      </c>
      <c r="B14" s="126">
        <v>0</v>
      </c>
      <c r="C14" s="65">
        <f t="shared" si="0"/>
        <v>0</v>
      </c>
      <c r="D14" s="126">
        <v>0</v>
      </c>
      <c r="E14" s="126">
        <f t="shared" ref="E14:E27" si="2">+F14-D14</f>
        <v>0</v>
      </c>
      <c r="F14" s="126">
        <v>0</v>
      </c>
      <c r="G14" s="170">
        <v>0</v>
      </c>
      <c r="H14" s="107">
        <f t="shared" si="1"/>
        <v>0</v>
      </c>
      <c r="I14" s="31"/>
      <c r="J14" s="31"/>
    </row>
    <row r="15" spans="1:10" x14ac:dyDescent="0.25">
      <c r="A15" s="101" t="s">
        <v>156</v>
      </c>
      <c r="B15" s="125">
        <f>'BGC-EGM-FLSH'!$M$82+'EAST-EGM-FLSH'!M82</f>
        <v>1081270.127214415</v>
      </c>
      <c r="C15" s="65">
        <f t="shared" si="0"/>
        <v>9729.8727855850011</v>
      </c>
      <c r="D15" s="125">
        <f>+'[2]ST Warroom 99'!$C$16</f>
        <v>1091000</v>
      </c>
      <c r="E15" s="126">
        <f t="shared" si="2"/>
        <v>-251554</v>
      </c>
      <c r="F15" s="125">
        <f>+'[2]ST Warroom 99'!$C$50</f>
        <v>839446</v>
      </c>
      <c r="G15" s="170">
        <f>'BGC-EGM-GL'!$E$82+'EAST-EGM-GL'!E82</f>
        <v>6875619.1149999993</v>
      </c>
      <c r="H15" s="107">
        <f t="shared" si="1"/>
        <v>6036173.1149999993</v>
      </c>
      <c r="I15" s="31"/>
      <c r="J15" s="31"/>
    </row>
    <row r="16" spans="1:10" x14ac:dyDescent="0.25">
      <c r="A16" s="101" t="s">
        <v>157</v>
      </c>
      <c r="B16" s="125">
        <f>'EAST-LRC-FLSH'!$M$82</f>
        <v>-4811637.2451144625</v>
      </c>
      <c r="C16" s="65">
        <f t="shared" si="0"/>
        <v>-362.75488553754985</v>
      </c>
      <c r="D16" s="125">
        <f>+'[2]ST Warroom 99'!$D$16</f>
        <v>-4812000</v>
      </c>
      <c r="E16" s="126">
        <f t="shared" si="2"/>
        <v>0</v>
      </c>
      <c r="F16" s="125">
        <f>+'[2]ST Warroom 99'!$D$50</f>
        <v>-4812000</v>
      </c>
      <c r="G16" s="170">
        <f>'EAST-LRC-GL'!$E$82</f>
        <v>-978175.89500000631</v>
      </c>
      <c r="H16" s="107">
        <f t="shared" si="1"/>
        <v>3833824.1049999939</v>
      </c>
      <c r="I16" s="31"/>
      <c r="J16" s="31"/>
    </row>
    <row r="17" spans="1:10" x14ac:dyDescent="0.25">
      <c r="A17" s="101" t="s">
        <v>164</v>
      </c>
      <c r="B17" s="125">
        <f>+'EAST-EGM-FLSH'!M89</f>
        <v>580000</v>
      </c>
      <c r="C17" s="65">
        <f t="shared" si="0"/>
        <v>-819000</v>
      </c>
      <c r="D17" s="125">
        <f>+'[2]ST Warroom 99'!$E$16</f>
        <v>-239000</v>
      </c>
      <c r="E17" s="126">
        <f t="shared" si="2"/>
        <v>0</v>
      </c>
      <c r="F17" s="125">
        <f>+'[2]ST Warroom 99'!$E$50</f>
        <v>-239000</v>
      </c>
      <c r="G17" s="170">
        <f>+'EAST-EGM-GL'!E89</f>
        <v>-239000</v>
      </c>
      <c r="H17" s="107">
        <f t="shared" si="1"/>
        <v>0</v>
      </c>
      <c r="I17" s="31"/>
      <c r="J17" s="31"/>
    </row>
    <row r="18" spans="1:10" x14ac:dyDescent="0.25">
      <c r="A18" s="101" t="s">
        <v>16</v>
      </c>
      <c r="B18" s="125">
        <f>'TX-EGM-FLSH'!$M$82</f>
        <v>1389725.668536745</v>
      </c>
      <c r="C18" s="65">
        <f t="shared" si="0"/>
        <v>274.33146325498819</v>
      </c>
      <c r="D18" s="125">
        <f>+'[2]ST Warroom 99'!$H$16</f>
        <v>1390000</v>
      </c>
      <c r="E18" s="126">
        <f t="shared" si="2"/>
        <v>234059</v>
      </c>
      <c r="F18" s="125">
        <f>+'[2]ST Warroom 99'!$H$50</f>
        <v>1624059</v>
      </c>
      <c r="G18" s="170">
        <f>'TX-EGM-GL'!$E$91</f>
        <v>396446.40300000034</v>
      </c>
      <c r="H18" s="107">
        <f t="shared" si="1"/>
        <v>-1227612.5969999996</v>
      </c>
      <c r="I18" s="31"/>
      <c r="J18" s="31"/>
    </row>
    <row r="19" spans="1:10" x14ac:dyDescent="0.25">
      <c r="A19" s="101" t="s">
        <v>182</v>
      </c>
      <c r="B19" s="125">
        <f>'TX-HPLR-FLSH'!$M$82</f>
        <v>-34151.271614011377</v>
      </c>
      <c r="C19" s="65">
        <f t="shared" si="0"/>
        <v>151.2716140113771</v>
      </c>
      <c r="D19" s="125">
        <f>+'[2]ST Warroom 99'!$I$16</f>
        <v>-34000</v>
      </c>
      <c r="E19" s="126">
        <f t="shared" si="2"/>
        <v>0</v>
      </c>
      <c r="F19" s="125">
        <f>+'[2]ST Warroom 99'!$I$50</f>
        <v>-34000</v>
      </c>
      <c r="G19" s="170">
        <f>'TX-HPLR-GL '!$E$82</f>
        <v>-116582.93999999983</v>
      </c>
      <c r="H19" s="107">
        <f t="shared" si="1"/>
        <v>-82582.939999999828</v>
      </c>
      <c r="I19" s="31"/>
      <c r="J19" s="31"/>
    </row>
    <row r="20" spans="1:10" x14ac:dyDescent="0.25">
      <c r="A20" s="101" t="s">
        <v>183</v>
      </c>
      <c r="B20" s="125">
        <f>'TX-HPLC-FLSH'!$M$82</f>
        <v>-1240936.4876484051</v>
      </c>
      <c r="C20" s="65">
        <f t="shared" si="0"/>
        <v>-63.512351594865322</v>
      </c>
      <c r="D20" s="125">
        <f>+'[2]ST Warroom 99'!$J$16</f>
        <v>-1241000</v>
      </c>
      <c r="E20" s="126">
        <f t="shared" si="2"/>
        <v>0</v>
      </c>
      <c r="F20" s="125">
        <f>+'[2]ST Warroom 99'!$J$50</f>
        <v>-1241000</v>
      </c>
      <c r="G20" s="170">
        <f>'TX-HPLC-GL'!$E$82</f>
        <v>31151.239999997197</v>
      </c>
      <c r="H20" s="107">
        <f t="shared" si="1"/>
        <v>1272151.2399999972</v>
      </c>
      <c r="I20" s="31"/>
      <c r="J20" s="31"/>
    </row>
    <row r="21" spans="1:10" x14ac:dyDescent="0.25">
      <c r="A21" s="101" t="s">
        <v>176</v>
      </c>
      <c r="B21" s="125">
        <f>'TX-EGM-FLSH'!$M$89</f>
        <v>9167000</v>
      </c>
      <c r="C21" s="65">
        <f t="shared" si="0"/>
        <v>0</v>
      </c>
      <c r="D21" s="60">
        <f>+'[2]ST Warroom 99'!$K$16</f>
        <v>9167000</v>
      </c>
      <c r="E21" s="126">
        <f t="shared" si="2"/>
        <v>0</v>
      </c>
      <c r="F21" s="60">
        <f>+'[2]ST Warroom 99'!$K$50</f>
        <v>9167000</v>
      </c>
      <c r="G21" s="170">
        <f>'TX-HPLC-GL'!$E$89</f>
        <v>9167000</v>
      </c>
      <c r="H21" s="107">
        <f t="shared" si="1"/>
        <v>0</v>
      </c>
      <c r="I21" s="31"/>
      <c r="J21" s="31"/>
    </row>
    <row r="22" spans="1:10" x14ac:dyDescent="0.25">
      <c r="A22" s="101" t="s">
        <v>17</v>
      </c>
      <c r="B22" s="125">
        <f>'WE-FLSH'!$M$82</f>
        <v>2437528.7736231489</v>
      </c>
      <c r="C22" s="65">
        <f t="shared" si="0"/>
        <v>18471.226376851089</v>
      </c>
      <c r="D22" s="125">
        <f>+'[2]ST Warroom 99'!$L$16</f>
        <v>2456000</v>
      </c>
      <c r="E22" s="126">
        <f t="shared" si="2"/>
        <v>-1190830</v>
      </c>
      <c r="F22" s="125">
        <f>+'[2]ST Warroom 99'!$L$50</f>
        <v>1265170</v>
      </c>
      <c r="G22" s="170">
        <f>'WE-GL '!$E$82</f>
        <v>1293478.1399999894</v>
      </c>
      <c r="H22" s="107">
        <f t="shared" si="1"/>
        <v>28308.13999998942</v>
      </c>
      <c r="I22" s="31"/>
      <c r="J22" s="31"/>
    </row>
    <row r="23" spans="1:10" x14ac:dyDescent="0.25">
      <c r="A23" s="101" t="s">
        <v>202</v>
      </c>
      <c r="B23" s="125">
        <f>'DEN-FLSH'!$M$82</f>
        <v>23191.100688159495</v>
      </c>
      <c r="C23" s="65">
        <f>+D23-B23</f>
        <v>1808.8993118405051</v>
      </c>
      <c r="D23" s="125">
        <f>+'[2]ST Warroom 99'!$R$16</f>
        <v>25000</v>
      </c>
      <c r="E23" s="126">
        <f>+F23-D23</f>
        <v>147531</v>
      </c>
      <c r="F23" s="125">
        <f>+'[2]ST Warroom 99'!$R$50</f>
        <v>172531</v>
      </c>
      <c r="G23" s="170">
        <f>'DEN-GL'!$E$82</f>
        <v>172530.58499999845</v>
      </c>
      <c r="H23" s="107">
        <f>G23-F23</f>
        <v>-0.41500000155065209</v>
      </c>
      <c r="I23" s="31"/>
      <c r="J23" s="31"/>
    </row>
    <row r="24" spans="1:10" x14ac:dyDescent="0.25">
      <c r="A24" s="101" t="s">
        <v>18</v>
      </c>
      <c r="B24" s="125">
        <f>STG_FLSH!$M$82</f>
        <v>-1138320</v>
      </c>
      <c r="C24" s="65">
        <f t="shared" si="0"/>
        <v>320</v>
      </c>
      <c r="D24" s="125">
        <f>+'[2]ST Warroom 99'!$M$16</f>
        <v>-1138000</v>
      </c>
      <c r="E24" s="126">
        <f t="shared" si="2"/>
        <v>540560</v>
      </c>
      <c r="F24" s="125">
        <f>+'[2]ST Warroom 99'!$M$50</f>
        <v>-597440</v>
      </c>
      <c r="G24" s="170">
        <f>STG_GL!$E$82</f>
        <v>-1584501</v>
      </c>
      <c r="H24" s="107">
        <f t="shared" si="1"/>
        <v>-987061</v>
      </c>
      <c r="I24" s="31"/>
      <c r="J24" s="31"/>
    </row>
    <row r="25" spans="1:10" x14ac:dyDescent="0.25">
      <c r="A25" s="101" t="s">
        <v>158</v>
      </c>
      <c r="B25" s="125">
        <f>ONT_FLSH!$M$82</f>
        <v>62432.312898286575</v>
      </c>
      <c r="C25" s="65">
        <f t="shared" si="0"/>
        <v>-432.31289828657464</v>
      </c>
      <c r="D25" s="125">
        <f>+'[2]ST Warroom 99'!$O$16</f>
        <v>62000</v>
      </c>
      <c r="E25" s="126">
        <f t="shared" si="2"/>
        <v>-91809</v>
      </c>
      <c r="F25" s="125">
        <f>+'[2]ST Warroom 99'!$O$50</f>
        <v>-29809</v>
      </c>
      <c r="G25" s="170">
        <f>'ONT_GL '!$E$82</f>
        <v>-98888.335200002562</v>
      </c>
      <c r="H25" s="107">
        <f t="shared" si="1"/>
        <v>-69079.335200002562</v>
      </c>
      <c r="I25" s="31"/>
      <c r="J25" s="31"/>
    </row>
    <row r="26" spans="1:10" x14ac:dyDescent="0.25">
      <c r="A26" s="101" t="s">
        <v>163</v>
      </c>
      <c r="B26" s="125">
        <f>ONT_FLSH!$M$89</f>
        <v>686492</v>
      </c>
      <c r="C26" s="65">
        <f t="shared" si="0"/>
        <v>-393492</v>
      </c>
      <c r="D26" s="170">
        <f>+'[2]ST Warroom 99'!$P$16</f>
        <v>293000</v>
      </c>
      <c r="E26" s="126">
        <f t="shared" si="2"/>
        <v>0</v>
      </c>
      <c r="F26" s="170">
        <f>+'[2]ST Warroom 99'!$P$50</f>
        <v>293000</v>
      </c>
      <c r="G26" s="170">
        <f>+'ONT_GL '!E89</f>
        <v>293000</v>
      </c>
      <c r="H26" s="107">
        <f t="shared" si="1"/>
        <v>0</v>
      </c>
      <c r="I26" s="31"/>
      <c r="J26" s="31"/>
    </row>
    <row r="27" spans="1:10" x14ac:dyDescent="0.25">
      <c r="A27" s="140" t="s">
        <v>113</v>
      </c>
      <c r="B27" s="125">
        <f>+BUG_FLSH!M82</f>
        <v>1552714.7860007863</v>
      </c>
      <c r="C27" s="65">
        <f>+D27-B27</f>
        <v>285.21399921365082</v>
      </c>
      <c r="D27" s="125">
        <f>+'[2]ST Warroom 99'!$G$16</f>
        <v>1553000</v>
      </c>
      <c r="E27" s="126">
        <f t="shared" si="2"/>
        <v>67809</v>
      </c>
      <c r="F27" s="125">
        <f>+'[2]ST Warroom 99'!$G$50</f>
        <v>1620809</v>
      </c>
      <c r="G27" s="170">
        <f>+BUG_GL!E82</f>
        <v>1620809.3010000028</v>
      </c>
      <c r="H27" s="107">
        <f t="shared" si="1"/>
        <v>0.30100000277161598</v>
      </c>
      <c r="I27" s="31"/>
      <c r="J27" s="31"/>
    </row>
    <row r="28" spans="1:10" ht="21.75" customHeight="1" thickBot="1" x14ac:dyDescent="0.3">
      <c r="A28" s="101" t="s">
        <v>10</v>
      </c>
      <c r="B28" s="61">
        <f t="shared" ref="B28:H28" si="3">SUM(B11:B27)</f>
        <v>9644895.0577525645</v>
      </c>
      <c r="C28" s="61">
        <f t="shared" si="3"/>
        <v>-1321895.0577525632</v>
      </c>
      <c r="D28" s="61">
        <f t="shared" si="3"/>
        <v>8323000</v>
      </c>
      <c r="E28" s="61">
        <f t="shared" si="3"/>
        <v>1610309</v>
      </c>
      <c r="F28" s="61">
        <f t="shared" si="3"/>
        <v>9933309</v>
      </c>
      <c r="G28" s="61">
        <f t="shared" si="3"/>
        <v>19769823.144800007</v>
      </c>
      <c r="H28" s="108">
        <f t="shared" si="3"/>
        <v>9836514.1448000111</v>
      </c>
      <c r="I28" s="31"/>
      <c r="J28" s="31"/>
    </row>
    <row r="29" spans="1:10" ht="21" customHeight="1" thickBot="1" x14ac:dyDescent="0.3">
      <c r="A29" s="102" t="s">
        <v>19</v>
      </c>
      <c r="B29" s="103">
        <f>TOTAL!$E$91</f>
        <v>9644895.0577525795</v>
      </c>
      <c r="C29" s="103">
        <f>+C28</f>
        <v>-1321895.0577525632</v>
      </c>
      <c r="D29" s="103">
        <f>+'[2]ST Warroom 99'!$T$16</f>
        <v>8323000</v>
      </c>
      <c r="E29" s="103">
        <f>+'[2]ST Warroom 99'!$T$33</f>
        <v>1610309</v>
      </c>
      <c r="F29" s="103">
        <f>+'[2]ST Warroom 99'!$T$50</f>
        <v>9933309</v>
      </c>
      <c r="G29" s="103">
        <f>TOTAL!$G$91</f>
        <v>19769823.144799858</v>
      </c>
      <c r="H29" s="181">
        <f>+[1]OAvsACT!$G$55</f>
        <v>9836514.6000000015</v>
      </c>
      <c r="I29" s="31"/>
      <c r="J29" s="31"/>
    </row>
    <row r="30" spans="1:10" x14ac:dyDescent="0.25">
      <c r="B30" s="45"/>
      <c r="C30" s="45"/>
      <c r="D30" s="45"/>
      <c r="E30" s="45"/>
      <c r="F30" s="45"/>
      <c r="G30" s="45"/>
      <c r="H30" s="45">
        <f>+H29-H28</f>
        <v>0.45519999042153358</v>
      </c>
      <c r="I30" s="45"/>
      <c r="J30" s="45"/>
    </row>
    <row r="31" spans="1:10" x14ac:dyDescent="0.25">
      <c r="B31" s="45">
        <f t="shared" ref="B31:G31" si="4">+B28-B29</f>
        <v>-1.4901161193847656E-8</v>
      </c>
      <c r="C31" s="45">
        <f t="shared" si="4"/>
        <v>0</v>
      </c>
      <c r="D31" s="45">
        <f t="shared" si="4"/>
        <v>0</v>
      </c>
      <c r="E31" s="45">
        <f t="shared" si="4"/>
        <v>0</v>
      </c>
      <c r="F31" s="45">
        <f t="shared" si="4"/>
        <v>0</v>
      </c>
      <c r="G31" s="14">
        <f t="shared" si="4"/>
        <v>1.4901161193847656E-7</v>
      </c>
      <c r="H31" s="45">
        <v>0</v>
      </c>
      <c r="I31" s="45"/>
      <c r="J31" s="45"/>
    </row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>
      <c r="C60" s="2"/>
      <c r="D60" s="2"/>
      <c r="E60" s="2"/>
      <c r="F60" s="2"/>
      <c r="G60" s="2"/>
    </row>
    <row r="61" spans="3:7" hidden="1" x14ac:dyDescent="0.25"/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5" spans="7:7" x14ac:dyDescent="0.25">
      <c r="G85" s="45"/>
    </row>
    <row r="87" spans="7:7" x14ac:dyDescent="0.25">
      <c r="G87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T36" activePane="bottomRight" state="frozen"/>
      <selection pane="topRight"/>
      <selection pane="bottomLeft"/>
      <selection pane="bottomRight" activeCell="Y41" sqref="Y41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9912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202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-5875325</v>
      </c>
      <c r="F11" s="60"/>
      <c r="G11" s="38">
        <f>-4230519+2875811-1029999-798534+4230519+1029999+798534</f>
        <v>2875811</v>
      </c>
      <c r="H11" s="60"/>
      <c r="I11" s="38">
        <f>1428504+232711-130128+697</f>
        <v>1531784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3669998-53290-13960584+73708-12752</f>
        <v>-10282920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-2990128.21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-2373050-940000+5000</f>
        <v>-3308050</v>
      </c>
      <c r="X12" s="60"/>
      <c r="Y12" s="38">
        <v>317921.78999999998</v>
      </c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-7852548</v>
      </c>
      <c r="F15" s="60"/>
      <c r="G15" s="38">
        <v>-2875811</v>
      </c>
      <c r="H15" s="60"/>
      <c r="I15" s="38">
        <f>-1428504+130128-697</f>
        <v>-1299073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-3669998+53290-73708+12752</f>
        <v>-3677664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-16718001.210000001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232711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-3308050</v>
      </c>
      <c r="X16" s="61">
        <f t="shared" si="2"/>
        <v>0</v>
      </c>
      <c r="Y16" s="39">
        <f t="shared" si="2"/>
        <v>317921.78999999998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-13960584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3656085</v>
      </c>
      <c r="F19" s="60"/>
      <c r="G19" s="38">
        <f>1073093+616500-1073093-616500</f>
        <v>0</v>
      </c>
      <c r="H19" s="60"/>
      <c r="I19" s="38">
        <f>1635870+2032788-12573</f>
        <v>3656085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961031</v>
      </c>
      <c r="F20" s="60"/>
      <c r="G20" s="38"/>
      <c r="H20" s="60"/>
      <c r="I20" s="38"/>
      <c r="J20" s="60"/>
      <c r="K20" s="38"/>
      <c r="L20" s="60"/>
      <c r="M20" s="38"/>
      <c r="N20" s="60"/>
      <c r="O20" s="38">
        <v>961031</v>
      </c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4617116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3656085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961031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-1635870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>
        <v>-1635870</v>
      </c>
    </row>
    <row r="36" spans="1:33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-1635870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-2032788</v>
      </c>
      <c r="F39" s="60"/>
      <c r="G39" s="38"/>
      <c r="H39" s="60"/>
      <c r="I39" s="38">
        <v>-2032788</v>
      </c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13960584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13960584</v>
      </c>
    </row>
    <row r="41" spans="1:33" x14ac:dyDescent="0.25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-1293228-6339+1299567+-841234+-6338+841234-595282</f>
        <v>-601620</v>
      </c>
      <c r="X41" s="60"/>
      <c r="Y41" s="38">
        <f>841234+6338-841234+595282</f>
        <v>601620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13960584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-601620</v>
      </c>
      <c r="X42" s="61">
        <f t="shared" si="13"/>
        <v>0</v>
      </c>
      <c r="Y42" s="39">
        <f t="shared" si="13"/>
        <v>601620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13960584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11927796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-2032788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-601620</v>
      </c>
      <c r="X43" s="61">
        <f t="shared" si="15"/>
        <v>0</v>
      </c>
      <c r="Y43" s="39">
        <f t="shared" si="15"/>
        <v>601620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13960584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316830</v>
      </c>
      <c r="F54" s="60"/>
      <c r="G54" s="38">
        <f>31074-31074</f>
        <v>0</v>
      </c>
      <c r="H54" s="60"/>
      <c r="I54" s="38">
        <f>86908+12573+7071+10160-60127+27418</f>
        <v>84003</v>
      </c>
      <c r="J54" s="60"/>
      <c r="K54" s="38"/>
      <c r="L54" s="60"/>
      <c r="M54" s="38"/>
      <c r="N54" s="60"/>
      <c r="O54" s="38">
        <v>174016</v>
      </c>
      <c r="P54" s="60"/>
      <c r="Q54" s="38"/>
      <c r="R54" s="60"/>
      <c r="S54" s="38"/>
      <c r="T54" s="60"/>
      <c r="U54" s="38"/>
      <c r="V54" s="60"/>
      <c r="W54" s="38">
        <v>93300</v>
      </c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-7071-27418</f>
        <v>-34489</v>
      </c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49967</v>
      </c>
      <c r="F55" s="60"/>
      <c r="G55" s="38">
        <f>92857-92857</f>
        <v>0</v>
      </c>
      <c r="H55" s="60"/>
      <c r="I55" s="38">
        <f>-257840+35136+254669-10160+60127+4887</f>
        <v>86819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257840-35136-254669-4887</f>
        <v>-36852</v>
      </c>
    </row>
    <row r="56" spans="1:33" x14ac:dyDescent="0.25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366797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170822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174016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93300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-71341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10000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>
        <v>10000</v>
      </c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10000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10000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1653173.21</v>
      </c>
      <c r="F74" s="60"/>
      <c r="G74" s="38">
        <f>4230519-1073093+1029999+798534-616500-92857-31074+1402395+262608+212916-150000-100000-74400+38750+951855-317285+29550-4230519+1073093-1029999-951855-798534+616500-539538-320674+317285+92857+31074-6500</f>
        <v>755107</v>
      </c>
      <c r="H74" s="60"/>
      <c r="I74" s="38">
        <f>6978-1950+254669-254669-29550</f>
        <v>-24522</v>
      </c>
      <c r="J74" s="60"/>
      <c r="K74" s="38"/>
      <c r="L74" s="60"/>
      <c r="M74" s="38"/>
      <c r="N74" s="60"/>
      <c r="O74" s="38">
        <f>-961031-174016+162912+67798</f>
        <v>-904337</v>
      </c>
      <c r="P74" s="60"/>
      <c r="Q74" s="38">
        <v>-162912</v>
      </c>
      <c r="R74" s="60"/>
      <c r="S74" s="38"/>
      <c r="T74" s="60"/>
      <c r="U74" s="38">
        <v>0</v>
      </c>
      <c r="V74" s="60"/>
      <c r="W74" s="38">
        <f>2373050+207212</f>
        <v>2580262</v>
      </c>
      <c r="X74" s="60"/>
      <c r="Y74" s="38">
        <f>-317921.79+820000-207212-6978+1950+150000+100000+74400-38750</f>
        <v>575488.21</v>
      </c>
      <c r="Z74" s="60"/>
      <c r="AA74" s="38">
        <f>-1402395-53000</f>
        <v>-1455395</v>
      </c>
      <c r="AB74" s="60"/>
      <c r="AC74" s="38">
        <f>-67798-212916-951855+317285+951855+539538+320674-317285</f>
        <v>579498</v>
      </c>
      <c r="AD74" s="60"/>
      <c r="AE74" s="38">
        <f>-262608+53000</f>
        <v>-209608</v>
      </c>
      <c r="AF74" s="60"/>
      <c r="AG74" s="38">
        <f>-254669-86908+254669+6500</f>
        <v>-80408</v>
      </c>
    </row>
    <row r="75" spans="1:33" x14ac:dyDescent="0.25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11700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940000-820000-93300-10000-5000</f>
        <v>11700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26966</v>
      </c>
      <c r="F78" s="60"/>
      <c r="G78" s="38"/>
      <c r="H78" s="60"/>
      <c r="I78" s="38">
        <v>26966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-259677</v>
      </c>
      <c r="F81" s="60"/>
      <c r="G81" s="38"/>
      <c r="H81" s="60"/>
      <c r="I81" s="38">
        <f>-232711-26966</f>
        <v>-259677</v>
      </c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755107</v>
      </c>
      <c r="H82" s="91">
        <f>H16+H24+H29+H36+H43+H45+H47+H49</f>
        <v>0</v>
      </c>
      <c r="I82" s="92">
        <f>SUM(I72:I81)+I16+I24+I29+I36+I43+I45+I47+I49+I51+I56+I61+I66</f>
        <v>1769597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230710</v>
      </c>
      <c r="P82" s="91">
        <f>P16+P24+P29+P36+P43+P45+P47+P49</f>
        <v>0</v>
      </c>
      <c r="Q82" s="92">
        <f>SUM(Q72:Q81)+Q16+Q24+Q29+Q36+Q43+Q45+Q47+Q49+Q51+Q56+Q61+Q66</f>
        <v>-162912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-1214408</v>
      </c>
      <c r="X82" s="91">
        <f>X16+X24+X29+X36+X43+X45+X47+X49</f>
        <v>0</v>
      </c>
      <c r="Y82" s="92">
        <f>SUM(Y72:Y81)+Y16+Y24+Y29+Y36+Y43+Y45+Y47+Y49+Y51+Y56+Y61+Y66</f>
        <v>1495030</v>
      </c>
      <c r="Z82" s="91">
        <f>Z16+Z24+Z29+Z36+Z43+Z45+Z47+Z49</f>
        <v>0</v>
      </c>
      <c r="AA82" s="92">
        <f>SUM(AA72:AA81)+AA16+AA24+AA29+AA36+AA43+AA45+AA47+AA49+AA51+AA56+AA61+AA66</f>
        <v>-1455395</v>
      </c>
      <c r="AB82" s="91">
        <f>AB16+AB24+AB29+AB36+AB43+AB45+AB47+AB49</f>
        <v>0</v>
      </c>
      <c r="AC82" s="92">
        <f>SUM(AC72:AC81)+AC16+AC24+AC29+AC36+AC43+AC45+AC47+AC49+AC51+AC56+AC61+AC66</f>
        <v>579498</v>
      </c>
      <c r="AD82" s="91">
        <f>AD16+AD24+AD29+AD36+AD43+AD45+AD47+AD49</f>
        <v>0</v>
      </c>
      <c r="AE82" s="92">
        <f>SUM(AE72:AE81)+AE16+AE24+AE29+AE36+AE43+AE45+AE47+AE49+AE51+AE56+AE61+AE66</f>
        <v>-209608</v>
      </c>
      <c r="AF82" s="91">
        <f>AF16+AF24+AF29+AF36+AF43+AF45+AF47+AF49</f>
        <v>0</v>
      </c>
      <c r="AG82" s="92">
        <f>SUM(AG72:AG81)+AG16+AG24+AG29+AG36+AG43+AG45+AG47+AG49+AG51+AG56+AG61+AG66</f>
        <v>-151749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J46" activePane="bottomRight" state="frozen"/>
      <selection pane="topRight"/>
      <selection pane="bottomLeft"/>
      <selection pane="bottomRight" activeCell="S74" sqref="S74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5" style="173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7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7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2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7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9912</v>
      </c>
      <c r="B5" s="48"/>
      <c r="C5" s="5"/>
      <c r="D5" s="13"/>
      <c r="E5" s="17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7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4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202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5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6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60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60">
        <f t="shared" si="0"/>
        <v>-5008412.7200000016</v>
      </c>
      <c r="F12" s="65"/>
      <c r="G12" s="38">
        <v>3241542.65</v>
      </c>
      <c r="H12" s="65"/>
      <c r="I12" s="38">
        <v>53110.26</v>
      </c>
      <c r="J12" s="65">
        <v>0</v>
      </c>
      <c r="K12" s="38">
        <v>-7661463.1100000003</v>
      </c>
      <c r="L12" s="65"/>
      <c r="M12" s="38">
        <v>-238632.95999999999</v>
      </c>
      <c r="N12" s="65"/>
      <c r="O12" s="38">
        <v>0</v>
      </c>
      <c r="P12" s="65"/>
      <c r="Q12" s="38">
        <v>3475376.98</v>
      </c>
      <c r="R12" s="65"/>
      <c r="S12" s="38">
        <v>91147.839999999997</v>
      </c>
      <c r="T12" s="65"/>
      <c r="U12" s="38">
        <v>-6993.6</v>
      </c>
      <c r="V12" s="65"/>
      <c r="W12" s="38">
        <v>-5054848.2300000004</v>
      </c>
      <c r="X12" s="65">
        <v>0</v>
      </c>
      <c r="Y12" s="38">
        <v>-1599621.01</v>
      </c>
      <c r="Z12" s="65"/>
      <c r="AA12" s="38">
        <v>0</v>
      </c>
      <c r="AB12" s="65">
        <v>0</v>
      </c>
      <c r="AC12" s="38">
        <v>7969744.2800000003</v>
      </c>
      <c r="AD12" s="65"/>
      <c r="AE12" s="38">
        <v>-5277775.82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60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60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60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177">
        <f t="shared" si="1"/>
        <v>-5008412.7200000016</v>
      </c>
      <c r="F16" s="61">
        <f t="shared" si="1"/>
        <v>0</v>
      </c>
      <c r="G16" s="39">
        <f t="shared" si="1"/>
        <v>3241542.65</v>
      </c>
      <c r="H16" s="61">
        <f>SUM(H11:H15)</f>
        <v>0</v>
      </c>
      <c r="I16" s="39">
        <f>SUM(I11:I15)</f>
        <v>53110.26</v>
      </c>
      <c r="J16" s="61">
        <f t="shared" si="1"/>
        <v>0</v>
      </c>
      <c r="K16" s="39">
        <f t="shared" si="1"/>
        <v>-7661463.1100000003</v>
      </c>
      <c r="L16" s="61">
        <f t="shared" si="1"/>
        <v>0</v>
      </c>
      <c r="M16" s="39">
        <f t="shared" si="1"/>
        <v>-238632.95999999999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3475376.98</v>
      </c>
      <c r="R16" s="61">
        <f>SUM(R11:R15)</f>
        <v>0</v>
      </c>
      <c r="S16" s="39">
        <f>SUM(S11:S15)</f>
        <v>91147.839999999997</v>
      </c>
      <c r="T16" s="61">
        <f t="shared" si="1"/>
        <v>0</v>
      </c>
      <c r="U16" s="39">
        <f t="shared" si="1"/>
        <v>-6993.6</v>
      </c>
      <c r="V16" s="61">
        <f t="shared" si="1"/>
        <v>0</v>
      </c>
      <c r="W16" s="39">
        <f t="shared" si="1"/>
        <v>-5054848.2300000004</v>
      </c>
      <c r="X16" s="61">
        <f>SUM(X11:X15)</f>
        <v>0</v>
      </c>
      <c r="Y16" s="39">
        <f>SUM(Y11:Y15)</f>
        <v>-1599621.01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7969744.2800000003</v>
      </c>
      <c r="AD16" s="61">
        <f>SUM(AD11:AD15)</f>
        <v>0</v>
      </c>
      <c r="AE16" s="39">
        <f>SUM(AE11:AE15)</f>
        <v>-5277775.82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60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60">
        <f t="shared" si="2"/>
        <v>-5073217.379999999</v>
      </c>
      <c r="F20" s="65"/>
      <c r="G20" s="38">
        <v>534528.85</v>
      </c>
      <c r="H20" s="65"/>
      <c r="I20" s="38">
        <v>154946</v>
      </c>
      <c r="J20" s="65"/>
      <c r="K20" s="38">
        <v>3346971.85</v>
      </c>
      <c r="L20" s="65"/>
      <c r="M20" s="38">
        <v>0</v>
      </c>
      <c r="N20" s="65"/>
      <c r="O20" s="38">
        <v>0</v>
      </c>
      <c r="P20" s="65"/>
      <c r="Q20" s="38">
        <v>-1631401.01</v>
      </c>
      <c r="R20" s="65"/>
      <c r="S20" s="38">
        <v>-190939.56</v>
      </c>
      <c r="T20" s="65"/>
      <c r="U20" s="38">
        <v>0</v>
      </c>
      <c r="V20" s="65"/>
      <c r="W20" s="38">
        <v>2153447.11</v>
      </c>
      <c r="X20" s="65"/>
      <c r="Y20" s="38">
        <v>31148.62</v>
      </c>
      <c r="Z20" s="65"/>
      <c r="AA20" s="38">
        <v>0</v>
      </c>
      <c r="AB20" s="65">
        <v>0</v>
      </c>
      <c r="AC20" s="38">
        <v>-9346059.2400000002</v>
      </c>
      <c r="AD20" s="65"/>
      <c r="AE20" s="38">
        <v>0</v>
      </c>
      <c r="AF20" s="65"/>
      <c r="AG20" s="38">
        <v>-125860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60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60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60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177">
        <f t="shared" si="3"/>
        <v>-5073217.379999999</v>
      </c>
      <c r="F24" s="61">
        <f t="shared" si="3"/>
        <v>0</v>
      </c>
      <c r="G24" s="39">
        <f t="shared" si="3"/>
        <v>534528.85</v>
      </c>
      <c r="H24" s="61">
        <f>SUM(H19:H23)</f>
        <v>0</v>
      </c>
      <c r="I24" s="39">
        <f>SUM(I19:I23)</f>
        <v>154946</v>
      </c>
      <c r="J24" s="61">
        <f t="shared" si="3"/>
        <v>0</v>
      </c>
      <c r="K24" s="39">
        <f t="shared" si="3"/>
        <v>3346971.85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-1631401.01</v>
      </c>
      <c r="R24" s="61">
        <f>SUM(R19:R23)</f>
        <v>0</v>
      </c>
      <c r="S24" s="39">
        <f>SUM(S19:S23)</f>
        <v>-190939.56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2153447.11</v>
      </c>
      <c r="X24" s="61">
        <f>SUM(X19:X23)</f>
        <v>0</v>
      </c>
      <c r="Y24" s="39">
        <f>SUM(Y19:Y23)</f>
        <v>31148.62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-9346059.2400000002</v>
      </c>
      <c r="AD24" s="61">
        <f>SUM(AD19:AD23)</f>
        <v>0</v>
      </c>
      <c r="AE24" s="39">
        <f>SUM(AE19:AE23)</f>
        <v>0</v>
      </c>
      <c r="AF24" s="61">
        <f t="shared" si="3"/>
        <v>0</v>
      </c>
      <c r="AG24" s="39">
        <f t="shared" si="3"/>
        <v>-125860</v>
      </c>
    </row>
    <row r="25" spans="1:33" x14ac:dyDescent="0.25">
      <c r="A25" s="9"/>
      <c r="B25" s="7"/>
      <c r="C25" s="6"/>
      <c r="D25" s="60"/>
      <c r="E25" s="17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60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60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7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60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60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60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60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7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60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60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60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7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7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60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60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60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60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4">
        <f>G54+K54+M54+O54+Q54+U54+W54+AA54+AC54+AG54+Y54+I54+AE54+S54</f>
        <v>-2137704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-2137704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60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7">
        <f t="shared" si="10"/>
        <v>-2137704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-2137704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60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60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7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60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60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7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60">
        <f>G70+K70+M70+O70+Q70+U70+W70+AA70+AC70+AG70+Y70+I70+AE70+S70</f>
        <v>17150560.099999998</v>
      </c>
      <c r="F70" s="60"/>
      <c r="G70" s="38">
        <v>1768212</v>
      </c>
      <c r="H70" s="60"/>
      <c r="I70" s="38">
        <v>14085867</v>
      </c>
      <c r="J70" s="60"/>
      <c r="K70" s="38">
        <v>5194257.0599999996</v>
      </c>
      <c r="L70" s="60"/>
      <c r="M70" s="38">
        <v>0</v>
      </c>
      <c r="N70" s="60"/>
      <c r="O70" s="38">
        <v>0</v>
      </c>
      <c r="P70" s="60">
        <v>0</v>
      </c>
      <c r="Q70" s="38">
        <v>2053660</v>
      </c>
      <c r="R70" s="60"/>
      <c r="S70" s="38">
        <v>0</v>
      </c>
      <c r="T70" s="60"/>
      <c r="U70" s="38">
        <v>0</v>
      </c>
      <c r="V70" s="60">
        <v>0</v>
      </c>
      <c r="W70" s="38">
        <v>-739518.78</v>
      </c>
      <c r="X70" s="60">
        <v>0</v>
      </c>
      <c r="Y70" s="38">
        <v>0</v>
      </c>
      <c r="Z70" s="60">
        <v>0</v>
      </c>
      <c r="AA70" s="38">
        <f>-12529571+180732</f>
        <v>-12348839</v>
      </c>
      <c r="AB70" s="60"/>
      <c r="AC70" s="38">
        <v>708911.52</v>
      </c>
      <c r="AD70" s="60"/>
      <c r="AE70" s="38">
        <v>77884</v>
      </c>
      <c r="AF70" s="60"/>
      <c r="AG70" s="38">
        <v>6350126.2999999998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60">
        <f>G71+K71+M71+O71+Q71+U71+W71+AA71+AC71+AG71+Y71+I71+AE71+S71</f>
        <v>-35909796</v>
      </c>
      <c r="F71" s="60"/>
      <c r="G71" s="38">
        <v>2767229</v>
      </c>
      <c r="H71" s="60"/>
      <c r="I71" s="38">
        <v>-15019906</v>
      </c>
      <c r="J71" s="60"/>
      <c r="K71" s="38">
        <v>-15355188</v>
      </c>
      <c r="L71" s="60"/>
      <c r="M71" s="38">
        <v>0</v>
      </c>
      <c r="N71" s="60"/>
      <c r="O71" s="38">
        <v>0</v>
      </c>
      <c r="P71" s="60"/>
      <c r="Q71" s="38">
        <v>-1968882</v>
      </c>
      <c r="R71" s="60"/>
      <c r="S71" s="38">
        <v>0</v>
      </c>
      <c r="T71" s="60"/>
      <c r="U71" s="38">
        <v>0</v>
      </c>
      <c r="V71" s="60"/>
      <c r="W71" s="38">
        <v>1210109</v>
      </c>
      <c r="X71" s="60"/>
      <c r="Y71" s="38">
        <v>0</v>
      </c>
      <c r="Z71" s="60"/>
      <c r="AA71" s="38">
        <v>0</v>
      </c>
      <c r="AB71" s="60"/>
      <c r="AC71" s="38">
        <v>-695660</v>
      </c>
      <c r="AD71" s="60"/>
      <c r="AE71" s="38">
        <v>-17435</v>
      </c>
      <c r="AF71" s="60"/>
      <c r="AG71" s="38">
        <v>-6830063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185">
        <f t="shared" si="13"/>
        <v>-18759235.900000002</v>
      </c>
      <c r="F72" s="61">
        <f t="shared" si="13"/>
        <v>0</v>
      </c>
      <c r="G72" s="39">
        <f t="shared" si="13"/>
        <v>4535441</v>
      </c>
      <c r="H72" s="61">
        <f>SUM(H70:H71)</f>
        <v>0</v>
      </c>
      <c r="I72" s="39">
        <f>SUM(I70:I71)</f>
        <v>-934039</v>
      </c>
      <c r="J72" s="61">
        <f t="shared" si="13"/>
        <v>0</v>
      </c>
      <c r="K72" s="39">
        <f t="shared" si="13"/>
        <v>-10160930.940000001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84778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470590.22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-12348839</v>
      </c>
      <c r="AB72" s="61">
        <f t="shared" si="13"/>
        <v>0</v>
      </c>
      <c r="AC72" s="39">
        <f t="shared" si="13"/>
        <v>13251.520000000019</v>
      </c>
      <c r="AD72" s="61">
        <f>SUM(AD70:AD71)</f>
        <v>0</v>
      </c>
      <c r="AE72" s="39">
        <f>SUM(AE70:AE71)</f>
        <v>60449</v>
      </c>
      <c r="AF72" s="61">
        <f t="shared" si="13"/>
        <v>0</v>
      </c>
      <c r="AG72" s="39">
        <f t="shared" si="13"/>
        <v>-479936.70000000019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60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84">
        <f t="shared" si="15"/>
        <v>7231165.120000001</v>
      </c>
      <c r="F74" s="65"/>
      <c r="G74" s="66">
        <v>-5712299</v>
      </c>
      <c r="H74" s="65"/>
      <c r="I74" s="66">
        <v>859546</v>
      </c>
      <c r="J74" s="65"/>
      <c r="K74" s="66">
        <v>6576004</v>
      </c>
      <c r="L74" s="65"/>
      <c r="M74" s="66">
        <v>0</v>
      </c>
      <c r="N74" s="65"/>
      <c r="O74" s="66">
        <v>0</v>
      </c>
      <c r="P74" s="65"/>
      <c r="Q74" s="66">
        <v>2750148</v>
      </c>
      <c r="R74" s="65"/>
      <c r="S74" s="66">
        <v>11577</v>
      </c>
      <c r="T74" s="65"/>
      <c r="U74" s="66">
        <f>155991.12-320850+28151</f>
        <v>-136707.88</v>
      </c>
      <c r="V74" s="65"/>
      <c r="W74" s="66">
        <v>0</v>
      </c>
      <c r="X74" s="65"/>
      <c r="Y74" s="66">
        <f>-266050-1100000</f>
        <v>-1366050</v>
      </c>
      <c r="Z74" s="65"/>
      <c r="AA74" s="182">
        <v>4236092</v>
      </c>
      <c r="AB74" s="65"/>
      <c r="AC74" s="182">
        <v>1546439</v>
      </c>
      <c r="AD74" s="65"/>
      <c r="AE74" s="66">
        <v>40992</v>
      </c>
      <c r="AF74" s="65"/>
      <c r="AG74" s="182">
        <v>-1574576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4">
        <f t="shared" si="15"/>
        <v>142500</v>
      </c>
      <c r="F75" s="65"/>
      <c r="G75" s="38">
        <v>7500</v>
      </c>
      <c r="H75" s="65"/>
      <c r="I75" s="38">
        <v>0</v>
      </c>
      <c r="J75" s="65"/>
      <c r="K75" s="38">
        <v>111600</v>
      </c>
      <c r="L75" s="65"/>
      <c r="M75" s="38">
        <v>0</v>
      </c>
      <c r="N75" s="65"/>
      <c r="O75" s="38">
        <v>0</v>
      </c>
      <c r="P75" s="65"/>
      <c r="Q75" s="38">
        <v>600</v>
      </c>
      <c r="R75" s="65"/>
      <c r="S75" s="38"/>
      <c r="T75" s="65"/>
      <c r="U75" s="38"/>
      <c r="V75" s="65"/>
      <c r="W75" s="38">
        <v>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22800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84">
        <f t="shared" si="15"/>
        <v>-17138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-17138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4">
        <f t="shared" si="15"/>
        <v>-3933809</v>
      </c>
      <c r="F77" s="65"/>
      <c r="G77" s="38"/>
      <c r="H77" s="65"/>
      <c r="I77" s="38"/>
      <c r="J77" s="65"/>
      <c r="K77" s="38">
        <v>-3933809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60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60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60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60">
        <f t="shared" si="1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9">
        <f>SUM(E72:E81)+E16+E24+E29+E36+E43+E45+E47+E49+E51+E56+E61+E66</f>
        <v>-27555851.880000003</v>
      </c>
      <c r="F82" s="91">
        <f>F16+F24+F29+F36+F43+F45+F47+F49</f>
        <v>0</v>
      </c>
      <c r="G82" s="92">
        <f>SUM(G72:G81)+G16+G24+G29+G36+G43+G45+G47+G49+G51+G56+G61+G66</f>
        <v>2606713.5</v>
      </c>
      <c r="H82" s="91">
        <f>H16+H24+H29+H36+H43+H45+H47+H49</f>
        <v>0</v>
      </c>
      <c r="I82" s="92">
        <f>SUM(I72:I81)+I16+I24+I29+I36+I43+I45+I47+I49+I51+I56+I61+I66</f>
        <v>133563.26</v>
      </c>
      <c r="J82" s="91">
        <f>J16+J24+J29+J36+J43+J45+J47+J49</f>
        <v>0</v>
      </c>
      <c r="K82" s="92">
        <f>SUM(K72:K81)+K16+K24+K29+K36+K43+K45+K47+K49+K51+K56+K61+K66</f>
        <v>-11721627.200000001</v>
      </c>
      <c r="L82" s="91">
        <f>L16+L24+L29+L36+L43+L45+L47+L49</f>
        <v>0</v>
      </c>
      <c r="M82" s="92">
        <f>SUM(M72:M81)+M16+M24+M29+M36+M43+M45+M47+M49+M51+M56+M61+M66</f>
        <v>-238632.95999999999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4679501.9700000007</v>
      </c>
      <c r="R82" s="91">
        <f>R16+R24+R29+R36+R43+R45+R47+R49</f>
        <v>0</v>
      </c>
      <c r="S82" s="92">
        <f>SUM(S72:S81)+S16+S24+S29+S36+S43+S45+S47+S49+S51+S56+S61+S66</f>
        <v>-88214.720000000001</v>
      </c>
      <c r="T82" s="91">
        <f>T16+T24+T29+T36+T43+T45+T47+T49</f>
        <v>0</v>
      </c>
      <c r="U82" s="92">
        <f>SUM(U72:U81)+U16+U24+U29+U36+U43+U45+U47+U49+U51+U56+U61+U66</f>
        <v>-143701.48000000001</v>
      </c>
      <c r="V82" s="91">
        <f>V16+V24+V29+V36+V43+V45+V47+V49</f>
        <v>0</v>
      </c>
      <c r="W82" s="92">
        <f>SUM(W72:W81)+W16+W24+W29+W36+W43+W45+W47+W49+W51+W56+W61+W66</f>
        <v>-2430810.9000000008</v>
      </c>
      <c r="X82" s="91">
        <f>X16+X24+X29+X36+X43+X45+X47+X49</f>
        <v>0</v>
      </c>
      <c r="Y82" s="92">
        <f>SUM(Y72:Y81)+Y16+Y24+Y29+Y36+Y43+Y45+Y47+Y49+Y51+Y56+Y61+Y66</f>
        <v>-5072226.3899999997</v>
      </c>
      <c r="Z82" s="91">
        <f>Z16+Z24+Z29+Z36+Z43+Z45+Z47+Z49</f>
        <v>0</v>
      </c>
      <c r="AA82" s="92">
        <f>SUM(AA72:AA81)+AA16+AA24+AA29+AA36+AA43+AA45+AA47+AA49+AA51+AA56+AA61+AA66</f>
        <v>-8129885</v>
      </c>
      <c r="AB82" s="91">
        <f>AB16+AB24+AB29+AB36+AB43+AB45+AB47+AB49</f>
        <v>0</v>
      </c>
      <c r="AC82" s="92">
        <f>SUM(AC72:AC81)+AC16+AC24+AC29+AC36+AC43+AC45+AC47+AC49+AC51+AC56+AC61+AC66</f>
        <v>183375.56000000052</v>
      </c>
      <c r="AD82" s="91">
        <f>AD16+AD24+AD29+AD36+AD43+AD45+AD47+AD49</f>
        <v>0</v>
      </c>
      <c r="AE82" s="92">
        <f>SUM(AE72:AE81)+AE16+AE24+AE29+AE36+AE43+AE45+AE47+AE49+AE51+AE56+AE61+AE66</f>
        <v>-5176334.82</v>
      </c>
      <c r="AF82" s="91">
        <f>AF16+AF24+AF29+AF36+AF43+AF45+AF47+AF49</f>
        <v>0</v>
      </c>
      <c r="AG82" s="92">
        <f>SUM(AG72:AG81)+AG16+AG24+AG29+AG36+AG43+AG45+AG47+AG49+AG51+AG56+AG61+AG66</f>
        <v>-2157572.7000000002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6"/>
      <c r="C86" s="10" t="s">
        <v>166</v>
      </c>
      <c r="D86" s="60">
        <f t="shared" ref="D86:E88" si="16">F86+J86+L86+N86+P86+T86+V86+Z86+AB86+AF86+X86+H86+AD86+R86</f>
        <v>0</v>
      </c>
      <c r="E86" s="184">
        <f t="shared" si="16"/>
        <v>-126256</v>
      </c>
      <c r="F86" s="147"/>
      <c r="G86" s="147">
        <v>0</v>
      </c>
      <c r="H86" s="147"/>
      <c r="I86" s="147">
        <v>0</v>
      </c>
      <c r="J86" s="147"/>
      <c r="K86" s="147">
        <v>-239538</v>
      </c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>
        <v>0</v>
      </c>
      <c r="X86" s="147"/>
      <c r="Y86" s="147">
        <v>-153691</v>
      </c>
      <c r="Z86" s="147"/>
      <c r="AA86" s="147"/>
      <c r="AB86" s="147"/>
      <c r="AC86" s="147">
        <v>266973</v>
      </c>
      <c r="AD86" s="147"/>
      <c r="AE86" s="147"/>
      <c r="AF86" s="147"/>
      <c r="AG86" s="147"/>
    </row>
    <row r="87" spans="1:34" s="3" customFormat="1" x14ac:dyDescent="0.25">
      <c r="A87" s="146"/>
      <c r="C87" s="10" t="s">
        <v>71</v>
      </c>
      <c r="D87" s="60">
        <f t="shared" si="16"/>
        <v>0</v>
      </c>
      <c r="E87" s="60">
        <f t="shared" si="16"/>
        <v>10836263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437202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11054860</v>
      </c>
      <c r="Z87" s="148">
        <f>AB87+AF87+AH87+AJ87+AL87+AN87+AP87+AR87+AT87+AV87</f>
        <v>0</v>
      </c>
      <c r="AA87" s="148"/>
      <c r="AB87" s="148"/>
      <c r="AC87" s="148">
        <v>-655799</v>
      </c>
      <c r="AD87" s="148"/>
      <c r="AE87" s="148"/>
      <c r="AF87" s="148"/>
      <c r="AG87" s="148"/>
    </row>
    <row r="88" spans="1:34" s="3" customFormat="1" x14ac:dyDescent="0.25">
      <c r="A88" s="146"/>
      <c r="C88" s="10" t="s">
        <v>72</v>
      </c>
      <c r="D88" s="60">
        <f t="shared" si="16"/>
        <v>0</v>
      </c>
      <c r="E88" s="184">
        <f t="shared" si="16"/>
        <v>-1856132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-1845500</v>
      </c>
      <c r="Z88" s="149">
        <f>AB88+AF88+AH88+AJ88+AL88+AN88+AP88+AR88+AT88+AV88</f>
        <v>0</v>
      </c>
      <c r="AA88" s="149"/>
      <c r="AB88" s="149"/>
      <c r="AC88" s="149">
        <v>-10632</v>
      </c>
      <c r="AD88" s="149"/>
      <c r="AE88" s="149"/>
      <c r="AF88" s="149"/>
      <c r="AG88" s="149"/>
    </row>
    <row r="89" spans="1:34" s="129" customFormat="1" ht="20.25" customHeight="1" x14ac:dyDescent="0.25">
      <c r="A89" s="160"/>
      <c r="B89" s="161"/>
      <c r="C89" s="163" t="s">
        <v>174</v>
      </c>
      <c r="D89" s="162">
        <f>SUM(D86:D88)</f>
        <v>0</v>
      </c>
      <c r="E89" s="180">
        <f t="shared" ref="E89:O89" si="17">SUM(E86:E88)</f>
        <v>8853875</v>
      </c>
      <c r="F89" s="162">
        <f t="shared" si="17"/>
        <v>0</v>
      </c>
      <c r="G89" s="162">
        <f t="shared" si="17"/>
        <v>0</v>
      </c>
      <c r="H89" s="162">
        <f>SUM(H86:H88)</f>
        <v>0</v>
      </c>
      <c r="I89" s="162">
        <f>SUM(I86:I88)</f>
        <v>0</v>
      </c>
      <c r="J89" s="162">
        <f t="shared" si="17"/>
        <v>0</v>
      </c>
      <c r="K89" s="162">
        <f t="shared" si="17"/>
        <v>197664</v>
      </c>
      <c r="L89" s="162">
        <f t="shared" si="17"/>
        <v>0</v>
      </c>
      <c r="M89" s="162">
        <f t="shared" si="17"/>
        <v>0</v>
      </c>
      <c r="N89" s="162">
        <f t="shared" si="17"/>
        <v>0</v>
      </c>
      <c r="O89" s="162">
        <f t="shared" si="17"/>
        <v>0</v>
      </c>
      <c r="P89" s="162">
        <f t="shared" ref="P89:AG89" si="18">SUM(P86:P88)</f>
        <v>0</v>
      </c>
      <c r="Q89" s="162">
        <f t="shared" si="18"/>
        <v>0</v>
      </c>
      <c r="R89" s="162">
        <f>SUM(R86:R88)</f>
        <v>0</v>
      </c>
      <c r="S89" s="162">
        <f>SUM(S86:S88)</f>
        <v>0</v>
      </c>
      <c r="T89" s="162">
        <f t="shared" si="18"/>
        <v>0</v>
      </c>
      <c r="U89" s="162">
        <f t="shared" si="18"/>
        <v>0</v>
      </c>
      <c r="V89" s="162">
        <f t="shared" si="18"/>
        <v>0</v>
      </c>
      <c r="W89" s="162">
        <f t="shared" si="18"/>
        <v>0</v>
      </c>
      <c r="X89" s="162">
        <f>SUM(X86:X88)</f>
        <v>0</v>
      </c>
      <c r="Y89" s="162">
        <f>SUM(Y86:Y88)</f>
        <v>9055669</v>
      </c>
      <c r="Z89" s="162">
        <f t="shared" si="18"/>
        <v>0</v>
      </c>
      <c r="AA89" s="162">
        <f t="shared" si="18"/>
        <v>0</v>
      </c>
      <c r="AB89" s="162">
        <f t="shared" si="18"/>
        <v>0</v>
      </c>
      <c r="AC89" s="162">
        <f t="shared" si="18"/>
        <v>-399458</v>
      </c>
      <c r="AD89" s="162">
        <f>SUM(AD86:AD88)</f>
        <v>0</v>
      </c>
      <c r="AE89" s="162">
        <f>SUM(AE86:AE88)</f>
        <v>0</v>
      </c>
      <c r="AF89" s="162">
        <f t="shared" si="18"/>
        <v>0</v>
      </c>
      <c r="AG89" s="162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9" customFormat="1" ht="20.25" customHeight="1" x14ac:dyDescent="0.25">
      <c r="A91" s="160"/>
      <c r="B91" s="161"/>
      <c r="C91" s="159" t="s">
        <v>175</v>
      </c>
      <c r="D91" s="162">
        <f>+D82+D89</f>
        <v>0</v>
      </c>
      <c r="E91" s="180">
        <f t="shared" ref="E91:O91" si="19">+E82+E89</f>
        <v>-18701976.880000003</v>
      </c>
      <c r="F91" s="162">
        <f t="shared" si="19"/>
        <v>0</v>
      </c>
      <c r="G91" s="162">
        <f t="shared" si="19"/>
        <v>2606713.5</v>
      </c>
      <c r="H91" s="162">
        <f>+H82+H89</f>
        <v>0</v>
      </c>
      <c r="I91" s="162">
        <f>+I82+I89</f>
        <v>133563.26</v>
      </c>
      <c r="J91" s="162">
        <f t="shared" si="19"/>
        <v>0</v>
      </c>
      <c r="K91" s="162">
        <f t="shared" si="19"/>
        <v>-11523963.200000001</v>
      </c>
      <c r="L91" s="162">
        <f t="shared" si="19"/>
        <v>0</v>
      </c>
      <c r="M91" s="162">
        <f t="shared" si="19"/>
        <v>-238632.95999999999</v>
      </c>
      <c r="N91" s="162">
        <f t="shared" si="19"/>
        <v>0</v>
      </c>
      <c r="O91" s="162">
        <f t="shared" si="19"/>
        <v>0</v>
      </c>
      <c r="P91" s="162">
        <f t="shared" ref="P91:AG91" si="20">+P82+P89</f>
        <v>0</v>
      </c>
      <c r="Q91" s="162">
        <f t="shared" si="20"/>
        <v>4679501.9700000007</v>
      </c>
      <c r="R91" s="162">
        <f>+R82+R89</f>
        <v>0</v>
      </c>
      <c r="S91" s="162">
        <f>+S82+S89</f>
        <v>-88214.720000000001</v>
      </c>
      <c r="T91" s="162">
        <f t="shared" si="20"/>
        <v>0</v>
      </c>
      <c r="U91" s="162">
        <f t="shared" si="20"/>
        <v>-143701.48000000001</v>
      </c>
      <c r="V91" s="162">
        <f t="shared" si="20"/>
        <v>0</v>
      </c>
      <c r="W91" s="162">
        <f t="shared" si="20"/>
        <v>-2430810.9000000008</v>
      </c>
      <c r="X91" s="162">
        <f>+X82+X89</f>
        <v>0</v>
      </c>
      <c r="Y91" s="162">
        <f>+Y82+Y89</f>
        <v>3983442.6100000003</v>
      </c>
      <c r="Z91" s="162">
        <f t="shared" si="20"/>
        <v>0</v>
      </c>
      <c r="AA91" s="162">
        <f t="shared" si="20"/>
        <v>-8129885</v>
      </c>
      <c r="AB91" s="162">
        <f t="shared" si="20"/>
        <v>0</v>
      </c>
      <c r="AC91" s="162">
        <f t="shared" si="20"/>
        <v>-216082.43999999948</v>
      </c>
      <c r="AD91" s="162">
        <f>+AD82+AD89</f>
        <v>0</v>
      </c>
      <c r="AE91" s="162">
        <f>+AE82+AE89</f>
        <v>-5176334.82</v>
      </c>
      <c r="AF91" s="162">
        <f t="shared" si="20"/>
        <v>0</v>
      </c>
      <c r="AG91" s="162">
        <f t="shared" si="20"/>
        <v>-2157572.7000000002</v>
      </c>
    </row>
    <row r="92" spans="1:34" x14ac:dyDescent="0.25">
      <c r="A92" s="4"/>
      <c r="B92" s="3"/>
      <c r="D92" s="31">
        <v>0</v>
      </c>
      <c r="E92" s="173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3">
        <f>+E74+E12+E20</f>
        <v>-2850464.9799999995</v>
      </c>
      <c r="G94" s="165">
        <f>+G12+G20+G74</f>
        <v>-1936227.5</v>
      </c>
      <c r="I94" s="165">
        <f>+I12+I20+I74</f>
        <v>1067602.26</v>
      </c>
      <c r="K94" s="165">
        <f>+K12+K20+K74</f>
        <v>2261512.7400000002</v>
      </c>
      <c r="M94" s="165">
        <f>+M12+M20+M74</f>
        <v>-238632.95999999999</v>
      </c>
      <c r="O94" s="165">
        <f>+O12+O20+O74</f>
        <v>0</v>
      </c>
      <c r="Q94" s="165">
        <f>+Q12+Q20+Q74</f>
        <v>4594123.97</v>
      </c>
      <c r="S94" s="165">
        <f>+S12+S20+S74</f>
        <v>-88214.720000000001</v>
      </c>
      <c r="U94" s="165">
        <f>+U12+U20+U74</f>
        <v>-143701.48000000001</v>
      </c>
      <c r="W94" s="165">
        <f>+W12+W20+W74</f>
        <v>-2901401.1200000006</v>
      </c>
      <c r="Y94" s="165">
        <f>+Y12+Y20+Y74</f>
        <v>-2934522.3899999997</v>
      </c>
      <c r="AA94" s="165">
        <f>+AA12+AA20+AA74</f>
        <v>4236092</v>
      </c>
      <c r="AC94" s="165">
        <f>+AC12+AC20+AC74</f>
        <v>170124.04000000004</v>
      </c>
      <c r="AE94" s="165">
        <f>+AE12+AE20+AE74</f>
        <v>-5236783.82</v>
      </c>
      <c r="AG94" s="165">
        <f>+AG12+AG20+AG74</f>
        <v>-1700436</v>
      </c>
    </row>
    <row r="95" spans="1:34" x14ac:dyDescent="0.25">
      <c r="A95" s="4"/>
      <c r="B95" s="3"/>
      <c r="E95" s="173">
        <v>-2850466</v>
      </c>
    </row>
    <row r="96" spans="1:34" x14ac:dyDescent="0.25">
      <c r="A96" s="4"/>
      <c r="B96" s="3"/>
      <c r="E96" s="173">
        <f>+E94-E95</f>
        <v>1.0200000004842877</v>
      </c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8">
        <v>75372445</v>
      </c>
      <c r="E11" s="148">
        <v>171024496</v>
      </c>
      <c r="F11" s="60">
        <f>H11-D11</f>
        <v>0</v>
      </c>
      <c r="G11" s="37">
        <f>I11-E11</f>
        <v>0</v>
      </c>
      <c r="H11" s="65">
        <f t="shared" ref="H11:I15" si="0">D11</f>
        <v>75372445</v>
      </c>
      <c r="I11" s="66">
        <f t="shared" si="0"/>
        <v>171024496</v>
      </c>
      <c r="J11" s="37"/>
      <c r="K11" s="38"/>
      <c r="L11" s="60">
        <f t="shared" ref="L11:M15" si="1">H11+J11</f>
        <v>75372445</v>
      </c>
      <c r="M11" s="38">
        <f t="shared" si="1"/>
        <v>171024496</v>
      </c>
    </row>
    <row r="12" spans="1:26" x14ac:dyDescent="0.25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8">
        <v>32366719</v>
      </c>
      <c r="E13" s="148">
        <v>72950314</v>
      </c>
      <c r="F13" s="60">
        <f t="shared" si="2"/>
        <v>0</v>
      </c>
      <c r="G13" s="37">
        <f t="shared" si="2"/>
        <v>0</v>
      </c>
      <c r="H13" s="65">
        <f t="shared" si="0"/>
        <v>32366719</v>
      </c>
      <c r="I13" s="66">
        <f t="shared" si="0"/>
        <v>72950314</v>
      </c>
      <c r="J13" s="37"/>
      <c r="K13" s="38"/>
      <c r="L13" s="60">
        <f t="shared" si="1"/>
        <v>32366719</v>
      </c>
      <c r="M13" s="38">
        <f t="shared" si="1"/>
        <v>72950314</v>
      </c>
    </row>
    <row r="14" spans="1:26" x14ac:dyDescent="0.25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8">
        <v>107739164</v>
      </c>
      <c r="E16" s="168">
        <v>243974810</v>
      </c>
      <c r="F16" s="61">
        <f t="shared" ref="F16:M16" si="3">SUM(F11:F15)</f>
        <v>0</v>
      </c>
      <c r="G16" s="39">
        <f t="shared" si="3"/>
        <v>0</v>
      </c>
      <c r="H16" s="61">
        <f>SUM(H11:H15)</f>
        <v>107739164</v>
      </c>
      <c r="I16" s="39">
        <f>SUM(I11:I15)</f>
        <v>243974810</v>
      </c>
      <c r="J16" s="135">
        <f t="shared" si="3"/>
        <v>0</v>
      </c>
      <c r="K16" s="39">
        <f t="shared" si="3"/>
        <v>0</v>
      </c>
      <c r="L16" s="61">
        <f t="shared" si="3"/>
        <v>107739164</v>
      </c>
      <c r="M16" s="39">
        <f t="shared" si="3"/>
        <v>243974810</v>
      </c>
    </row>
    <row r="17" spans="1:13" x14ac:dyDescent="0.25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8">
        <v>-82278061</v>
      </c>
      <c r="E19" s="148">
        <v>-183435098</v>
      </c>
      <c r="F19" s="60">
        <f>H19-D19</f>
        <v>0</v>
      </c>
      <c r="G19" s="37">
        <f>I19-E19</f>
        <v>0</v>
      </c>
      <c r="H19" s="65">
        <f t="shared" si="4"/>
        <v>-82278061</v>
      </c>
      <c r="I19" s="66">
        <f t="shared" si="4"/>
        <v>-183435098</v>
      </c>
      <c r="J19" s="37">
        <v>0</v>
      </c>
      <c r="K19" s="38">
        <v>0</v>
      </c>
      <c r="L19" s="60">
        <f t="shared" ref="L19:M23" si="5">H19+J19</f>
        <v>-82278061</v>
      </c>
      <c r="M19" s="38">
        <f t="shared" si="5"/>
        <v>-183435098</v>
      </c>
    </row>
    <row r="20" spans="1:13" x14ac:dyDescent="0.25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8">
        <v>-27633671</v>
      </c>
      <c r="E21" s="148">
        <v>-64228073.979999997</v>
      </c>
      <c r="F21" s="60">
        <f t="shared" si="6"/>
        <v>0</v>
      </c>
      <c r="G21" s="37">
        <f t="shared" si="6"/>
        <v>0</v>
      </c>
      <c r="H21" s="65">
        <f t="shared" si="4"/>
        <v>-27633671</v>
      </c>
      <c r="I21" s="66">
        <f t="shared" si="4"/>
        <v>-64228073.979999997</v>
      </c>
      <c r="J21" s="37"/>
      <c r="K21" s="38"/>
      <c r="L21" s="60">
        <f t="shared" si="5"/>
        <v>-27633671</v>
      </c>
      <c r="M21" s="38">
        <f t="shared" si="5"/>
        <v>-64228073.979999997</v>
      </c>
    </row>
    <row r="22" spans="1:13" x14ac:dyDescent="0.25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8">
        <v>246736</v>
      </c>
      <c r="E23" s="148">
        <v>556223</v>
      </c>
      <c r="F23" s="60">
        <f t="shared" si="6"/>
        <v>0</v>
      </c>
      <c r="G23" s="37">
        <f t="shared" si="6"/>
        <v>0</v>
      </c>
      <c r="H23" s="65">
        <f t="shared" si="4"/>
        <v>246736</v>
      </c>
      <c r="I23" s="66">
        <f t="shared" si="4"/>
        <v>556223</v>
      </c>
      <c r="J23" s="37"/>
      <c r="K23" s="38"/>
      <c r="L23" s="60">
        <f t="shared" si="5"/>
        <v>246736</v>
      </c>
      <c r="M23" s="38">
        <f t="shared" si="5"/>
        <v>556223</v>
      </c>
    </row>
    <row r="24" spans="1:13" x14ac:dyDescent="0.25">
      <c r="A24" s="9"/>
      <c r="B24" s="7" t="s">
        <v>33</v>
      </c>
      <c r="C24" s="6"/>
      <c r="D24" s="168">
        <v>-109664996</v>
      </c>
      <c r="E24" s="168">
        <v>-247106948.97999999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-109664996</v>
      </c>
      <c r="I24" s="39">
        <f>SUM(I19:I23)</f>
        <v>-247106948.97999999</v>
      </c>
      <c r="J24" s="135">
        <f t="shared" si="7"/>
        <v>0</v>
      </c>
      <c r="K24" s="39">
        <f t="shared" si="7"/>
        <v>0</v>
      </c>
      <c r="L24" s="61">
        <f t="shared" si="7"/>
        <v>-109664996</v>
      </c>
      <c r="M24" s="39">
        <f t="shared" si="7"/>
        <v>-247106948.97999999</v>
      </c>
    </row>
    <row r="25" spans="1:13" x14ac:dyDescent="0.25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8">
        <v>248</v>
      </c>
      <c r="E32" s="148">
        <v>10</v>
      </c>
      <c r="F32" s="60">
        <f>H32-D32</f>
        <v>0</v>
      </c>
      <c r="G32" s="37">
        <f>I32-E32</f>
        <v>0</v>
      </c>
      <c r="H32" s="65">
        <f t="shared" ref="H32:I35" si="9">D32</f>
        <v>248</v>
      </c>
      <c r="I32" s="66">
        <f t="shared" si="9"/>
        <v>10</v>
      </c>
      <c r="J32" s="37"/>
      <c r="K32" s="38"/>
      <c r="L32" s="60">
        <f t="shared" ref="L32:M35" si="10">H32+J32</f>
        <v>248</v>
      </c>
      <c r="M32" s="38">
        <f t="shared" si="10"/>
        <v>10</v>
      </c>
    </row>
    <row r="33" spans="1:13" x14ac:dyDescent="0.25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8">
        <v>2377169</v>
      </c>
      <c r="E35" s="148">
        <v>4895115</v>
      </c>
      <c r="F35" s="60">
        <f t="shared" si="11"/>
        <v>0</v>
      </c>
      <c r="G35" s="37">
        <f t="shared" si="11"/>
        <v>0</v>
      </c>
      <c r="H35" s="65">
        <f t="shared" si="9"/>
        <v>2377169</v>
      </c>
      <c r="I35" s="66">
        <f t="shared" si="9"/>
        <v>4895115</v>
      </c>
      <c r="J35" s="37">
        <v>0</v>
      </c>
      <c r="K35" s="38">
        <v>0</v>
      </c>
      <c r="L35" s="60">
        <f t="shared" si="10"/>
        <v>2377169</v>
      </c>
      <c r="M35" s="38">
        <f t="shared" si="10"/>
        <v>4895115</v>
      </c>
    </row>
    <row r="36" spans="1:13" x14ac:dyDescent="0.25">
      <c r="A36" s="9"/>
      <c r="B36" s="7" t="s">
        <v>43</v>
      </c>
      <c r="C36" s="6"/>
      <c r="D36" s="168">
        <v>2377417</v>
      </c>
      <c r="E36" s="168">
        <v>4895125</v>
      </c>
      <c r="F36" s="61">
        <f>SUM(F32:F35)</f>
        <v>0</v>
      </c>
      <c r="G36" s="39">
        <f>SUM(G32:G35)</f>
        <v>0</v>
      </c>
      <c r="H36" s="61">
        <f>SUM(H32:H35)</f>
        <v>2377417</v>
      </c>
      <c r="I36" s="39">
        <f>SUM(I32:I35)</f>
        <v>4895125</v>
      </c>
      <c r="J36" s="135">
        <f>SUM(J32:J34)</f>
        <v>0</v>
      </c>
      <c r="K36" s="39">
        <f>SUM(K32:K34)</f>
        <v>0</v>
      </c>
      <c r="L36" s="61">
        <f>SUM(L32:L35)</f>
        <v>2377417</v>
      </c>
      <c r="M36" s="39">
        <f>SUM(M32:M35)</f>
        <v>4895125</v>
      </c>
    </row>
    <row r="37" spans="1:13" x14ac:dyDescent="0.25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8">
        <v>-299343</v>
      </c>
      <c r="E40" s="148">
        <v>-615150</v>
      </c>
      <c r="F40" s="60">
        <f t="shared" si="13"/>
        <v>0</v>
      </c>
      <c r="G40" s="37">
        <f t="shared" si="13"/>
        <v>0</v>
      </c>
      <c r="H40" s="65">
        <f t="shared" si="12"/>
        <v>-299343</v>
      </c>
      <c r="I40" s="66">
        <f t="shared" si="12"/>
        <v>-615150</v>
      </c>
      <c r="J40" s="37"/>
      <c r="K40" s="38"/>
      <c r="L40" s="60">
        <f t="shared" si="14"/>
        <v>-299343</v>
      </c>
      <c r="M40" s="38">
        <f t="shared" si="14"/>
        <v>-615150</v>
      </c>
    </row>
    <row r="41" spans="1:13" x14ac:dyDescent="0.25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8">
        <v>-299343</v>
      </c>
      <c r="E42" s="168">
        <v>-615150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-299343</v>
      </c>
      <c r="I42" s="39">
        <f>SUM(I40:I41)</f>
        <v>-615150</v>
      </c>
      <c r="J42" s="135">
        <f t="shared" si="15"/>
        <v>0</v>
      </c>
      <c r="K42" s="39">
        <f t="shared" si="15"/>
        <v>0</v>
      </c>
      <c r="L42" s="61">
        <f t="shared" si="15"/>
        <v>-299343</v>
      </c>
      <c r="M42" s="39">
        <f t="shared" si="15"/>
        <v>-615150</v>
      </c>
    </row>
    <row r="43" spans="1:13" ht="21" customHeight="1" x14ac:dyDescent="0.25">
      <c r="A43" s="9"/>
      <c r="B43" s="7" t="s">
        <v>49</v>
      </c>
      <c r="C43" s="6"/>
      <c r="D43" s="168">
        <v>-299343</v>
      </c>
      <c r="E43" s="168">
        <v>-615150</v>
      </c>
      <c r="F43" s="61">
        <f t="shared" ref="F43:M43" si="16">F42+F39</f>
        <v>0</v>
      </c>
      <c r="G43" s="39">
        <f t="shared" si="16"/>
        <v>0</v>
      </c>
      <c r="H43" s="61">
        <f>H42+H39</f>
        <v>-299343</v>
      </c>
      <c r="I43" s="39">
        <f>I42+I39</f>
        <v>-615150</v>
      </c>
      <c r="J43" s="135">
        <f t="shared" si="16"/>
        <v>0</v>
      </c>
      <c r="K43" s="39">
        <f t="shared" si="16"/>
        <v>0</v>
      </c>
      <c r="L43" s="61">
        <f t="shared" si="16"/>
        <v>-299343</v>
      </c>
      <c r="M43" s="39">
        <f t="shared" si="16"/>
        <v>-615150</v>
      </c>
    </row>
    <row r="44" spans="1:13" x14ac:dyDescent="0.25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8">
        <v>-152242</v>
      </c>
      <c r="E49" s="148">
        <v>-324732.18599999999</v>
      </c>
      <c r="F49" s="60">
        <f>H49-D49</f>
        <v>0</v>
      </c>
      <c r="G49" s="37">
        <f>I49-E49</f>
        <v>0</v>
      </c>
      <c r="H49" s="65">
        <f>D49</f>
        <v>-152242</v>
      </c>
      <c r="I49" s="66">
        <f>E49</f>
        <v>-324732.18599999999</v>
      </c>
      <c r="J49" s="37"/>
      <c r="K49" s="38"/>
      <c r="L49" s="60">
        <f>H49+J49</f>
        <v>-152242</v>
      </c>
      <c r="M49" s="38">
        <f>I49+K49</f>
        <v>-324732.18599999999</v>
      </c>
    </row>
    <row r="50" spans="1:15" x14ac:dyDescent="0.25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8">
        <v>-246736</v>
      </c>
      <c r="E51" s="148">
        <v>-556223</v>
      </c>
      <c r="F51" s="60">
        <f>H51-D51</f>
        <v>0</v>
      </c>
      <c r="G51" s="37">
        <f>I51-E51</f>
        <v>0</v>
      </c>
      <c r="H51" s="65">
        <f>D51</f>
        <v>-246736</v>
      </c>
      <c r="I51" s="66">
        <f>E51</f>
        <v>-556223</v>
      </c>
      <c r="J51" s="37"/>
      <c r="K51" s="38"/>
      <c r="L51" s="60">
        <f>H51+J51</f>
        <v>-246736</v>
      </c>
      <c r="M51" s="38">
        <f>I51+K51</f>
        <v>-556223</v>
      </c>
    </row>
    <row r="52" spans="1:15" x14ac:dyDescent="0.25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8">
        <v>0</v>
      </c>
      <c r="E54" s="148">
        <v>-64099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-64099</v>
      </c>
      <c r="J54" s="37"/>
      <c r="K54" s="38"/>
      <c r="L54" s="60">
        <f>H54+J54</f>
        <v>0</v>
      </c>
      <c r="M54" s="38">
        <f>I54+K54</f>
        <v>-64099</v>
      </c>
    </row>
    <row r="55" spans="1:15" x14ac:dyDescent="0.25">
      <c r="A55" s="9">
        <v>25</v>
      </c>
      <c r="B55" s="7"/>
      <c r="C55" s="18" t="s">
        <v>56</v>
      </c>
      <c r="D55" s="148">
        <v>0</v>
      </c>
      <c r="E55" s="148">
        <v>-2009563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-2009563</v>
      </c>
      <c r="J55" s="37"/>
      <c r="K55" s="38"/>
      <c r="L55" s="60">
        <f>H55+J55</f>
        <v>0</v>
      </c>
      <c r="M55" s="38">
        <f>I55+K55</f>
        <v>-2009563</v>
      </c>
    </row>
    <row r="56" spans="1:15" x14ac:dyDescent="0.25">
      <c r="A56" s="9"/>
      <c r="B56" s="7" t="s">
        <v>57</v>
      </c>
      <c r="C56" s="6"/>
      <c r="D56" s="168">
        <v>0</v>
      </c>
      <c r="E56" s="168">
        <v>-2073662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-2073662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-2073662</v>
      </c>
    </row>
    <row r="57" spans="1:15" x14ac:dyDescent="0.25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8">
        <v>0</v>
      </c>
      <c r="E70" s="148">
        <v>1768212.0425999996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1768212.0425999996</v>
      </c>
      <c r="J70" s="37"/>
      <c r="K70" s="38"/>
      <c r="L70" s="60">
        <f t="shared" si="20"/>
        <v>0</v>
      </c>
      <c r="M70" s="38">
        <f t="shared" si="20"/>
        <v>1768212.0425999996</v>
      </c>
    </row>
    <row r="71" spans="1:13" x14ac:dyDescent="0.25">
      <c r="A71" s="9">
        <v>31</v>
      </c>
      <c r="B71" s="3"/>
      <c r="C71" s="10" t="s">
        <v>68</v>
      </c>
      <c r="D71" s="148">
        <v>0</v>
      </c>
      <c r="E71" s="148">
        <v>2767229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2767229</v>
      </c>
      <c r="J71" s="37"/>
      <c r="K71" s="38"/>
      <c r="L71" s="60">
        <f t="shared" si="20"/>
        <v>0</v>
      </c>
      <c r="M71" s="38">
        <f t="shared" si="20"/>
        <v>2767229</v>
      </c>
    </row>
    <row r="72" spans="1:13" x14ac:dyDescent="0.25">
      <c r="A72" s="9"/>
      <c r="B72" s="3"/>
      <c r="C72" s="55" t="s">
        <v>69</v>
      </c>
      <c r="D72" s="168">
        <v>0</v>
      </c>
      <c r="E72" s="168">
        <v>4535441.0425999993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4535441.0425999993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4535441.0425999993</v>
      </c>
    </row>
    <row r="73" spans="1:13" x14ac:dyDescent="0.25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8">
        <v>0</v>
      </c>
      <c r="E74" s="148">
        <v>-4350605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-4350605</v>
      </c>
      <c r="J74" s="37"/>
      <c r="K74" s="38"/>
      <c r="L74" s="60">
        <f t="shared" si="24"/>
        <v>0</v>
      </c>
      <c r="M74" s="38">
        <f t="shared" si="24"/>
        <v>-4350605</v>
      </c>
    </row>
    <row r="75" spans="1:13" x14ac:dyDescent="0.25">
      <c r="A75" s="9">
        <v>34</v>
      </c>
      <c r="B75" s="3"/>
      <c r="C75" s="10" t="s">
        <v>72</v>
      </c>
      <c r="D75" s="148">
        <v>0</v>
      </c>
      <c r="E75" s="148">
        <v>7439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7439</v>
      </c>
      <c r="J75" s="37"/>
      <c r="K75" s="38"/>
      <c r="L75" s="60">
        <f t="shared" si="24"/>
        <v>0</v>
      </c>
      <c r="M75" s="38">
        <f t="shared" si="24"/>
        <v>7439</v>
      </c>
    </row>
    <row r="76" spans="1:13" x14ac:dyDescent="0.25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5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8">
        <v>0</v>
      </c>
      <c r="E79" s="148">
        <v>1083367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1083367</v>
      </c>
      <c r="J79" s="37"/>
      <c r="K79" s="38"/>
      <c r="L79" s="60">
        <f t="shared" si="24"/>
        <v>0</v>
      </c>
      <c r="M79" s="38">
        <f t="shared" si="24"/>
        <v>1083367</v>
      </c>
    </row>
    <row r="80" spans="1:13" x14ac:dyDescent="0.25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8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-531139.12339998316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-531139.12339998316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-531139.12339998316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C1" zoomScale="75" workbookViewId="0">
      <selection activeCell="M82" sqref="M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8">
        <v>5376098</v>
      </c>
      <c r="E11" s="148">
        <v>11250392</v>
      </c>
      <c r="F11" s="60">
        <f>H11-D11</f>
        <v>0</v>
      </c>
      <c r="G11" s="37">
        <f>I11-E11</f>
        <v>0</v>
      </c>
      <c r="H11" s="65">
        <f t="shared" ref="H11:I15" si="0">D11</f>
        <v>5376098</v>
      </c>
      <c r="I11" s="66">
        <f t="shared" si="0"/>
        <v>11250392</v>
      </c>
      <c r="J11" s="37"/>
      <c r="K11" s="38"/>
      <c r="L11" s="60">
        <f t="shared" ref="L11:M15" si="1">H11+J11</f>
        <v>5376098</v>
      </c>
      <c r="M11" s="38">
        <f t="shared" si="1"/>
        <v>11250392</v>
      </c>
    </row>
    <row r="12" spans="1:26" x14ac:dyDescent="0.25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8">
        <v>6498714</v>
      </c>
      <c r="E13" s="148">
        <v>15325359</v>
      </c>
      <c r="F13" s="60">
        <f t="shared" si="2"/>
        <v>0</v>
      </c>
      <c r="G13" s="37">
        <f t="shared" si="2"/>
        <v>0</v>
      </c>
      <c r="H13" s="65">
        <f t="shared" si="0"/>
        <v>6498714</v>
      </c>
      <c r="I13" s="66">
        <f t="shared" si="0"/>
        <v>15325359</v>
      </c>
      <c r="J13" s="37"/>
      <c r="K13" s="38"/>
      <c r="L13" s="60">
        <f t="shared" si="1"/>
        <v>6498714</v>
      </c>
      <c r="M13" s="38">
        <f t="shared" si="1"/>
        <v>15325359</v>
      </c>
    </row>
    <row r="14" spans="1:26" x14ac:dyDescent="0.25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8">
        <v>11874812</v>
      </c>
      <c r="E16" s="168">
        <v>26575751</v>
      </c>
      <c r="F16" s="61">
        <f t="shared" ref="F16:M16" si="3">SUM(F11:F15)</f>
        <v>0</v>
      </c>
      <c r="G16" s="39">
        <f t="shared" si="3"/>
        <v>0</v>
      </c>
      <c r="H16" s="61">
        <f>SUM(H11:H15)</f>
        <v>11874812</v>
      </c>
      <c r="I16" s="39">
        <f>SUM(I11:I15)</f>
        <v>26575751</v>
      </c>
      <c r="J16" s="135">
        <f t="shared" si="3"/>
        <v>0</v>
      </c>
      <c r="K16" s="39">
        <f t="shared" si="3"/>
        <v>0</v>
      </c>
      <c r="L16" s="61">
        <f t="shared" si="3"/>
        <v>11874812</v>
      </c>
      <c r="M16" s="39">
        <f t="shared" si="3"/>
        <v>26575751</v>
      </c>
    </row>
    <row r="17" spans="1:13" x14ac:dyDescent="0.25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8">
        <v>-2210033</v>
      </c>
      <c r="E19" s="148">
        <v>-5334526</v>
      </c>
      <c r="F19" s="60">
        <f>H19-D19</f>
        <v>0</v>
      </c>
      <c r="G19" s="37">
        <f>I19-E19</f>
        <v>0</v>
      </c>
      <c r="H19" s="65">
        <f t="shared" si="4"/>
        <v>-2210033</v>
      </c>
      <c r="I19" s="66">
        <f t="shared" si="4"/>
        <v>-5334526</v>
      </c>
      <c r="J19" s="37">
        <v>0</v>
      </c>
      <c r="K19" s="38">
        <v>0</v>
      </c>
      <c r="L19" s="60">
        <f t="shared" ref="L19:M23" si="5">H19+J19</f>
        <v>-2210033</v>
      </c>
      <c r="M19" s="38">
        <f t="shared" si="5"/>
        <v>-5334526</v>
      </c>
    </row>
    <row r="20" spans="1:13" x14ac:dyDescent="0.25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8">
        <v>-9703868</v>
      </c>
      <c r="E21" s="148">
        <v>-21344546</v>
      </c>
      <c r="F21" s="60">
        <f t="shared" si="6"/>
        <v>0</v>
      </c>
      <c r="G21" s="37">
        <f t="shared" si="6"/>
        <v>0</v>
      </c>
      <c r="H21" s="65">
        <f t="shared" si="4"/>
        <v>-9703868</v>
      </c>
      <c r="I21" s="66">
        <f t="shared" si="4"/>
        <v>-21344546</v>
      </c>
      <c r="J21" s="37"/>
      <c r="K21" s="38"/>
      <c r="L21" s="60">
        <f t="shared" si="5"/>
        <v>-9703868</v>
      </c>
      <c r="M21" s="38">
        <f t="shared" si="5"/>
        <v>-21344546</v>
      </c>
    </row>
    <row r="22" spans="1:13" x14ac:dyDescent="0.25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8">
        <v>6578</v>
      </c>
      <c r="E23" s="148">
        <v>15328</v>
      </c>
      <c r="F23" s="60">
        <f t="shared" si="6"/>
        <v>0</v>
      </c>
      <c r="G23" s="37">
        <f t="shared" si="6"/>
        <v>0</v>
      </c>
      <c r="H23" s="65">
        <f t="shared" si="4"/>
        <v>6578</v>
      </c>
      <c r="I23" s="66">
        <f t="shared" si="4"/>
        <v>15328</v>
      </c>
      <c r="J23" s="37"/>
      <c r="K23" s="38"/>
      <c r="L23" s="60">
        <f t="shared" si="5"/>
        <v>6578</v>
      </c>
      <c r="M23" s="38">
        <f t="shared" si="5"/>
        <v>15328</v>
      </c>
    </row>
    <row r="24" spans="1:13" x14ac:dyDescent="0.25">
      <c r="A24" s="9"/>
      <c r="B24" s="7" t="s">
        <v>33</v>
      </c>
      <c r="C24" s="6"/>
      <c r="D24" s="168">
        <v>-11907323</v>
      </c>
      <c r="E24" s="168">
        <v>-26663744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-11907323</v>
      </c>
      <c r="I24" s="39">
        <f>SUM(I19:I23)</f>
        <v>-26663744</v>
      </c>
      <c r="J24" s="135">
        <f t="shared" si="7"/>
        <v>0</v>
      </c>
      <c r="K24" s="39">
        <f t="shared" si="7"/>
        <v>0</v>
      </c>
      <c r="L24" s="61">
        <f t="shared" si="7"/>
        <v>-11907323</v>
      </c>
      <c r="M24" s="39">
        <f t="shared" si="7"/>
        <v>-26663744</v>
      </c>
    </row>
    <row r="25" spans="1:13" x14ac:dyDescent="0.25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8">
        <v>18884</v>
      </c>
      <c r="E32" s="148">
        <v>181988</v>
      </c>
      <c r="F32" s="60">
        <f>H32-D32</f>
        <v>0</v>
      </c>
      <c r="G32" s="37">
        <f>I32-E32</f>
        <v>0</v>
      </c>
      <c r="H32" s="65">
        <f t="shared" ref="H32:I35" si="9">D32</f>
        <v>18884</v>
      </c>
      <c r="I32" s="66">
        <f t="shared" si="9"/>
        <v>181988</v>
      </c>
      <c r="J32" s="37"/>
      <c r="K32" s="38"/>
      <c r="L32" s="60">
        <f t="shared" ref="L32:M35" si="10">H32+J32</f>
        <v>18884</v>
      </c>
      <c r="M32" s="38">
        <f t="shared" si="10"/>
        <v>181988</v>
      </c>
    </row>
    <row r="33" spans="1:13" x14ac:dyDescent="0.25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8">
        <v>0</v>
      </c>
      <c r="E35" s="148">
        <v>30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30</v>
      </c>
      <c r="J35" s="37">
        <v>0</v>
      </c>
      <c r="K35" s="38">
        <v>0</v>
      </c>
      <c r="L35" s="60">
        <f t="shared" si="10"/>
        <v>0</v>
      </c>
      <c r="M35" s="38">
        <f t="shared" si="10"/>
        <v>30</v>
      </c>
    </row>
    <row r="36" spans="1:13" x14ac:dyDescent="0.25">
      <c r="A36" s="9"/>
      <c r="B36" s="7" t="s">
        <v>43</v>
      </c>
      <c r="C36" s="6"/>
      <c r="D36" s="168">
        <v>18884</v>
      </c>
      <c r="E36" s="168">
        <v>182018</v>
      </c>
      <c r="F36" s="61">
        <f>SUM(F32:F35)</f>
        <v>0</v>
      </c>
      <c r="G36" s="39">
        <f>SUM(G32:G35)</f>
        <v>0</v>
      </c>
      <c r="H36" s="61">
        <f>SUM(H32:H35)</f>
        <v>18884</v>
      </c>
      <c r="I36" s="39">
        <f>SUM(I32:I35)</f>
        <v>182018</v>
      </c>
      <c r="J36" s="135">
        <f>SUM(J32:J34)</f>
        <v>0</v>
      </c>
      <c r="K36" s="39">
        <f>SUM(K32:K34)</f>
        <v>0</v>
      </c>
      <c r="L36" s="61">
        <f>SUM(L32:L35)</f>
        <v>18884</v>
      </c>
      <c r="M36" s="39">
        <f>SUM(M32:M35)</f>
        <v>182018</v>
      </c>
    </row>
    <row r="37" spans="1:13" x14ac:dyDescent="0.25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8">
        <v>13627</v>
      </c>
      <c r="E49" s="148">
        <v>31584.036732865465</v>
      </c>
      <c r="F49" s="60">
        <f>H49-D49</f>
        <v>0</v>
      </c>
      <c r="G49" s="37">
        <f>I49-E49</f>
        <v>0</v>
      </c>
      <c r="H49" s="65">
        <f>D49</f>
        <v>13627</v>
      </c>
      <c r="I49" s="66">
        <f>E49</f>
        <v>31584.036732865465</v>
      </c>
      <c r="J49" s="37"/>
      <c r="K49" s="38"/>
      <c r="L49" s="60">
        <f>H49+J49</f>
        <v>13627</v>
      </c>
      <c r="M49" s="38">
        <f>I49+K49</f>
        <v>31584.036732865465</v>
      </c>
    </row>
    <row r="50" spans="1:15" x14ac:dyDescent="0.25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8">
        <v>-6578</v>
      </c>
      <c r="E51" s="148">
        <v>-15328</v>
      </c>
      <c r="F51" s="60">
        <f>H51-D51</f>
        <v>0</v>
      </c>
      <c r="G51" s="37">
        <f>I51-E51</f>
        <v>0</v>
      </c>
      <c r="H51" s="65">
        <f>D51</f>
        <v>-6578</v>
      </c>
      <c r="I51" s="66">
        <f>E51</f>
        <v>-15328</v>
      </c>
      <c r="J51" s="37"/>
      <c r="K51" s="38"/>
      <c r="L51" s="60">
        <f>H51+J51</f>
        <v>-6578</v>
      </c>
      <c r="M51" s="38">
        <f>I51+K51</f>
        <v>-15328</v>
      </c>
    </row>
    <row r="52" spans="1:15" x14ac:dyDescent="0.25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8">
        <v>0</v>
      </c>
      <c r="E54" s="148">
        <v>-7556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-7556</v>
      </c>
      <c r="J54" s="37"/>
      <c r="K54" s="38"/>
      <c r="L54" s="60">
        <f>H54+J54</f>
        <v>0</v>
      </c>
      <c r="M54" s="38">
        <f>I54+K54</f>
        <v>-7556</v>
      </c>
    </row>
    <row r="55" spans="1:15" x14ac:dyDescent="0.25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8">
        <v>0</v>
      </c>
      <c r="E56" s="168">
        <v>-7556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-7556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-7556</v>
      </c>
    </row>
    <row r="57" spans="1:15" x14ac:dyDescent="0.25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8">
        <v>0</v>
      </c>
      <c r="E70" s="148">
        <v>77884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77884</v>
      </c>
      <c r="J70" s="37"/>
      <c r="K70" s="38"/>
      <c r="L70" s="60">
        <f t="shared" si="20"/>
        <v>0</v>
      </c>
      <c r="M70" s="38">
        <f t="shared" si="20"/>
        <v>77884</v>
      </c>
    </row>
    <row r="71" spans="1:13" x14ac:dyDescent="0.25">
      <c r="A71" s="9">
        <v>31</v>
      </c>
      <c r="B71" s="3"/>
      <c r="C71" s="10" t="s">
        <v>68</v>
      </c>
      <c r="D71" s="148">
        <v>0</v>
      </c>
      <c r="E71" s="148">
        <v>-17435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-17435</v>
      </c>
      <c r="J71" s="37"/>
      <c r="K71" s="38"/>
      <c r="L71" s="60">
        <f t="shared" si="20"/>
        <v>0</v>
      </c>
      <c r="M71" s="38">
        <f t="shared" si="20"/>
        <v>-17435</v>
      </c>
    </row>
    <row r="72" spans="1:13" x14ac:dyDescent="0.25">
      <c r="A72" s="9"/>
      <c r="B72" s="3"/>
      <c r="C72" s="55" t="s">
        <v>69</v>
      </c>
      <c r="D72" s="168">
        <v>0</v>
      </c>
      <c r="E72" s="168">
        <v>60449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60449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60449</v>
      </c>
    </row>
    <row r="73" spans="1:13" x14ac:dyDescent="0.25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8">
        <v>0</v>
      </c>
      <c r="E74" s="148">
        <v>-202520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-202520</v>
      </c>
      <c r="J74" s="37"/>
      <c r="K74" s="38"/>
      <c r="L74" s="60">
        <f t="shared" si="23"/>
        <v>0</v>
      </c>
      <c r="M74" s="38">
        <f t="shared" si="23"/>
        <v>-202520</v>
      </c>
    </row>
    <row r="75" spans="1:13" x14ac:dyDescent="0.25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8">
        <v>0</v>
      </c>
      <c r="E81" s="148">
        <v>139400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139400</v>
      </c>
      <c r="J81" s="37"/>
      <c r="K81" s="38"/>
      <c r="L81" s="60">
        <f t="shared" si="23"/>
        <v>0</v>
      </c>
      <c r="M81" s="38">
        <f t="shared" si="23"/>
        <v>139400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100054.03673286547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100054.03673286547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100054.03673286547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8">
        <v>13637253</v>
      </c>
      <c r="E11" s="148">
        <v>30242537</v>
      </c>
      <c r="F11" s="60">
        <f>H11-D11</f>
        <v>0</v>
      </c>
      <c r="G11" s="37">
        <f>I11-E11</f>
        <v>0</v>
      </c>
      <c r="H11" s="65">
        <f t="shared" ref="H11:I15" si="0">D11</f>
        <v>13637253</v>
      </c>
      <c r="I11" s="66">
        <f t="shared" si="0"/>
        <v>30242537</v>
      </c>
      <c r="J11" s="37"/>
      <c r="K11" s="38"/>
      <c r="L11" s="60">
        <f t="shared" ref="L11:M15" si="1">H11+J11</f>
        <v>13637253</v>
      </c>
      <c r="M11" s="38">
        <f t="shared" si="1"/>
        <v>30242537</v>
      </c>
    </row>
    <row r="12" spans="1:26" x14ac:dyDescent="0.25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8">
        <v>22737066</v>
      </c>
      <c r="E13" s="148">
        <v>53455982</v>
      </c>
      <c r="F13" s="60">
        <f t="shared" si="2"/>
        <v>0</v>
      </c>
      <c r="G13" s="37">
        <f t="shared" si="2"/>
        <v>0</v>
      </c>
      <c r="H13" s="65">
        <f t="shared" si="0"/>
        <v>22737066</v>
      </c>
      <c r="I13" s="66">
        <f t="shared" si="0"/>
        <v>53455982</v>
      </c>
      <c r="J13" s="37"/>
      <c r="K13" s="38"/>
      <c r="L13" s="60">
        <f t="shared" si="1"/>
        <v>22737066</v>
      </c>
      <c r="M13" s="38">
        <f t="shared" si="1"/>
        <v>53455982</v>
      </c>
    </row>
    <row r="14" spans="1:26" x14ac:dyDescent="0.25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8">
        <v>36374319</v>
      </c>
      <c r="E16" s="168">
        <v>83698519</v>
      </c>
      <c r="F16" s="61">
        <f t="shared" ref="F16:M16" si="3">SUM(F11:F15)</f>
        <v>0</v>
      </c>
      <c r="G16" s="39">
        <f t="shared" si="3"/>
        <v>0</v>
      </c>
      <c r="H16" s="61">
        <f>SUM(H11:H15)</f>
        <v>36374319</v>
      </c>
      <c r="I16" s="39">
        <f>SUM(I11:I15)</f>
        <v>83698519</v>
      </c>
      <c r="J16" s="135">
        <f t="shared" si="3"/>
        <v>0</v>
      </c>
      <c r="K16" s="39">
        <f t="shared" si="3"/>
        <v>0</v>
      </c>
      <c r="L16" s="61">
        <f t="shared" si="3"/>
        <v>36374319</v>
      </c>
      <c r="M16" s="39">
        <f t="shared" si="3"/>
        <v>83698519</v>
      </c>
    </row>
    <row r="17" spans="1:13" x14ac:dyDescent="0.25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8">
        <v>-11306322</v>
      </c>
      <c r="E19" s="148">
        <v>-24702746</v>
      </c>
      <c r="F19" s="60">
        <f>H19-D19</f>
        <v>0</v>
      </c>
      <c r="G19" s="37">
        <f>I19-E19</f>
        <v>0</v>
      </c>
      <c r="H19" s="65">
        <f t="shared" si="4"/>
        <v>-11306322</v>
      </c>
      <c r="I19" s="66">
        <f t="shared" si="4"/>
        <v>-24702746</v>
      </c>
      <c r="J19" s="37">
        <v>0</v>
      </c>
      <c r="K19" s="38">
        <v>0</v>
      </c>
      <c r="L19" s="60">
        <f t="shared" ref="L19:M23" si="5">H19+J19</f>
        <v>-11306322</v>
      </c>
      <c r="M19" s="38">
        <f t="shared" si="5"/>
        <v>-24702746</v>
      </c>
    </row>
    <row r="20" spans="1:13" x14ac:dyDescent="0.25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8">
        <v>-25299406</v>
      </c>
      <c r="E21" s="148">
        <v>-58250227</v>
      </c>
      <c r="F21" s="60">
        <f t="shared" si="6"/>
        <v>0</v>
      </c>
      <c r="G21" s="37">
        <f t="shared" si="6"/>
        <v>0</v>
      </c>
      <c r="H21" s="65">
        <f t="shared" si="4"/>
        <v>-25299406</v>
      </c>
      <c r="I21" s="66">
        <f t="shared" si="4"/>
        <v>-58250227</v>
      </c>
      <c r="J21" s="37"/>
      <c r="K21" s="38"/>
      <c r="L21" s="60">
        <f t="shared" si="5"/>
        <v>-25299406</v>
      </c>
      <c r="M21" s="38">
        <f t="shared" si="5"/>
        <v>-58250227</v>
      </c>
    </row>
    <row r="22" spans="1:13" x14ac:dyDescent="0.25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8">
        <v>235365</v>
      </c>
      <c r="E23" s="148">
        <v>547419</v>
      </c>
      <c r="F23" s="60">
        <f t="shared" si="6"/>
        <v>0</v>
      </c>
      <c r="G23" s="37">
        <f t="shared" si="6"/>
        <v>0</v>
      </c>
      <c r="H23" s="65">
        <f t="shared" si="4"/>
        <v>235365</v>
      </c>
      <c r="I23" s="66">
        <f t="shared" si="4"/>
        <v>547419</v>
      </c>
      <c r="J23" s="37"/>
      <c r="K23" s="38"/>
      <c r="L23" s="60">
        <f t="shared" si="5"/>
        <v>235365</v>
      </c>
      <c r="M23" s="38">
        <f t="shared" si="5"/>
        <v>547419</v>
      </c>
    </row>
    <row r="24" spans="1:13" x14ac:dyDescent="0.25">
      <c r="A24" s="9"/>
      <c r="B24" s="7" t="s">
        <v>33</v>
      </c>
      <c r="C24" s="6"/>
      <c r="D24" s="168">
        <v>-36370363</v>
      </c>
      <c r="E24" s="168">
        <v>-82405554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-36370363</v>
      </c>
      <c r="I24" s="39">
        <f>SUM(I19:I23)</f>
        <v>-82405554</v>
      </c>
      <c r="J24" s="135">
        <f t="shared" si="7"/>
        <v>0</v>
      </c>
      <c r="K24" s="39">
        <f t="shared" si="7"/>
        <v>0</v>
      </c>
      <c r="L24" s="61">
        <f t="shared" si="7"/>
        <v>-36370363</v>
      </c>
      <c r="M24" s="39">
        <f t="shared" si="7"/>
        <v>-82405554</v>
      </c>
    </row>
    <row r="25" spans="1:13" x14ac:dyDescent="0.25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5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8">
        <v>-3956</v>
      </c>
      <c r="E49" s="148">
        <v>-8651.6201649815139</v>
      </c>
      <c r="F49" s="60">
        <f>H49-D49</f>
        <v>0</v>
      </c>
      <c r="G49" s="37">
        <f>I49-E49</f>
        <v>0</v>
      </c>
      <c r="H49" s="65">
        <f>D49</f>
        <v>-3956</v>
      </c>
      <c r="I49" s="66">
        <f>E49</f>
        <v>-8651.6201649815139</v>
      </c>
      <c r="J49" s="37"/>
      <c r="K49" s="38"/>
      <c r="L49" s="60">
        <f>H49+J49</f>
        <v>-3956</v>
      </c>
      <c r="M49" s="38">
        <f>I49+K49</f>
        <v>-8651.6201649815139</v>
      </c>
    </row>
    <row r="50" spans="1:15" x14ac:dyDescent="0.25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8">
        <v>-235365</v>
      </c>
      <c r="E51" s="148">
        <v>-547419</v>
      </c>
      <c r="F51" s="60">
        <f>H51-D51</f>
        <v>0</v>
      </c>
      <c r="G51" s="37">
        <f>I51-E51</f>
        <v>0</v>
      </c>
      <c r="H51" s="65">
        <f>D51</f>
        <v>-235365</v>
      </c>
      <c r="I51" s="66">
        <f>E51</f>
        <v>-547419</v>
      </c>
      <c r="J51" s="37"/>
      <c r="K51" s="38"/>
      <c r="L51" s="60">
        <f>H51+J51</f>
        <v>-235365</v>
      </c>
      <c r="M51" s="38">
        <f>I51+K51</f>
        <v>-547419</v>
      </c>
    </row>
    <row r="52" spans="1:15" x14ac:dyDescent="0.25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8">
        <v>0</v>
      </c>
      <c r="E54" s="148">
        <v>-123694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-123694</v>
      </c>
      <c r="J54" s="37"/>
      <c r="K54" s="38"/>
      <c r="L54" s="60">
        <f>H54+J54</f>
        <v>0</v>
      </c>
      <c r="M54" s="38">
        <f>I54+K54</f>
        <v>-123694</v>
      </c>
    </row>
    <row r="55" spans="1:15" x14ac:dyDescent="0.25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8">
        <v>0</v>
      </c>
      <c r="E56" s="168">
        <v>-123694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-123694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-123694</v>
      </c>
    </row>
    <row r="57" spans="1:15" x14ac:dyDescent="0.25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8">
        <v>0</v>
      </c>
      <c r="E70" s="148">
        <v>14085867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14085867</v>
      </c>
      <c r="J70" s="37"/>
      <c r="K70" s="38"/>
      <c r="L70" s="60">
        <f t="shared" si="20"/>
        <v>0</v>
      </c>
      <c r="M70" s="38">
        <f t="shared" si="20"/>
        <v>14085867</v>
      </c>
    </row>
    <row r="71" spans="1:13" x14ac:dyDescent="0.25">
      <c r="A71" s="9">
        <v>31</v>
      </c>
      <c r="B71" s="3"/>
      <c r="C71" s="10" t="s">
        <v>68</v>
      </c>
      <c r="D71" s="148">
        <v>0</v>
      </c>
      <c r="E71" s="148">
        <v>-14919886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-14919886</v>
      </c>
      <c r="J71" s="37"/>
      <c r="K71" s="38"/>
      <c r="L71" s="60">
        <f t="shared" si="20"/>
        <v>0</v>
      </c>
      <c r="M71" s="38">
        <f t="shared" si="20"/>
        <v>-14919886</v>
      </c>
    </row>
    <row r="72" spans="1:13" x14ac:dyDescent="0.25">
      <c r="A72" s="9"/>
      <c r="B72" s="3"/>
      <c r="C72" s="55" t="s">
        <v>69</v>
      </c>
      <c r="D72" s="168">
        <v>0</v>
      </c>
      <c r="E72" s="168">
        <v>-834019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-834019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-834019</v>
      </c>
    </row>
    <row r="73" spans="1:13" x14ac:dyDescent="0.25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8">
        <v>0</v>
      </c>
      <c r="E74" s="148">
        <v>541489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541489</v>
      </c>
      <c r="J74" s="37"/>
      <c r="K74" s="38"/>
      <c r="L74" s="60">
        <f t="shared" si="23"/>
        <v>0</v>
      </c>
      <c r="M74" s="38">
        <f t="shared" si="23"/>
        <v>541489</v>
      </c>
    </row>
    <row r="75" spans="1:13" x14ac:dyDescent="0.25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320670.37983501854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320670.37983501854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320670.37983501854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112784842</v>
      </c>
      <c r="E11" s="38">
        <v>259383408.34387043</v>
      </c>
      <c r="F11" s="60">
        <f>H11-D11</f>
        <v>0</v>
      </c>
      <c r="G11" s="37">
        <f>I11-E11</f>
        <v>0</v>
      </c>
      <c r="H11" s="65">
        <f>D11</f>
        <v>112784842</v>
      </c>
      <c r="I11" s="66">
        <f>E11</f>
        <v>259383408.34387043</v>
      </c>
      <c r="J11" s="60"/>
      <c r="K11" s="38"/>
      <c r="L11" s="60">
        <f t="shared" ref="L11:M15" si="0">H11+J11</f>
        <v>112784842</v>
      </c>
      <c r="M11" s="38">
        <f t="shared" si="0"/>
        <v>259383408.34387043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35399361</v>
      </c>
      <c r="E13" s="38">
        <v>83539570</v>
      </c>
      <c r="F13" s="60">
        <f t="shared" si="1"/>
        <v>0</v>
      </c>
      <c r="G13" s="37">
        <f t="shared" si="1"/>
        <v>0</v>
      </c>
      <c r="H13" s="65">
        <f t="shared" si="2"/>
        <v>35399361</v>
      </c>
      <c r="I13" s="66">
        <f t="shared" si="2"/>
        <v>83539570</v>
      </c>
      <c r="J13" s="60"/>
      <c r="K13" s="38"/>
      <c r="L13" s="60">
        <f t="shared" si="0"/>
        <v>35399361</v>
      </c>
      <c r="M13" s="38">
        <f t="shared" si="0"/>
        <v>83539570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148184203</v>
      </c>
      <c r="E16" s="39">
        <v>342922482.3438704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148184203</v>
      </c>
      <c r="I16" s="39">
        <f>SUM(I11:I15)</f>
        <v>342922482.3438704</v>
      </c>
      <c r="J16" s="61">
        <f t="shared" si="3"/>
        <v>0</v>
      </c>
      <c r="K16" s="39">
        <f t="shared" si="3"/>
        <v>0</v>
      </c>
      <c r="L16" s="61">
        <f t="shared" si="3"/>
        <v>148184203</v>
      </c>
      <c r="M16" s="39">
        <f t="shared" si="3"/>
        <v>342922482.3438704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-113041005</v>
      </c>
      <c r="E19" s="38">
        <v>-251061724</v>
      </c>
      <c r="F19" s="60">
        <f>H19-D19</f>
        <v>0</v>
      </c>
      <c r="G19" s="37">
        <f>I19-E19</f>
        <v>0</v>
      </c>
      <c r="H19" s="65">
        <f t="shared" si="4"/>
        <v>-113041005</v>
      </c>
      <c r="I19" s="66">
        <f t="shared" si="4"/>
        <v>-251061724</v>
      </c>
      <c r="J19" s="60"/>
      <c r="K19" s="38"/>
      <c r="L19" s="60">
        <f t="shared" ref="L19:M23" si="5">H19+J19</f>
        <v>-113041005</v>
      </c>
      <c r="M19" s="38">
        <f t="shared" si="5"/>
        <v>-251061724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-35716476</v>
      </c>
      <c r="E21" s="38">
        <v>-87339489</v>
      </c>
      <c r="F21" s="60">
        <f t="shared" si="6"/>
        <v>0</v>
      </c>
      <c r="G21" s="37">
        <f t="shared" si="6"/>
        <v>0</v>
      </c>
      <c r="H21" s="65">
        <f t="shared" si="4"/>
        <v>-35716476</v>
      </c>
      <c r="I21" s="66">
        <f t="shared" si="4"/>
        <v>-87339489</v>
      </c>
      <c r="J21" s="60"/>
      <c r="K21" s="38"/>
      <c r="L21" s="60">
        <f t="shared" si="5"/>
        <v>-35716476</v>
      </c>
      <c r="M21" s="38">
        <f t="shared" si="5"/>
        <v>-87339489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126324</v>
      </c>
      <c r="E23" s="38">
        <v>294758</v>
      </c>
      <c r="F23" s="60">
        <f t="shared" si="6"/>
        <v>0</v>
      </c>
      <c r="G23" s="37">
        <f t="shared" si="6"/>
        <v>0</v>
      </c>
      <c r="H23" s="65">
        <f t="shared" si="4"/>
        <v>126324</v>
      </c>
      <c r="I23" s="66">
        <f t="shared" si="4"/>
        <v>294758</v>
      </c>
      <c r="J23" s="60"/>
      <c r="K23" s="38"/>
      <c r="L23" s="60">
        <f t="shared" si="5"/>
        <v>126324</v>
      </c>
      <c r="M23" s="38">
        <f t="shared" si="5"/>
        <v>294758</v>
      </c>
    </row>
    <row r="24" spans="1:13" x14ac:dyDescent="0.25">
      <c r="A24" s="9"/>
      <c r="B24" s="7" t="s">
        <v>33</v>
      </c>
      <c r="C24" s="6"/>
      <c r="D24" s="61">
        <v>-148631157</v>
      </c>
      <c r="E24" s="39">
        <v>-338106455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-148631157</v>
      </c>
      <c r="I24" s="39">
        <f>SUM(I19:I23)</f>
        <v>-338106455</v>
      </c>
      <c r="J24" s="61">
        <f t="shared" si="7"/>
        <v>0</v>
      </c>
      <c r="K24" s="39">
        <f t="shared" si="7"/>
        <v>0</v>
      </c>
      <c r="L24" s="61">
        <f t="shared" si="7"/>
        <v>-148631157</v>
      </c>
      <c r="M24" s="39">
        <f t="shared" si="7"/>
        <v>-338106455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-50195</v>
      </c>
      <c r="E32" s="38">
        <v>-134108</v>
      </c>
      <c r="F32" s="60">
        <f>H32-D32</f>
        <v>0</v>
      </c>
      <c r="G32" s="37">
        <f>I32-E32</f>
        <v>0</v>
      </c>
      <c r="H32" s="65">
        <f t="shared" ref="H32:I35" si="9">D32</f>
        <v>-50195</v>
      </c>
      <c r="I32" s="66">
        <f t="shared" si="9"/>
        <v>-134108</v>
      </c>
      <c r="J32" s="60"/>
      <c r="K32" s="38"/>
      <c r="L32" s="60">
        <f t="shared" ref="L32:M35" si="10">H32+J32</f>
        <v>-50195</v>
      </c>
      <c r="M32" s="38">
        <f t="shared" si="10"/>
        <v>-134108</v>
      </c>
    </row>
    <row r="33" spans="1:13" x14ac:dyDescent="0.25">
      <c r="A33" s="9">
        <v>14</v>
      </c>
      <c r="B33" s="7"/>
      <c r="C33" s="18" t="s">
        <v>40</v>
      </c>
      <c r="D33" s="60">
        <v>343047</v>
      </c>
      <c r="E33" s="38">
        <v>752294</v>
      </c>
      <c r="F33" s="60">
        <f t="shared" ref="F33:G35" si="11">H33-D33</f>
        <v>0</v>
      </c>
      <c r="G33" s="37">
        <f t="shared" si="11"/>
        <v>0</v>
      </c>
      <c r="H33" s="65">
        <f t="shared" si="9"/>
        <v>343047</v>
      </c>
      <c r="I33" s="66">
        <f t="shared" si="9"/>
        <v>752294</v>
      </c>
      <c r="J33" s="60"/>
      <c r="K33" s="38"/>
      <c r="L33" s="60">
        <f t="shared" si="10"/>
        <v>343047</v>
      </c>
      <c r="M33" s="38">
        <f t="shared" si="10"/>
        <v>752294</v>
      </c>
    </row>
    <row r="34" spans="1:13" x14ac:dyDescent="0.25">
      <c r="A34" s="9">
        <v>15</v>
      </c>
      <c r="B34" s="7"/>
      <c r="C34" s="18" t="s">
        <v>41</v>
      </c>
      <c r="D34" s="60">
        <v>-411686</v>
      </c>
      <c r="E34" s="38">
        <v>-904101</v>
      </c>
      <c r="F34" s="60">
        <f t="shared" si="11"/>
        <v>0</v>
      </c>
      <c r="G34" s="37">
        <f t="shared" si="11"/>
        <v>0</v>
      </c>
      <c r="H34" s="65">
        <f t="shared" si="9"/>
        <v>-411686</v>
      </c>
      <c r="I34" s="66">
        <f t="shared" si="9"/>
        <v>-904101</v>
      </c>
      <c r="J34" s="60"/>
      <c r="K34" s="38"/>
      <c r="L34" s="60">
        <f t="shared" si="10"/>
        <v>-411686</v>
      </c>
      <c r="M34" s="38">
        <f t="shared" si="10"/>
        <v>-904101</v>
      </c>
    </row>
    <row r="35" spans="1:13" x14ac:dyDescent="0.25">
      <c r="A35" s="9">
        <v>16</v>
      </c>
      <c r="B35" s="7"/>
      <c r="C35" s="18" t="s">
        <v>42</v>
      </c>
      <c r="D35" s="60">
        <v>-177265</v>
      </c>
      <c r="E35" s="38">
        <v>-380601</v>
      </c>
      <c r="F35" s="60">
        <f t="shared" si="11"/>
        <v>0</v>
      </c>
      <c r="G35" s="37">
        <f t="shared" si="11"/>
        <v>0</v>
      </c>
      <c r="H35" s="65">
        <f t="shared" si="9"/>
        <v>-177265</v>
      </c>
      <c r="I35" s="66">
        <f t="shared" si="9"/>
        <v>-380601</v>
      </c>
      <c r="J35" s="60"/>
      <c r="K35" s="38"/>
      <c r="L35" s="60">
        <f t="shared" si="10"/>
        <v>-177265</v>
      </c>
      <c r="M35" s="38">
        <f t="shared" si="10"/>
        <v>-380601</v>
      </c>
    </row>
    <row r="36" spans="1:13" x14ac:dyDescent="0.25">
      <c r="A36" s="9"/>
      <c r="B36" s="7" t="s">
        <v>43</v>
      </c>
      <c r="C36" s="6"/>
      <c r="D36" s="61">
        <v>-296099</v>
      </c>
      <c r="E36" s="39">
        <v>-666516</v>
      </c>
      <c r="F36" s="61">
        <f>SUM(F32:F35)</f>
        <v>0</v>
      </c>
      <c r="G36" s="39">
        <f>SUM(G32:G35)</f>
        <v>0</v>
      </c>
      <c r="H36" s="61">
        <f>SUM(H32:H35)</f>
        <v>-296099</v>
      </c>
      <c r="I36" s="39">
        <f>SUM(I32:I35)</f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17716</v>
      </c>
      <c r="E40" s="38">
        <v>37912</v>
      </c>
      <c r="F40" s="60">
        <f t="shared" si="13"/>
        <v>0</v>
      </c>
      <c r="G40" s="37">
        <f t="shared" si="13"/>
        <v>0</v>
      </c>
      <c r="H40" s="65">
        <f t="shared" si="12"/>
        <v>17716</v>
      </c>
      <c r="I40" s="66">
        <f t="shared" si="12"/>
        <v>37912</v>
      </c>
      <c r="J40" s="60"/>
      <c r="K40" s="38"/>
      <c r="L40" s="60">
        <f t="shared" si="14"/>
        <v>17716</v>
      </c>
      <c r="M40" s="38">
        <f t="shared" si="14"/>
        <v>37912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17716</v>
      </c>
      <c r="E42" s="39">
        <v>37912</v>
      </c>
      <c r="F42" s="61">
        <f t="shared" ref="F42:M42" si="15">SUM(F40:F41)</f>
        <v>0</v>
      </c>
      <c r="G42" s="39">
        <f t="shared" si="15"/>
        <v>0</v>
      </c>
      <c r="H42" s="61">
        <f>SUM(H40:H41)</f>
        <v>17716</v>
      </c>
      <c r="I42" s="39">
        <f>SUM(I40:I41)</f>
        <v>37912</v>
      </c>
      <c r="J42" s="61">
        <f t="shared" si="15"/>
        <v>0</v>
      </c>
      <c r="K42" s="39">
        <f t="shared" si="15"/>
        <v>0</v>
      </c>
      <c r="L42" s="61">
        <f t="shared" si="15"/>
        <v>17716</v>
      </c>
      <c r="M42" s="39">
        <f t="shared" si="15"/>
        <v>37912</v>
      </c>
    </row>
    <row r="43" spans="1:13" ht="21" customHeight="1" x14ac:dyDescent="0.25">
      <c r="A43" s="9"/>
      <c r="B43" s="7" t="s">
        <v>49</v>
      </c>
      <c r="C43" s="6"/>
      <c r="D43" s="61">
        <v>17716</v>
      </c>
      <c r="E43" s="39">
        <v>37912</v>
      </c>
      <c r="F43" s="61">
        <f t="shared" ref="F43:M43" si="16">F42+F39</f>
        <v>0</v>
      </c>
      <c r="G43" s="39">
        <f t="shared" si="16"/>
        <v>0</v>
      </c>
      <c r="H43" s="61">
        <f>H42+H39</f>
        <v>17716</v>
      </c>
      <c r="I43" s="39">
        <f>I42+I39</f>
        <v>37912</v>
      </c>
      <c r="J43" s="61">
        <f t="shared" si="16"/>
        <v>0</v>
      </c>
      <c r="K43" s="39">
        <f t="shared" si="16"/>
        <v>0</v>
      </c>
      <c r="L43" s="61">
        <f t="shared" si="16"/>
        <v>17716</v>
      </c>
      <c r="M43" s="39">
        <f t="shared" si="16"/>
        <v>37912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785337</v>
      </c>
      <c r="E49" s="38">
        <v>1738072.8682440352</v>
      </c>
      <c r="F49" s="60">
        <f>H49-D49</f>
        <v>0</v>
      </c>
      <c r="G49" s="37">
        <f>I49-E49</f>
        <v>0</v>
      </c>
      <c r="H49" s="65">
        <f>D49</f>
        <v>785337</v>
      </c>
      <c r="I49" s="66">
        <f>E49</f>
        <v>1738072.8682440352</v>
      </c>
      <c r="J49" s="60"/>
      <c r="K49" s="38"/>
      <c r="L49" s="60">
        <f>H49+J49</f>
        <v>785337</v>
      </c>
      <c r="M49" s="38">
        <f>I49+K49</f>
        <v>1738072.8682440352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-126324</v>
      </c>
      <c r="E51" s="38">
        <v>-294758</v>
      </c>
      <c r="F51" s="60">
        <f>H51-D51</f>
        <v>0</v>
      </c>
      <c r="G51" s="37">
        <f>I51-E51</f>
        <v>0</v>
      </c>
      <c r="H51" s="65">
        <f>D51</f>
        <v>-126324</v>
      </c>
      <c r="I51" s="66">
        <f>E51</f>
        <v>-294758</v>
      </c>
      <c r="J51" s="60"/>
      <c r="K51" s="38"/>
      <c r="L51" s="60">
        <f>H51+J51</f>
        <v>-126324</v>
      </c>
      <c r="M51" s="38">
        <f>I51+K51</f>
        <v>-294758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-528962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-528962</v>
      </c>
      <c r="J54" s="60"/>
      <c r="K54" s="38"/>
      <c r="L54" s="60">
        <f>H54+J54</f>
        <v>0</v>
      </c>
      <c r="M54" s="38">
        <f>I54+K54</f>
        <v>-528962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-474120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-474120</v>
      </c>
      <c r="J55" s="60"/>
      <c r="K55" s="38"/>
      <c r="L55" s="60">
        <f>H55+J55</f>
        <v>0</v>
      </c>
      <c r="M55" s="38">
        <f>I55+K55</f>
        <v>-474120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-1003082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-1003082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-1003082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5">
      <c r="A61" s="9"/>
      <c r="B61" s="62" t="s">
        <v>61</v>
      </c>
      <c r="C61" s="6"/>
      <c r="D61" s="61">
        <v>0</v>
      </c>
      <c r="E61" s="39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42944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42944</v>
      </c>
      <c r="J64" s="60"/>
      <c r="K64" s="38"/>
      <c r="L64" s="60">
        <f>H64+J64</f>
        <v>0</v>
      </c>
      <c r="M64" s="38">
        <f>I64+K64</f>
        <v>42944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42944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42944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42944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5194257.0563999992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5194257.0563999992</v>
      </c>
      <c r="J70" s="60"/>
      <c r="K70" s="38"/>
      <c r="L70" s="60">
        <f>H70+J70</f>
        <v>0</v>
      </c>
      <c r="M70" s="38">
        <f>I70+K70</f>
        <v>5194257.0563999992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-15409479.086300001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-15409479.086300001</v>
      </c>
      <c r="J71" s="60"/>
      <c r="K71" s="38"/>
      <c r="L71" s="60">
        <f>H71+J71</f>
        <v>0</v>
      </c>
      <c r="M71" s="38">
        <f>I71+K71</f>
        <v>-15409479.086300001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-10215222.029900001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-10215222.029900001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-10215222.029900001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6568205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6568205</v>
      </c>
      <c r="J74" s="60"/>
      <c r="K74" s="38"/>
      <c r="L74" s="60">
        <f t="shared" si="22"/>
        <v>0</v>
      </c>
      <c r="M74" s="38">
        <f t="shared" si="22"/>
        <v>6568205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111621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111621</v>
      </c>
      <c r="J75" s="60"/>
      <c r="K75" s="38"/>
      <c r="L75" s="60">
        <f t="shared" si="22"/>
        <v>0</v>
      </c>
      <c r="M75" s="38">
        <f t="shared" si="22"/>
        <v>111621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-10489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-10489</v>
      </c>
      <c r="J76" s="60"/>
      <c r="K76" s="38"/>
      <c r="L76" s="60">
        <f t="shared" si="22"/>
        <v>0</v>
      </c>
      <c r="M76" s="38">
        <f t="shared" si="22"/>
        <v>-10489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51367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51367</v>
      </c>
      <c r="J81" s="60"/>
      <c r="K81" s="38"/>
      <c r="L81" s="60">
        <f t="shared" si="22"/>
        <v>0</v>
      </c>
      <c r="M81" s="38">
        <f t="shared" si="22"/>
        <v>51367</v>
      </c>
    </row>
    <row r="82" spans="1:67" s="44" customFormat="1" ht="20.25" customHeight="1" thickBot="1" x14ac:dyDescent="0.3">
      <c r="A82" s="40"/>
      <c r="B82" s="41"/>
      <c r="C82" s="42" t="s">
        <v>168</v>
      </c>
      <c r="D82" s="144">
        <f>D16+D24+D29+D36+D43+D45+D47+D49</f>
        <v>60000</v>
      </c>
      <c r="E82" s="143">
        <f>SUM(E72:E81)+E16+E24+E29+E36+E43+E45+E47+E49+E51+E56+E61+E66</f>
        <v>1081270.127214415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7">
        <f>SUM(I72:I81)+I16+I24+I29+I36+I43+I45+I47+I49+I51+I56+I61+I66</f>
        <v>1081270.127214415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1081270.127214415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6"/>
      <c r="C86" s="10" t="s">
        <v>166</v>
      </c>
      <c r="D86" s="150">
        <v>0</v>
      </c>
      <c r="E86" s="150">
        <v>580000</v>
      </c>
      <c r="F86" s="150">
        <v>0</v>
      </c>
      <c r="G86" s="150">
        <v>0</v>
      </c>
      <c r="H86" s="150">
        <f t="shared" ref="H86:I88" si="24">D86</f>
        <v>0</v>
      </c>
      <c r="I86" s="150">
        <f t="shared" si="24"/>
        <v>580000</v>
      </c>
      <c r="J86" s="150">
        <v>0</v>
      </c>
      <c r="K86" s="150">
        <v>0</v>
      </c>
      <c r="L86" s="150">
        <f t="shared" ref="L86:M88" si="25">H86</f>
        <v>0</v>
      </c>
      <c r="M86" s="150">
        <f t="shared" si="25"/>
        <v>580000</v>
      </c>
    </row>
    <row r="87" spans="1:67" s="3" customFormat="1" x14ac:dyDescent="0.25">
      <c r="A87" s="146"/>
      <c r="C87" s="10" t="s">
        <v>71</v>
      </c>
      <c r="D87" s="151">
        <v>0</v>
      </c>
      <c r="E87" s="151">
        <v>0</v>
      </c>
      <c r="F87" s="151">
        <v>0</v>
      </c>
      <c r="G87" s="151">
        <v>0</v>
      </c>
      <c r="H87" s="151">
        <f t="shared" si="24"/>
        <v>0</v>
      </c>
      <c r="I87" s="151">
        <f t="shared" si="24"/>
        <v>0</v>
      </c>
      <c r="J87" s="151">
        <v>0</v>
      </c>
      <c r="K87" s="151">
        <v>0</v>
      </c>
      <c r="L87" s="151">
        <f t="shared" si="25"/>
        <v>0</v>
      </c>
      <c r="M87" s="151">
        <f t="shared" si="25"/>
        <v>0</v>
      </c>
    </row>
    <row r="88" spans="1:67" s="3" customFormat="1" x14ac:dyDescent="0.25">
      <c r="A88" s="146"/>
      <c r="C88" s="10" t="s">
        <v>72</v>
      </c>
      <c r="D88" s="152">
        <v>0</v>
      </c>
      <c r="E88" s="152">
        <v>0</v>
      </c>
      <c r="F88" s="152">
        <v>0</v>
      </c>
      <c r="G88" s="152">
        <v>0</v>
      </c>
      <c r="H88" s="152">
        <f t="shared" si="24"/>
        <v>0</v>
      </c>
      <c r="I88" s="152">
        <f t="shared" si="24"/>
        <v>0</v>
      </c>
      <c r="J88" s="152">
        <v>0</v>
      </c>
      <c r="K88" s="152">
        <v>0</v>
      </c>
      <c r="L88" s="152">
        <f t="shared" si="25"/>
        <v>0</v>
      </c>
      <c r="M88" s="152">
        <f t="shared" si="25"/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8">
        <f>SUM(D86:D88)</f>
        <v>0</v>
      </c>
      <c r="E89" s="158">
        <f t="shared" ref="E89:M89" si="26">SUM(E86:E88)</f>
        <v>580000</v>
      </c>
      <c r="F89" s="158">
        <f t="shared" si="26"/>
        <v>0</v>
      </c>
      <c r="G89" s="158">
        <f t="shared" si="26"/>
        <v>0</v>
      </c>
      <c r="H89" s="158">
        <f t="shared" si="26"/>
        <v>0</v>
      </c>
      <c r="I89" s="158">
        <f t="shared" si="26"/>
        <v>580000</v>
      </c>
      <c r="J89" s="158">
        <f t="shared" si="26"/>
        <v>0</v>
      </c>
      <c r="K89" s="158">
        <f t="shared" si="26"/>
        <v>0</v>
      </c>
      <c r="L89" s="158">
        <f t="shared" si="26"/>
        <v>0</v>
      </c>
      <c r="M89" s="158">
        <f t="shared" si="26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8">
        <f>+D82+D89</f>
        <v>60000</v>
      </c>
      <c r="E91" s="158">
        <f t="shared" ref="E91:M91" si="27">+E82+E89</f>
        <v>1661270.127214415</v>
      </c>
      <c r="F91" s="158">
        <f t="shared" si="27"/>
        <v>0</v>
      </c>
      <c r="G91" s="158">
        <f t="shared" si="27"/>
        <v>0</v>
      </c>
      <c r="H91" s="158">
        <f t="shared" si="27"/>
        <v>60000</v>
      </c>
      <c r="I91" s="158">
        <f t="shared" si="27"/>
        <v>1661270.127214415</v>
      </c>
      <c r="J91" s="158">
        <f t="shared" si="27"/>
        <v>0</v>
      </c>
      <c r="K91" s="158">
        <f t="shared" si="27"/>
        <v>0</v>
      </c>
      <c r="L91" s="158">
        <f t="shared" si="27"/>
        <v>60000</v>
      </c>
      <c r="M91" s="158">
        <f t="shared" si="27"/>
        <v>1661270.127214415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11729336</v>
      </c>
      <c r="E11" s="65">
        <v>26612640.656129573</v>
      </c>
      <c r="F11" s="65">
        <f>H11-D11</f>
        <v>0</v>
      </c>
      <c r="G11" s="63">
        <f>I11-E11</f>
        <v>0</v>
      </c>
      <c r="H11" s="65">
        <f>D11</f>
        <v>11729336</v>
      </c>
      <c r="I11" s="66">
        <f>E11</f>
        <v>26612640.656129573</v>
      </c>
      <c r="J11" s="60"/>
      <c r="K11" s="38"/>
      <c r="L11" s="60">
        <f t="shared" ref="L11:M15" si="0">H11+J11</f>
        <v>11729336</v>
      </c>
      <c r="M11" s="38">
        <f t="shared" si="0"/>
        <v>26612640.656129573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11729336</v>
      </c>
      <c r="E16" s="39">
        <v>26612640.656129573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11729336</v>
      </c>
      <c r="I16" s="39">
        <f>SUM(I11:I15)</f>
        <v>26612640.656129573</v>
      </c>
      <c r="J16" s="61">
        <f t="shared" si="3"/>
        <v>0</v>
      </c>
      <c r="K16" s="39">
        <f t="shared" si="3"/>
        <v>0</v>
      </c>
      <c r="L16" s="61">
        <f t="shared" si="3"/>
        <v>11729336</v>
      </c>
      <c r="M16" s="39">
        <f t="shared" si="3"/>
        <v>26612640.656129573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-11708048</v>
      </c>
      <c r="E19" s="65">
        <v>-27388022</v>
      </c>
      <c r="F19" s="65">
        <f>H19-D19</f>
        <v>0</v>
      </c>
      <c r="G19" s="63">
        <f>I19-E19</f>
        <v>0</v>
      </c>
      <c r="H19" s="65">
        <f t="shared" si="4"/>
        <v>-11708048</v>
      </c>
      <c r="I19" s="66">
        <f t="shared" si="4"/>
        <v>-27388022</v>
      </c>
      <c r="J19" s="60"/>
      <c r="K19" s="38"/>
      <c r="L19" s="60">
        <f t="shared" ref="L19:M23" si="5">H19+J19</f>
        <v>-11708048</v>
      </c>
      <c r="M19" s="38">
        <f t="shared" si="5"/>
        <v>-27388022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-11708048</v>
      </c>
      <c r="E24" s="39">
        <v>-27388022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-11708048</v>
      </c>
      <c r="I24" s="39">
        <f>SUM(I19:I23)</f>
        <v>-27388022</v>
      </c>
      <c r="J24" s="61">
        <f t="shared" si="7"/>
        <v>0</v>
      </c>
      <c r="K24" s="39">
        <f t="shared" si="7"/>
        <v>0</v>
      </c>
      <c r="L24" s="61">
        <f t="shared" si="7"/>
        <v>-11708048</v>
      </c>
      <c r="M24" s="39">
        <f t="shared" si="7"/>
        <v>-27388022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1573893</v>
      </c>
      <c r="E39" s="65">
        <v>3368132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1573893</v>
      </c>
      <c r="I39" s="66">
        <f t="shared" si="12"/>
        <v>3368132</v>
      </c>
      <c r="J39" s="60"/>
      <c r="K39" s="38"/>
      <c r="L39" s="60">
        <f t="shared" ref="L39:M41" si="14">H39+J39</f>
        <v>1573893</v>
      </c>
      <c r="M39" s="38">
        <f t="shared" si="14"/>
        <v>3368132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-1104551</v>
      </c>
      <c r="E40" s="65">
        <v>-2363738</v>
      </c>
      <c r="F40" s="65">
        <f t="shared" si="13"/>
        <v>0</v>
      </c>
      <c r="G40" s="63">
        <f t="shared" si="13"/>
        <v>0</v>
      </c>
      <c r="H40" s="65">
        <f t="shared" si="12"/>
        <v>-1104551</v>
      </c>
      <c r="I40" s="66">
        <f t="shared" si="12"/>
        <v>-2363738</v>
      </c>
      <c r="J40" s="60"/>
      <c r="K40" s="38"/>
      <c r="L40" s="60">
        <f t="shared" si="14"/>
        <v>-1104551</v>
      </c>
      <c r="M40" s="38">
        <f t="shared" si="14"/>
        <v>-2363738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-1104551</v>
      </c>
      <c r="E42" s="39">
        <v>-2363738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-1104551</v>
      </c>
      <c r="I42" s="39">
        <f>SUM(I40:I41)</f>
        <v>-2363738</v>
      </c>
      <c r="J42" s="61">
        <f t="shared" si="15"/>
        <v>0</v>
      </c>
      <c r="K42" s="39">
        <f t="shared" si="15"/>
        <v>0</v>
      </c>
      <c r="L42" s="61">
        <f t="shared" si="15"/>
        <v>-1104551</v>
      </c>
      <c r="M42" s="39">
        <f t="shared" si="15"/>
        <v>-2363738</v>
      </c>
    </row>
    <row r="43" spans="1:13" ht="21" customHeight="1" x14ac:dyDescent="0.25">
      <c r="A43" s="9"/>
      <c r="B43" s="7" t="s">
        <v>49</v>
      </c>
      <c r="C43" s="6"/>
      <c r="D43" s="61">
        <v>469342</v>
      </c>
      <c r="E43" s="39">
        <v>1004394</v>
      </c>
      <c r="F43" s="61">
        <f t="shared" ref="F43:M43" si="16">F42+F39</f>
        <v>0</v>
      </c>
      <c r="G43" s="39">
        <f t="shared" si="16"/>
        <v>0</v>
      </c>
      <c r="H43" s="61">
        <f>H42+H39</f>
        <v>469342</v>
      </c>
      <c r="I43" s="39">
        <f>I42+I39</f>
        <v>1004394</v>
      </c>
      <c r="J43" s="61">
        <f t="shared" si="16"/>
        <v>0</v>
      </c>
      <c r="K43" s="39">
        <f t="shared" si="16"/>
        <v>0</v>
      </c>
      <c r="L43" s="61">
        <f t="shared" si="16"/>
        <v>469342</v>
      </c>
      <c r="M43" s="39">
        <f t="shared" si="16"/>
        <v>1004394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>
        <v>0</v>
      </c>
      <c r="E46" s="6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>
        <v>0</v>
      </c>
      <c r="E48" s="6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-550630</v>
      </c>
      <c r="E49" s="65">
        <v>-1226176.9012440352</v>
      </c>
      <c r="F49" s="65">
        <f>H49-D49</f>
        <v>0</v>
      </c>
      <c r="G49" s="63">
        <f>I49-E49</f>
        <v>0</v>
      </c>
      <c r="H49" s="65">
        <f>D49</f>
        <v>-550630</v>
      </c>
      <c r="I49" s="66">
        <f>E49</f>
        <v>-1226176.9012440352</v>
      </c>
      <c r="J49" s="60"/>
      <c r="K49" s="38"/>
      <c r="L49" s="60">
        <f>H49+J49</f>
        <v>-550630</v>
      </c>
      <c r="M49" s="38">
        <f>I49+K49</f>
        <v>-1226176.9012440352</v>
      </c>
    </row>
    <row r="50" spans="1:15" x14ac:dyDescent="0.25">
      <c r="A50" s="9"/>
      <c r="B50" s="7"/>
      <c r="C50" s="6"/>
      <c r="D50" s="65">
        <v>0</v>
      </c>
      <c r="E50" s="6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>
        <v>0</v>
      </c>
      <c r="E52" s="6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>
        <v>0</v>
      </c>
      <c r="E53" s="6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5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8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4">
        <f>D16+D24+D29+D36+D43+D45+D47+D49</f>
        <v>-60000</v>
      </c>
      <c r="E82" s="143">
        <f>SUM(E72:E81)+E16+E24+E29+E36+E43+E45+E47+E49+E51+E56+E61+E66</f>
        <v>-4811637.2451144625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7">
        <f>SUM(I72:I81)+I16+I24+I29+I36+I43+I45+I47+I49+I51+I56+I61+I66</f>
        <v>-4811637.2451144625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-4811637.2451144625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124514178</v>
      </c>
      <c r="E11" s="66">
        <f>'EAST-EGM-FLSH'!E11+'EAST-LRC-FLSH'!E11</f>
        <v>285996049</v>
      </c>
      <c r="F11" s="37">
        <f>H11-D11</f>
        <v>0</v>
      </c>
      <c r="G11" s="37">
        <f>I11-E11</f>
        <v>0</v>
      </c>
      <c r="H11" s="60">
        <f>'EAST-EGM-FLSH'!H11+'EAST-LRC-FLSH'!H11</f>
        <v>124514178</v>
      </c>
      <c r="I11" s="38">
        <f>'EAST-EGM-FLSH'!I11+'EAST-LRC-FLSH'!I11</f>
        <v>285996049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124514178</v>
      </c>
      <c r="M11" s="38">
        <f t="shared" si="0"/>
        <v>285996049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35399361</v>
      </c>
      <c r="E13" s="66">
        <f>'EAST-EGM-FLSH'!E13+'EAST-LRC-FLSH'!E13</f>
        <v>83539570</v>
      </c>
      <c r="F13" s="60">
        <f t="shared" si="1"/>
        <v>0</v>
      </c>
      <c r="G13" s="37">
        <f t="shared" si="1"/>
        <v>0</v>
      </c>
      <c r="H13" s="60">
        <f>'EAST-EGM-FLSH'!H13+'EAST-LRC-FLSH'!H13</f>
        <v>35399361</v>
      </c>
      <c r="I13" s="38">
        <f>'EAST-EGM-FLSH'!I13+'EAST-LRC-FLSH'!I13</f>
        <v>83539570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35399361</v>
      </c>
      <c r="M13" s="38">
        <f t="shared" si="0"/>
        <v>83539570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159913539</v>
      </c>
      <c r="E16" s="39">
        <f>SUM(E11:E15)</f>
        <v>369535123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159913539</v>
      </c>
      <c r="I16" s="39">
        <f t="shared" si="2"/>
        <v>369535123</v>
      </c>
      <c r="J16" s="61">
        <f t="shared" si="2"/>
        <v>0</v>
      </c>
      <c r="K16" s="39">
        <f t="shared" si="2"/>
        <v>0</v>
      </c>
      <c r="L16" s="61">
        <f t="shared" si="2"/>
        <v>159913539</v>
      </c>
      <c r="M16" s="39">
        <f t="shared" si="2"/>
        <v>369535123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-124749053</v>
      </c>
      <c r="E19" s="66">
        <f>'EAST-EGM-FLSH'!E19+'EAST-LRC-FLSH'!E19</f>
        <v>-278449746</v>
      </c>
      <c r="F19" s="60">
        <f>H19-D19</f>
        <v>0</v>
      </c>
      <c r="G19" s="37">
        <f>I19-E19</f>
        <v>0</v>
      </c>
      <c r="H19" s="60">
        <f>'EAST-EGM-FLSH'!H19+'EAST-LRC-FLSH'!H19</f>
        <v>-124749053</v>
      </c>
      <c r="I19" s="38">
        <f>'EAST-EGM-FLSH'!I19+'EAST-LRC-FLSH'!I19</f>
        <v>-278449746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-124749053</v>
      </c>
      <c r="M19" s="38">
        <f t="shared" si="3"/>
        <v>-278449746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-35716476</v>
      </c>
      <c r="E21" s="66">
        <f>'EAST-EGM-FLSH'!E21+'EAST-LRC-FLSH'!E21</f>
        <v>-87339489</v>
      </c>
      <c r="F21" s="60">
        <f t="shared" si="4"/>
        <v>0</v>
      </c>
      <c r="G21" s="37">
        <f t="shared" si="4"/>
        <v>0</v>
      </c>
      <c r="H21" s="60">
        <f>'EAST-EGM-FLSH'!H21+'EAST-LRC-FLSH'!H21</f>
        <v>-35716476</v>
      </c>
      <c r="I21" s="38">
        <f>'EAST-EGM-FLSH'!I21+'EAST-LRC-FLSH'!I21</f>
        <v>-87339489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-35716476</v>
      </c>
      <c r="M21" s="38">
        <f t="shared" si="3"/>
        <v>-87339489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126324</v>
      </c>
      <c r="E23" s="66">
        <f>'EAST-EGM-FLSH'!E23+'EAST-LRC-FLSH'!E23</f>
        <v>294758</v>
      </c>
      <c r="F23" s="60">
        <f t="shared" si="4"/>
        <v>0</v>
      </c>
      <c r="G23" s="37">
        <f t="shared" si="4"/>
        <v>0</v>
      </c>
      <c r="H23" s="60">
        <f>'EAST-EGM-FLSH'!H23+'EAST-LRC-FLSH'!H23</f>
        <v>126324</v>
      </c>
      <c r="I23" s="38">
        <f>'EAST-EGM-FLSH'!I23+'EAST-LRC-FLSH'!I23</f>
        <v>294758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126324</v>
      </c>
      <c r="M23" s="38">
        <f t="shared" si="3"/>
        <v>294758</v>
      </c>
    </row>
    <row r="24" spans="1:13" x14ac:dyDescent="0.25">
      <c r="A24" s="9"/>
      <c r="B24" s="7" t="s">
        <v>33</v>
      </c>
      <c r="C24" s="6"/>
      <c r="D24" s="61">
        <f>SUM(D19:D23)</f>
        <v>-160339205</v>
      </c>
      <c r="E24" s="39">
        <f>SUM(E19:E23)</f>
        <v>-365494477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-160339205</v>
      </c>
      <c r="I24" s="39">
        <f t="shared" si="5"/>
        <v>-365494477</v>
      </c>
      <c r="J24" s="61">
        <f t="shared" si="5"/>
        <v>0</v>
      </c>
      <c r="K24" s="39">
        <f t="shared" si="5"/>
        <v>0</v>
      </c>
      <c r="L24" s="61">
        <f t="shared" si="5"/>
        <v>-160339205</v>
      </c>
      <c r="M24" s="39">
        <f t="shared" si="5"/>
        <v>-365494477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-50195</v>
      </c>
      <c r="E32" s="66">
        <f>'EAST-EGM-FLSH'!E32+'EAST-LRC-FLSH'!E32</f>
        <v>-134108</v>
      </c>
      <c r="F32" s="60">
        <f>H32-D32</f>
        <v>0</v>
      </c>
      <c r="G32" s="37">
        <f>I32-E32</f>
        <v>0</v>
      </c>
      <c r="H32" s="60">
        <f>'EAST-EGM-FLSH'!H32+'EAST-LRC-FLSH'!H32</f>
        <v>-50195</v>
      </c>
      <c r="I32" s="38">
        <f>'EAST-EGM-FLSH'!I32+'EAST-LRC-FLSH'!I32</f>
        <v>-134108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-50195</v>
      </c>
      <c r="M32" s="38">
        <f t="shared" si="7"/>
        <v>-134108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343047</v>
      </c>
      <c r="E33" s="66">
        <f>'EAST-EGM-FLSH'!E33+'EAST-LRC-FLSH'!E33</f>
        <v>752294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343047</v>
      </c>
      <c r="I33" s="38">
        <f>'EAST-EGM-FLSH'!I33+'EAST-LRC-FLSH'!I33</f>
        <v>752294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343047</v>
      </c>
      <c r="M33" s="38">
        <f t="shared" si="7"/>
        <v>752294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-411686</v>
      </c>
      <c r="E34" s="66">
        <f>'EAST-EGM-FLSH'!E34+'EAST-LRC-FLSH'!E34</f>
        <v>-904101</v>
      </c>
      <c r="F34" s="60">
        <f t="shared" si="8"/>
        <v>0</v>
      </c>
      <c r="G34" s="37">
        <f t="shared" si="8"/>
        <v>0</v>
      </c>
      <c r="H34" s="60">
        <f>'EAST-EGM-FLSH'!H34+'EAST-LRC-FLSH'!H34</f>
        <v>-411686</v>
      </c>
      <c r="I34" s="38">
        <f>'EAST-EGM-FLSH'!I34+'EAST-LRC-FLSH'!I34</f>
        <v>-904101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-411686</v>
      </c>
      <c r="M34" s="38">
        <f t="shared" si="7"/>
        <v>-904101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-177265</v>
      </c>
      <c r="E35" s="66">
        <f>'EAST-EGM-FLSH'!E35+'EAST-LRC-FLSH'!E35</f>
        <v>-380601</v>
      </c>
      <c r="F35" s="60">
        <f t="shared" si="8"/>
        <v>0</v>
      </c>
      <c r="G35" s="37">
        <f t="shared" si="8"/>
        <v>0</v>
      </c>
      <c r="H35" s="60">
        <f>'EAST-EGM-FLSH'!H35+'EAST-LRC-FLSH'!H35</f>
        <v>-177265</v>
      </c>
      <c r="I35" s="38">
        <f>'EAST-EGM-FLSH'!I35+'EAST-LRC-FLSH'!I35</f>
        <v>-380601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-177265</v>
      </c>
      <c r="M35" s="38">
        <f t="shared" si="7"/>
        <v>-380601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-296099</v>
      </c>
      <c r="E36" s="39">
        <f t="shared" si="9"/>
        <v>-666516</v>
      </c>
      <c r="F36" s="61">
        <f t="shared" si="9"/>
        <v>0</v>
      </c>
      <c r="G36" s="39">
        <f t="shared" si="9"/>
        <v>0</v>
      </c>
      <c r="H36" s="61">
        <f t="shared" si="9"/>
        <v>-296099</v>
      </c>
      <c r="I36" s="39">
        <f t="shared" si="9"/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1573893</v>
      </c>
      <c r="E39" s="66">
        <f>'EAST-EGM-FLSH'!E39+'EAST-LRC-FLSH'!E39</f>
        <v>3368132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1573893</v>
      </c>
      <c r="I39" s="38">
        <f>'EAST-EGM-FLSH'!I39+'EAST-LRC-FLSH'!I39</f>
        <v>3368132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1573893</v>
      </c>
      <c r="M39" s="38">
        <f t="shared" si="11"/>
        <v>3368132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-1086835</v>
      </c>
      <c r="E40" s="66">
        <f>'EAST-EGM-FLSH'!E40+'EAST-LRC-FLSH'!E40</f>
        <v>-2325826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-1086835</v>
      </c>
      <c r="I40" s="38">
        <f>'EAST-EGM-FLSH'!I40+'EAST-LRC-FLSH'!I40</f>
        <v>-2325826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-1086835</v>
      </c>
      <c r="M40" s="38">
        <f t="shared" si="11"/>
        <v>-2325826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-1086835</v>
      </c>
      <c r="E42" s="39">
        <f>SUM(E40:E41)</f>
        <v>-2325826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-1086835</v>
      </c>
      <c r="I42" s="39">
        <f t="shared" si="12"/>
        <v>-2325826</v>
      </c>
      <c r="J42" s="61">
        <f t="shared" si="12"/>
        <v>0</v>
      </c>
      <c r="K42" s="39">
        <f t="shared" si="12"/>
        <v>0</v>
      </c>
      <c r="L42" s="61">
        <f t="shared" si="12"/>
        <v>-1086835</v>
      </c>
      <c r="M42" s="39">
        <f t="shared" si="12"/>
        <v>-2325826</v>
      </c>
    </row>
    <row r="43" spans="1:13" ht="21" customHeight="1" x14ac:dyDescent="0.25">
      <c r="A43" s="9"/>
      <c r="B43" s="7" t="s">
        <v>49</v>
      </c>
      <c r="C43" s="6"/>
      <c r="D43" s="61">
        <f>D42+D39</f>
        <v>487058</v>
      </c>
      <c r="E43" s="39">
        <f>E42+E39</f>
        <v>1042306</v>
      </c>
      <c r="F43" s="61">
        <f t="shared" ref="F43:M43" si="13">F42+F39</f>
        <v>0</v>
      </c>
      <c r="G43" s="39">
        <f t="shared" si="13"/>
        <v>0</v>
      </c>
      <c r="H43" s="61">
        <f t="shared" si="13"/>
        <v>487058</v>
      </c>
      <c r="I43" s="39">
        <f t="shared" si="13"/>
        <v>1042306</v>
      </c>
      <c r="J43" s="61">
        <f t="shared" si="13"/>
        <v>0</v>
      </c>
      <c r="K43" s="39">
        <f t="shared" si="13"/>
        <v>0</v>
      </c>
      <c r="L43" s="61">
        <f t="shared" si="13"/>
        <v>487058</v>
      </c>
      <c r="M43" s="39">
        <f t="shared" si="13"/>
        <v>1042306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234707</v>
      </c>
      <c r="E49" s="66">
        <f>'EAST-EGM-FLSH'!E49+'EAST-LRC-FLSH'!E49</f>
        <v>511895.96699999995</v>
      </c>
      <c r="F49" s="60">
        <f>H49-D49</f>
        <v>0</v>
      </c>
      <c r="G49" s="37">
        <f>I49-E49</f>
        <v>0</v>
      </c>
      <c r="H49" s="60">
        <f>'EAST-EGM-FLSH'!H49+'EAST-LRC-FLSH'!H49</f>
        <v>234707</v>
      </c>
      <c r="I49" s="38">
        <f>'EAST-EGM-FLSH'!I49+'EAST-LRC-FLSH'!I49</f>
        <v>511895.96699999995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234707</v>
      </c>
      <c r="M49" s="38">
        <f>I49+K49</f>
        <v>511895.96699999995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-126324</v>
      </c>
      <c r="E51" s="66">
        <f>'EAST-EGM-FLSH'!E51+'EAST-LRC-FLSH'!E51</f>
        <v>-294758</v>
      </c>
      <c r="F51" s="60">
        <f>H51-D51</f>
        <v>0</v>
      </c>
      <c r="G51" s="37">
        <f>I51-E51</f>
        <v>0</v>
      </c>
      <c r="H51" s="60">
        <f>'EAST-EGM-FLSH'!H51+'EAST-LRC-FLSH'!H51</f>
        <v>-126324</v>
      </c>
      <c r="I51" s="38">
        <f>'EAST-EGM-FLSH'!I51+'EAST-LRC-FLSH'!I51</f>
        <v>-294758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-126324</v>
      </c>
      <c r="M51" s="38">
        <f>I51+K51</f>
        <v>-294758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-528962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-528962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-528962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-474120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-474120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-474120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-1003082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-1003082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-1003082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42944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42944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42944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42944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42944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42944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5194257.0563999992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5194257.0563999992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5194257.0563999992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-15409479.086300001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-15409479.086300001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-15409479.086300001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-10215222.029900001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-10215222.029900001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-10215222.029900001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6568205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6568205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6568205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111621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111621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111621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-10489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-10489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-10489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51367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51367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51367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-3730367.1179000214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-3730367.1179000214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-3730367.1179000214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-3730367.1179000475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6"/>
      <c r="C86" s="10" t="s">
        <v>166</v>
      </c>
      <c r="D86" s="147">
        <f>'EAST-EGM-FLSH'!D86+'EAST-LRC-FLSH'!D86</f>
        <v>0</v>
      </c>
      <c r="E86" s="147">
        <f>'EAST-EGM-FLSH'!E86+'EAST-LRC-FLSH'!E86</f>
        <v>580000</v>
      </c>
      <c r="F86" s="147">
        <f>'EAST-EGM-FLSH'!F86+'EAST-LRC-FLSH'!F86</f>
        <v>0</v>
      </c>
      <c r="G86" s="147">
        <f>'EAST-EGM-FLSH'!G86+'EAST-LRC-FLSH'!G86</f>
        <v>0</v>
      </c>
      <c r="H86" s="147">
        <f>'EAST-EGM-FLSH'!H86+'EAST-LRC-FLSH'!H86</f>
        <v>0</v>
      </c>
      <c r="I86" s="147">
        <f>'EAST-EGM-FLSH'!I86+'EAST-LRC-FLSH'!I86</f>
        <v>580000</v>
      </c>
      <c r="J86" s="147">
        <f>'EAST-EGM-FLSH'!J86+'EAST-LRC-FLSH'!J86</f>
        <v>0</v>
      </c>
      <c r="K86" s="147">
        <f>'EAST-EGM-FLSH'!K86+'EAST-LRC-FLSH'!K86</f>
        <v>0</v>
      </c>
      <c r="L86" s="147">
        <f>'EAST-EGM-FLSH'!L86+'EAST-LRC-FLSH'!L86</f>
        <v>0</v>
      </c>
      <c r="M86" s="147">
        <f>'EAST-EGM-FLSH'!M86+'EAST-LRC-FLSH'!M86</f>
        <v>580000</v>
      </c>
    </row>
    <row r="87" spans="1:67" s="3" customFormat="1" x14ac:dyDescent="0.25">
      <c r="A87" s="146"/>
      <c r="C87" s="10" t="s">
        <v>71</v>
      </c>
      <c r="D87" s="148">
        <f>'EAST-EGM-FLSH'!D87+'EAST-LRC-FLSH'!D87</f>
        <v>0</v>
      </c>
      <c r="E87" s="148">
        <f>'EAST-EGM-FLSH'!E87+'EAST-LRC-FLSH'!E87</f>
        <v>0</v>
      </c>
      <c r="F87" s="148">
        <f>'EAST-EGM-FLSH'!F87+'EAST-LRC-FLSH'!F87</f>
        <v>0</v>
      </c>
      <c r="G87" s="148">
        <f>'EAST-EGM-FLSH'!G87+'EAST-LRC-FLSH'!G87</f>
        <v>0</v>
      </c>
      <c r="H87" s="148">
        <f>'EAST-EGM-FLSH'!H87+'EAST-LRC-FLSH'!H87</f>
        <v>0</v>
      </c>
      <c r="I87" s="148">
        <f>'EAST-EGM-FLSH'!I87+'EAST-LRC-FLSH'!I87</f>
        <v>0</v>
      </c>
      <c r="J87" s="148">
        <f>'EAST-EGM-FLSH'!J87+'EAST-LRC-FLSH'!J87</f>
        <v>0</v>
      </c>
      <c r="K87" s="148">
        <f>'EAST-EGM-FLSH'!K87+'EAST-LRC-FLSH'!K87</f>
        <v>0</v>
      </c>
      <c r="L87" s="148">
        <f>'EAST-EGM-FLSH'!L87+'EAST-LRC-FLSH'!L87</f>
        <v>0</v>
      </c>
      <c r="M87" s="148">
        <f>'EAST-EGM-FLSH'!M87+'EAST-LRC-FLSH'!M87</f>
        <v>0</v>
      </c>
    </row>
    <row r="88" spans="1:67" s="3" customFormat="1" x14ac:dyDescent="0.25">
      <c r="A88" s="146"/>
      <c r="C88" s="10" t="s">
        <v>72</v>
      </c>
      <c r="D88" s="149">
        <f>'EAST-EGM-FLSH'!D88+'EAST-LRC-FLSH'!D88</f>
        <v>0</v>
      </c>
      <c r="E88" s="149">
        <f>'EAST-EGM-FLSH'!E88+'EAST-LRC-FLSH'!E88</f>
        <v>0</v>
      </c>
      <c r="F88" s="149">
        <f>'EAST-EGM-FLSH'!F88+'EAST-LRC-FLSH'!F88</f>
        <v>0</v>
      </c>
      <c r="G88" s="149">
        <f>'EAST-EGM-FLSH'!G88+'EAST-LRC-FLSH'!G88</f>
        <v>0</v>
      </c>
      <c r="H88" s="149">
        <f>'EAST-EGM-FLSH'!H88+'EAST-LRC-FLSH'!H88</f>
        <v>0</v>
      </c>
      <c r="I88" s="149">
        <f>'EAST-EGM-FLSH'!I88+'EAST-LRC-FLSH'!I88</f>
        <v>0</v>
      </c>
      <c r="J88" s="149">
        <f>'EAST-EGM-FLSH'!J88+'EAST-LRC-FLSH'!J88</f>
        <v>0</v>
      </c>
      <c r="K88" s="149">
        <f>'EAST-EGM-FLSH'!K88+'EAST-LRC-FLSH'!K88</f>
        <v>0</v>
      </c>
      <c r="L88" s="149">
        <f>'EAST-EGM-FLSH'!L88+'EAST-LRC-FLSH'!L88</f>
        <v>0</v>
      </c>
      <c r="M88" s="149">
        <f>'EAST-EGM-FLSH'!M88+'EAST-LRC-FLSH'!M88</f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580000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580000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-3150367.1179000214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-3150367.1179000214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-3150367.1179000214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12127030</v>
      </c>
      <c r="E11" s="38">
        <v>26103308.859999999</v>
      </c>
      <c r="F11" s="65">
        <f>H11-D11</f>
        <v>0</v>
      </c>
      <c r="G11" s="63">
        <f>I11-E11</f>
        <v>0</v>
      </c>
      <c r="H11" s="65">
        <f>D11</f>
        <v>12127030</v>
      </c>
      <c r="I11" s="66">
        <f>E11</f>
        <v>26103308.859999999</v>
      </c>
      <c r="J11" s="60"/>
      <c r="K11" s="38"/>
      <c r="L11" s="60">
        <f t="shared" ref="L11:M15" si="0">H11+J11</f>
        <v>12127030</v>
      </c>
      <c r="M11" s="38">
        <f t="shared" si="0"/>
        <v>26103308.859999999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494916</v>
      </c>
      <c r="E13" s="38">
        <v>1135536.7</v>
      </c>
      <c r="F13" s="65">
        <f t="shared" si="1"/>
        <v>0</v>
      </c>
      <c r="G13" s="63">
        <f t="shared" si="1"/>
        <v>0</v>
      </c>
      <c r="H13" s="65">
        <f t="shared" si="2"/>
        <v>494916</v>
      </c>
      <c r="I13" s="66">
        <f t="shared" si="2"/>
        <v>1135536.7</v>
      </c>
      <c r="J13" s="60"/>
      <c r="K13" s="38"/>
      <c r="L13" s="60">
        <f t="shared" si="0"/>
        <v>494916</v>
      </c>
      <c r="M13" s="38">
        <f t="shared" si="0"/>
        <v>1135536.7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12621946</v>
      </c>
      <c r="E16" s="39">
        <v>27238845.559999999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12621946</v>
      </c>
      <c r="I16" s="39">
        <f>SUM(I11:I15)</f>
        <v>27238845.559999999</v>
      </c>
      <c r="J16" s="61">
        <f t="shared" si="3"/>
        <v>0</v>
      </c>
      <c r="K16" s="39">
        <f t="shared" si="3"/>
        <v>0</v>
      </c>
      <c r="L16" s="61">
        <f t="shared" si="3"/>
        <v>12621946</v>
      </c>
      <c r="M16" s="39">
        <f t="shared" si="3"/>
        <v>27238845.559999999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-565017</v>
      </c>
      <c r="E19" s="38">
        <v>-1238595.26</v>
      </c>
      <c r="F19" s="65">
        <f>H19-D19</f>
        <v>0</v>
      </c>
      <c r="G19" s="63">
        <f>I19-E19</f>
        <v>0</v>
      </c>
      <c r="H19" s="65">
        <f t="shared" si="4"/>
        <v>-565017</v>
      </c>
      <c r="I19" s="66">
        <f t="shared" si="4"/>
        <v>-1238595.26</v>
      </c>
      <c r="J19" s="60"/>
      <c r="K19" s="38"/>
      <c r="L19" s="60">
        <f t="shared" ref="L19:M23" si="5">H19+J19</f>
        <v>-565017</v>
      </c>
      <c r="M19" s="38">
        <f t="shared" si="5"/>
        <v>-1238595.26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-20000</v>
      </c>
      <c r="E21" s="38">
        <v>-41600</v>
      </c>
      <c r="F21" s="65">
        <f t="shared" si="6"/>
        <v>0</v>
      </c>
      <c r="G21" s="63">
        <f t="shared" si="6"/>
        <v>0</v>
      </c>
      <c r="H21" s="65">
        <f t="shared" si="4"/>
        <v>-20000</v>
      </c>
      <c r="I21" s="66">
        <f t="shared" si="4"/>
        <v>-41600</v>
      </c>
      <c r="J21" s="60"/>
      <c r="K21" s="38"/>
      <c r="L21" s="60">
        <f t="shared" si="5"/>
        <v>-20000</v>
      </c>
      <c r="M21" s="38">
        <f t="shared" si="5"/>
        <v>-41600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5</v>
      </c>
      <c r="E23" s="38">
        <v>11</v>
      </c>
      <c r="F23" s="65">
        <f t="shared" si="6"/>
        <v>0</v>
      </c>
      <c r="G23" s="63">
        <f t="shared" si="6"/>
        <v>0</v>
      </c>
      <c r="H23" s="65">
        <f t="shared" si="4"/>
        <v>5</v>
      </c>
      <c r="I23" s="66">
        <f t="shared" si="4"/>
        <v>11</v>
      </c>
      <c r="J23" s="60"/>
      <c r="K23" s="38"/>
      <c r="L23" s="60">
        <f t="shared" si="5"/>
        <v>5</v>
      </c>
      <c r="M23" s="38">
        <f t="shared" si="5"/>
        <v>11</v>
      </c>
    </row>
    <row r="24" spans="1:13" x14ac:dyDescent="0.25">
      <c r="A24" s="9"/>
      <c r="B24" s="7" t="s">
        <v>33</v>
      </c>
      <c r="C24" s="6"/>
      <c r="D24" s="61">
        <v>-585012</v>
      </c>
      <c r="E24" s="39">
        <v>-1280184.26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-585012</v>
      </c>
      <c r="I24" s="39">
        <f>SUM(I19:I23)</f>
        <v>-1280184.26</v>
      </c>
      <c r="J24" s="61">
        <f t="shared" si="7"/>
        <v>0</v>
      </c>
      <c r="K24" s="39">
        <f t="shared" si="7"/>
        <v>0</v>
      </c>
      <c r="L24" s="61">
        <f t="shared" si="7"/>
        <v>-585012</v>
      </c>
      <c r="M24" s="39">
        <f t="shared" si="7"/>
        <v>-1280184.26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8946474</v>
      </c>
      <c r="E27" s="38">
        <v>20485312.329999998</v>
      </c>
      <c r="F27" s="65">
        <f>H27-D27</f>
        <v>0</v>
      </c>
      <c r="G27" s="63">
        <f>I27-E27</f>
        <v>0</v>
      </c>
      <c r="H27" s="65">
        <f>D27</f>
        <v>8946474</v>
      </c>
      <c r="I27" s="66">
        <f>E27</f>
        <v>20485312.329999998</v>
      </c>
      <c r="J27" s="60"/>
      <c r="K27" s="38"/>
      <c r="L27" s="60">
        <f>H27+J27</f>
        <v>8946474</v>
      </c>
      <c r="M27" s="38">
        <f>I27+K27</f>
        <v>20485312.329999998</v>
      </c>
    </row>
    <row r="28" spans="1:13" x14ac:dyDescent="0.25">
      <c r="A28" s="9">
        <v>12</v>
      </c>
      <c r="B28" s="7"/>
      <c r="C28" s="18" t="s">
        <v>36</v>
      </c>
      <c r="D28" s="60">
        <v>-13154986</v>
      </c>
      <c r="E28" s="38">
        <v>-29688203.200000003</v>
      </c>
      <c r="F28" s="65">
        <f>H28-D28</f>
        <v>0</v>
      </c>
      <c r="G28" s="63">
        <f>I28-E28</f>
        <v>0</v>
      </c>
      <c r="H28" s="65">
        <f>D28</f>
        <v>-13154986</v>
      </c>
      <c r="I28" s="66">
        <f>E28</f>
        <v>-29688203.200000003</v>
      </c>
      <c r="J28" s="60"/>
      <c r="K28" s="38"/>
      <c r="L28" s="60">
        <f>H28+J28</f>
        <v>-13154986</v>
      </c>
      <c r="M28" s="38">
        <f>I28+K28</f>
        <v>-29688203.200000003</v>
      </c>
    </row>
    <row r="29" spans="1:13" x14ac:dyDescent="0.25">
      <c r="A29" s="9"/>
      <c r="B29" s="7" t="s">
        <v>37</v>
      </c>
      <c r="C29" s="6"/>
      <c r="D29" s="61">
        <v>-4208512</v>
      </c>
      <c r="E29" s="39">
        <v>-9202890.8700000048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-4208512</v>
      </c>
      <c r="I29" s="39">
        <f>SUM(I27:I28)</f>
        <v>-9202890.8700000048</v>
      </c>
      <c r="J29" s="61">
        <f t="shared" si="8"/>
        <v>0</v>
      </c>
      <c r="K29" s="39">
        <f t="shared" si="8"/>
        <v>0</v>
      </c>
      <c r="L29" s="61">
        <f t="shared" si="8"/>
        <v>-4208512</v>
      </c>
      <c r="M29" s="39">
        <f t="shared" si="8"/>
        <v>-9202890.8700000048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-557916</v>
      </c>
      <c r="E40" s="38">
        <v>-1276941.74</v>
      </c>
      <c r="F40" s="65">
        <f t="shared" si="13"/>
        <v>0</v>
      </c>
      <c r="G40" s="63">
        <f t="shared" si="13"/>
        <v>0</v>
      </c>
      <c r="H40" s="65">
        <f t="shared" si="12"/>
        <v>-557916</v>
      </c>
      <c r="I40" s="66">
        <f t="shared" si="12"/>
        <v>-1276941.74</v>
      </c>
      <c r="J40" s="60"/>
      <c r="K40" s="38"/>
      <c r="L40" s="60">
        <f t="shared" si="14"/>
        <v>-557916</v>
      </c>
      <c r="M40" s="38">
        <f t="shared" si="14"/>
        <v>-1276941.74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-557916</v>
      </c>
      <c r="E42" s="39">
        <v>-1276941.74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-557916</v>
      </c>
      <c r="I42" s="39">
        <f>SUM(I40:I41)</f>
        <v>-1276941.74</v>
      </c>
      <c r="J42" s="61">
        <f t="shared" si="15"/>
        <v>0</v>
      </c>
      <c r="K42" s="39">
        <f t="shared" si="15"/>
        <v>0</v>
      </c>
      <c r="L42" s="69">
        <f t="shared" si="15"/>
        <v>-557916</v>
      </c>
      <c r="M42" s="70">
        <f t="shared" si="15"/>
        <v>-1276941.74</v>
      </c>
    </row>
    <row r="43" spans="1:13" ht="21" customHeight="1" x14ac:dyDescent="0.25">
      <c r="A43" s="9"/>
      <c r="B43" s="7" t="s">
        <v>49</v>
      </c>
      <c r="C43" s="6"/>
      <c r="D43" s="60">
        <v>-557916</v>
      </c>
      <c r="E43" s="38">
        <v>-1276941.74</v>
      </c>
      <c r="F43" s="61">
        <f t="shared" ref="F43:M43" si="16">F42+F39</f>
        <v>0</v>
      </c>
      <c r="G43" s="39">
        <f t="shared" si="16"/>
        <v>0</v>
      </c>
      <c r="H43" s="61">
        <f>H42+H39</f>
        <v>-557916</v>
      </c>
      <c r="I43" s="39">
        <f>I42+I39</f>
        <v>-1276941.74</v>
      </c>
      <c r="J43" s="61">
        <f t="shared" si="16"/>
        <v>0</v>
      </c>
      <c r="K43" s="39">
        <f t="shared" si="16"/>
        <v>0</v>
      </c>
      <c r="L43" s="61">
        <f t="shared" si="16"/>
        <v>-557916</v>
      </c>
      <c r="M43" s="39">
        <f t="shared" si="16"/>
        <v>-1276941.74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-7270506</v>
      </c>
      <c r="E49" s="38">
        <v>-14886324.301463248</v>
      </c>
      <c r="F49" s="65">
        <f>H49-D49</f>
        <v>0</v>
      </c>
      <c r="G49" s="63">
        <f>I49-E49</f>
        <v>0</v>
      </c>
      <c r="H49" s="65">
        <f>D49</f>
        <v>-7270506</v>
      </c>
      <c r="I49" s="66">
        <f>E49</f>
        <v>-14886324.301463248</v>
      </c>
      <c r="J49" s="60"/>
      <c r="K49" s="38"/>
      <c r="L49" s="60">
        <f>H49+J49</f>
        <v>-7270506</v>
      </c>
      <c r="M49" s="38">
        <f>I49+K49</f>
        <v>-14886324.301463248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-5</v>
      </c>
      <c r="E51" s="38">
        <v>0</v>
      </c>
      <c r="F51" s="65">
        <f>H51-D51</f>
        <v>0</v>
      </c>
      <c r="G51" s="63">
        <f>I51-E51</f>
        <v>0</v>
      </c>
      <c r="H51" s="65">
        <f>D51</f>
        <v>-5</v>
      </c>
      <c r="I51" s="66">
        <f>E51</f>
        <v>0</v>
      </c>
      <c r="J51" s="60"/>
      <c r="K51" s="38"/>
      <c r="L51" s="60">
        <f>H51+J51</f>
        <v>-5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-165443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-165443</v>
      </c>
      <c r="J54" s="60"/>
      <c r="K54" s="38"/>
      <c r="L54" s="60">
        <f>H54+J54</f>
        <v>0</v>
      </c>
      <c r="M54" s="38">
        <f>I54+K54</f>
        <v>-165443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-165443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-165443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-165443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-848403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-848403</v>
      </c>
      <c r="J70" s="60"/>
      <c r="K70" s="38"/>
      <c r="L70" s="60">
        <f t="shared" si="20"/>
        <v>0</v>
      </c>
      <c r="M70" s="38">
        <f t="shared" si="20"/>
        <v>-848403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2098676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2098676</v>
      </c>
      <c r="J71" s="60"/>
      <c r="K71" s="38"/>
      <c r="L71" s="60">
        <f t="shared" si="20"/>
        <v>0</v>
      </c>
      <c r="M71" s="38">
        <f t="shared" si="20"/>
        <v>2098676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1250273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1250273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1250273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-287608.71999999997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-287608.71999999997</v>
      </c>
      <c r="J74" s="60"/>
      <c r="K74" s="38"/>
      <c r="L74" s="60">
        <f t="shared" si="23"/>
        <v>0</v>
      </c>
      <c r="M74" s="38">
        <f t="shared" si="23"/>
        <v>-287608.71999999997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1389725.668536745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1389725.668536745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1389725.668536745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1355574.3969227336</v>
      </c>
    </row>
    <row r="86" spans="1:67" s="3" customFormat="1" x14ac:dyDescent="0.25">
      <c r="A86" s="146"/>
      <c r="C86" s="10" t="s">
        <v>166</v>
      </c>
      <c r="D86" s="150">
        <v>0</v>
      </c>
      <c r="E86" s="150">
        <v>9167000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9167000</v>
      </c>
      <c r="J86" s="150"/>
      <c r="K86" s="150"/>
      <c r="L86" s="150">
        <f t="shared" ref="L86:M88" si="27">H86+J86</f>
        <v>0</v>
      </c>
      <c r="M86" s="150">
        <f t="shared" si="27"/>
        <v>9167000</v>
      </c>
    </row>
    <row r="87" spans="1:67" s="3" customFormat="1" x14ac:dyDescent="0.25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67" s="3" customFormat="1" x14ac:dyDescent="0.25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8">SUM(E86:E88)</f>
        <v>9167000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9167000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9">+E82+E89</f>
        <v>10556725.668536745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10556725.668536745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10556725.668536745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3119128</v>
      </c>
      <c r="E11" s="60">
        <v>7105606.1399999857</v>
      </c>
      <c r="F11" s="60">
        <f>H11-D11</f>
        <v>0</v>
      </c>
      <c r="G11" s="37">
        <f>I11-E11</f>
        <v>0</v>
      </c>
      <c r="H11" s="65">
        <f>D11</f>
        <v>3119128</v>
      </c>
      <c r="I11" s="66">
        <f>E11</f>
        <v>7105606.1399999857</v>
      </c>
      <c r="J11" s="60"/>
      <c r="K11" s="38"/>
      <c r="L11" s="60">
        <f t="shared" ref="L11:M15" si="0">H11+J11</f>
        <v>3119128</v>
      </c>
      <c r="M11" s="38">
        <f t="shared" si="0"/>
        <v>7105606.1399999857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-0.70000000018626451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-0.70000000018626451</v>
      </c>
      <c r="J13" s="60"/>
      <c r="K13" s="38"/>
      <c r="L13" s="60">
        <f t="shared" si="0"/>
        <v>0</v>
      </c>
      <c r="M13" s="38">
        <f t="shared" si="0"/>
        <v>-0.70000000018626451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3119128</v>
      </c>
      <c r="E16" s="39">
        <v>7105605.4399999855</v>
      </c>
      <c r="F16" s="61">
        <f t="shared" ref="F16:M16" si="3">SUM(F11:F15)</f>
        <v>0</v>
      </c>
      <c r="G16" s="39">
        <f t="shared" si="3"/>
        <v>0</v>
      </c>
      <c r="H16" s="61">
        <f>SUM(H11:H15)</f>
        <v>3119128</v>
      </c>
      <c r="I16" s="39">
        <f>SUM(I11:I15)</f>
        <v>7105605.4399999855</v>
      </c>
      <c r="J16" s="61">
        <f t="shared" si="3"/>
        <v>0</v>
      </c>
      <c r="K16" s="39">
        <f t="shared" si="3"/>
        <v>0</v>
      </c>
      <c r="L16" s="61">
        <f t="shared" si="3"/>
        <v>3119128</v>
      </c>
      <c r="M16" s="39">
        <f t="shared" si="3"/>
        <v>7105605.4399999855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-7432860</v>
      </c>
      <c r="E19" s="60">
        <v>-16558084.74000001</v>
      </c>
      <c r="F19" s="60">
        <f>H19-D19</f>
        <v>0</v>
      </c>
      <c r="G19" s="37">
        <f>I19-E19</f>
        <v>0</v>
      </c>
      <c r="H19" s="65">
        <f t="shared" si="4"/>
        <v>-7432860</v>
      </c>
      <c r="I19" s="66">
        <f t="shared" si="4"/>
        <v>-16558084.74000001</v>
      </c>
      <c r="J19" s="60"/>
      <c r="K19" s="38"/>
      <c r="L19" s="60">
        <f t="shared" ref="L19:M23" si="5">H19+J19</f>
        <v>-7432860</v>
      </c>
      <c r="M19" s="38">
        <f t="shared" si="5"/>
        <v>-16558084.74000001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-1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</v>
      </c>
      <c r="J23" s="60"/>
      <c r="K23" s="38"/>
      <c r="L23" s="60">
        <f t="shared" si="5"/>
        <v>0</v>
      </c>
      <c r="M23" s="38">
        <f t="shared" si="5"/>
        <v>-1</v>
      </c>
    </row>
    <row r="24" spans="1:13" x14ac:dyDescent="0.25">
      <c r="A24" s="9"/>
      <c r="B24" s="7" t="s">
        <v>33</v>
      </c>
      <c r="C24" s="6"/>
      <c r="D24" s="61">
        <v>-7432860</v>
      </c>
      <c r="E24" s="39">
        <v>-16558085.74000001</v>
      </c>
      <c r="F24" s="61">
        <f t="shared" ref="F24:M24" si="7">SUM(F19:F23)</f>
        <v>0</v>
      </c>
      <c r="G24" s="39">
        <f t="shared" si="7"/>
        <v>0</v>
      </c>
      <c r="H24" s="61">
        <f>SUM(H19:H23)</f>
        <v>-7432860</v>
      </c>
      <c r="I24" s="39">
        <f>SUM(I19:I23)</f>
        <v>-16558085.74000001</v>
      </c>
      <c r="J24" s="61">
        <f t="shared" si="7"/>
        <v>0</v>
      </c>
      <c r="K24" s="39">
        <f t="shared" si="7"/>
        <v>0</v>
      </c>
      <c r="L24" s="61">
        <f t="shared" si="7"/>
        <v>-7432860</v>
      </c>
      <c r="M24" s="39">
        <f t="shared" si="7"/>
        <v>-16558085.74000001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-2986570</v>
      </c>
      <c r="E27" s="60">
        <v>-6821596.3299999982</v>
      </c>
      <c r="F27" s="60">
        <f>H27-D27</f>
        <v>0</v>
      </c>
      <c r="G27" s="37">
        <f>I27-E27</f>
        <v>0</v>
      </c>
      <c r="H27" s="65">
        <f>D27</f>
        <v>-2986570</v>
      </c>
      <c r="I27" s="66">
        <f>E27</f>
        <v>-6821596.3299999982</v>
      </c>
      <c r="J27" s="60"/>
      <c r="K27" s="38"/>
      <c r="L27" s="60">
        <f>H27+J27</f>
        <v>-2986570</v>
      </c>
      <c r="M27" s="38">
        <f>I27+K27</f>
        <v>-6821596.3299999982</v>
      </c>
    </row>
    <row r="28" spans="1:13" x14ac:dyDescent="0.25">
      <c r="A28" s="9">
        <v>12</v>
      </c>
      <c r="B28" s="7"/>
      <c r="C28" s="18" t="s">
        <v>36</v>
      </c>
      <c r="D28" s="60">
        <v>7195082</v>
      </c>
      <c r="E28" s="60">
        <v>16024487.200000003</v>
      </c>
      <c r="F28" s="60">
        <f>H28-D28</f>
        <v>0</v>
      </c>
      <c r="G28" s="37">
        <f>I28-E28</f>
        <v>0</v>
      </c>
      <c r="H28" s="65">
        <f>D28</f>
        <v>7195082</v>
      </c>
      <c r="I28" s="66">
        <f>E28</f>
        <v>16024487.200000003</v>
      </c>
      <c r="J28" s="60"/>
      <c r="K28" s="38"/>
      <c r="L28" s="60">
        <f>H28+J28</f>
        <v>7195082</v>
      </c>
      <c r="M28" s="38">
        <f>I28+K28</f>
        <v>16024487.200000003</v>
      </c>
    </row>
    <row r="29" spans="1:13" x14ac:dyDescent="0.25">
      <c r="A29" s="9"/>
      <c r="B29" s="7" t="s">
        <v>37</v>
      </c>
      <c r="C29" s="6"/>
      <c r="D29" s="61">
        <v>4208512</v>
      </c>
      <c r="E29" s="39">
        <v>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4208512</v>
      </c>
      <c r="I29" s="39">
        <f>SUM(I27:I28)</f>
        <v>9202890.8700000048</v>
      </c>
      <c r="J29" s="61">
        <f t="shared" si="8"/>
        <v>0</v>
      </c>
      <c r="K29" s="39">
        <f t="shared" si="8"/>
        <v>0</v>
      </c>
      <c r="L29" s="61">
        <f t="shared" si="8"/>
        <v>4208512</v>
      </c>
      <c r="M29" s="39">
        <f t="shared" si="8"/>
        <v>9202890.8700000048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0.73999999836087227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0.73999999836087227</v>
      </c>
      <c r="J40" s="60"/>
      <c r="K40" s="38"/>
      <c r="L40" s="60">
        <f t="shared" si="14"/>
        <v>0</v>
      </c>
      <c r="M40" s="38">
        <f t="shared" si="14"/>
        <v>0.73999999836087227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0.73999999836087227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0.73999999836087227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0.73999999836087227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0.73999999836087227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0.73999999836087227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0.73999999836087227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105220</v>
      </c>
      <c r="E49" s="60">
        <v>215437.41838600859</v>
      </c>
      <c r="F49" s="60">
        <f>H49-D49</f>
        <v>0</v>
      </c>
      <c r="G49" s="37">
        <f>I49-E49</f>
        <v>0</v>
      </c>
      <c r="H49" s="65">
        <f>D49</f>
        <v>105220</v>
      </c>
      <c r="I49" s="66">
        <f>E49</f>
        <v>215437.41838600859</v>
      </c>
      <c r="J49" s="60"/>
      <c r="K49" s="38"/>
      <c r="L49" s="60">
        <f>H49+J49</f>
        <v>105220</v>
      </c>
      <c r="M49" s="38">
        <f>I49+K49</f>
        <v>215437.41838600859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5</v>
      </c>
      <c r="E51" s="60">
        <v>0</v>
      </c>
      <c r="F51" s="60">
        <f>H51-D51</f>
        <v>0</v>
      </c>
      <c r="G51" s="37">
        <f>I51-E51</f>
        <v>0</v>
      </c>
      <c r="H51" s="65">
        <f>D51</f>
        <v>5</v>
      </c>
      <c r="I51" s="66">
        <f>E51</f>
        <v>0</v>
      </c>
      <c r="J51" s="60"/>
      <c r="K51" s="38"/>
      <c r="L51" s="60">
        <f>H51+J51</f>
        <v>5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108884.22270000004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108884.22270000004</v>
      </c>
      <c r="J70" s="60"/>
      <c r="K70" s="38"/>
      <c r="L70" s="60">
        <f>H70+J70</f>
        <v>0</v>
      </c>
      <c r="M70" s="38">
        <f>I70+K70</f>
        <v>108884.22270000004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-888567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-888567</v>
      </c>
      <c r="J71" s="60"/>
      <c r="K71" s="38"/>
      <c r="L71" s="60">
        <f>H71+J71</f>
        <v>0</v>
      </c>
      <c r="M71" s="38">
        <f>I71+K71</f>
        <v>-888567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-779682.77729999996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-779682.77729999996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-779682.77729999996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779682.77729999996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779682.77729999996</v>
      </c>
      <c r="J74" s="60"/>
      <c r="K74" s="38"/>
      <c r="L74" s="60">
        <f t="shared" si="22"/>
        <v>0</v>
      </c>
      <c r="M74" s="38">
        <f t="shared" si="22"/>
        <v>779682.77729999996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-34151.271614011377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-34151.271614011377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-34151.271614011377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99535201</v>
      </c>
      <c r="E11" s="60">
        <v>221006148</v>
      </c>
      <c r="F11" s="60">
        <f>H11-D11</f>
        <v>0</v>
      </c>
      <c r="G11" s="37">
        <f>I11-E11</f>
        <v>0</v>
      </c>
      <c r="H11" s="65">
        <f>D11</f>
        <v>99535201</v>
      </c>
      <c r="I11" s="66">
        <f>E11</f>
        <v>221006148</v>
      </c>
      <c r="J11" s="60"/>
      <c r="K11" s="38"/>
      <c r="L11" s="60">
        <f t="shared" ref="L11:M15" si="0">H11+J11</f>
        <v>99535201</v>
      </c>
      <c r="M11" s="38">
        <f t="shared" si="0"/>
        <v>221006148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945464</v>
      </c>
      <c r="E13" s="60">
        <v>2103758</v>
      </c>
      <c r="F13" s="60">
        <f t="shared" si="1"/>
        <v>0</v>
      </c>
      <c r="G13" s="37">
        <f t="shared" si="1"/>
        <v>0</v>
      </c>
      <c r="H13" s="65">
        <f t="shared" si="2"/>
        <v>945464</v>
      </c>
      <c r="I13" s="66">
        <f t="shared" si="2"/>
        <v>2103758</v>
      </c>
      <c r="J13" s="60"/>
      <c r="K13" s="38"/>
      <c r="L13" s="60">
        <f t="shared" si="0"/>
        <v>945464</v>
      </c>
      <c r="M13" s="38">
        <f t="shared" si="0"/>
        <v>2103758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100480665</v>
      </c>
      <c r="E16" s="39">
        <v>223109906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100480665</v>
      </c>
      <c r="I16" s="39">
        <f>SUM(I11:I15)</f>
        <v>223109906</v>
      </c>
      <c r="J16" s="61">
        <f t="shared" si="3"/>
        <v>0</v>
      </c>
      <c r="K16" s="39">
        <f t="shared" si="3"/>
        <v>0</v>
      </c>
      <c r="L16" s="61">
        <f t="shared" si="3"/>
        <v>100480665</v>
      </c>
      <c r="M16" s="39">
        <f t="shared" si="3"/>
        <v>223109906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-107207815</v>
      </c>
      <c r="E19" s="60">
        <v>-234483179</v>
      </c>
      <c r="F19" s="60">
        <f>H19-D19</f>
        <v>0</v>
      </c>
      <c r="G19" s="37">
        <f>I19-E19</f>
        <v>0</v>
      </c>
      <c r="H19" s="65">
        <f t="shared" si="4"/>
        <v>-107207815</v>
      </c>
      <c r="I19" s="66">
        <f t="shared" si="4"/>
        <v>-234483179</v>
      </c>
      <c r="J19" s="60"/>
      <c r="K19" s="38"/>
      <c r="L19" s="60">
        <f t="shared" ref="L19:M23" si="5">H19+J19</f>
        <v>-107207815</v>
      </c>
      <c r="M19" s="38">
        <f t="shared" si="5"/>
        <v>-234483179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-560742</v>
      </c>
      <c r="E21" s="60">
        <v>-1235219</v>
      </c>
      <c r="F21" s="60">
        <f t="shared" si="6"/>
        <v>0</v>
      </c>
      <c r="G21" s="37">
        <f t="shared" si="6"/>
        <v>0</v>
      </c>
      <c r="H21" s="65">
        <f t="shared" si="4"/>
        <v>-560742</v>
      </c>
      <c r="I21" s="66">
        <f t="shared" si="4"/>
        <v>-1235219</v>
      </c>
      <c r="J21" s="60"/>
      <c r="K21" s="38"/>
      <c r="L21" s="60">
        <f t="shared" si="5"/>
        <v>-560742</v>
      </c>
      <c r="M21" s="38">
        <f t="shared" si="5"/>
        <v>-1235219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4897</v>
      </c>
      <c r="E23" s="60">
        <v>10279</v>
      </c>
      <c r="F23" s="60">
        <f t="shared" si="6"/>
        <v>0</v>
      </c>
      <c r="G23" s="37">
        <f t="shared" si="6"/>
        <v>0</v>
      </c>
      <c r="H23" s="65">
        <f t="shared" si="4"/>
        <v>4897</v>
      </c>
      <c r="I23" s="66">
        <f t="shared" si="4"/>
        <v>10279</v>
      </c>
      <c r="J23" s="60"/>
      <c r="K23" s="38"/>
      <c r="L23" s="60">
        <f t="shared" si="5"/>
        <v>4897</v>
      </c>
      <c r="M23" s="38">
        <f t="shared" si="5"/>
        <v>10279</v>
      </c>
    </row>
    <row r="24" spans="1:13" x14ac:dyDescent="0.25">
      <c r="A24" s="9"/>
      <c r="B24" s="7" t="s">
        <v>33</v>
      </c>
      <c r="C24" s="6"/>
      <c r="D24" s="61">
        <v>-107763660</v>
      </c>
      <c r="E24" s="39">
        <v>-235708119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-107763660</v>
      </c>
      <c r="I24" s="39">
        <f>SUM(I19:I23)</f>
        <v>-235708119</v>
      </c>
      <c r="J24" s="61">
        <f t="shared" si="7"/>
        <v>0</v>
      </c>
      <c r="K24" s="39">
        <f t="shared" si="7"/>
        <v>0</v>
      </c>
      <c r="L24" s="61">
        <f t="shared" si="7"/>
        <v>-107763660</v>
      </c>
      <c r="M24" s="39">
        <f t="shared" si="7"/>
        <v>-235708119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7432860</v>
      </c>
      <c r="E27" s="60">
        <v>16558086</v>
      </c>
      <c r="F27" s="60">
        <f>H27-D27</f>
        <v>0</v>
      </c>
      <c r="G27" s="37">
        <f>I27-E27</f>
        <v>0</v>
      </c>
      <c r="H27" s="65">
        <f>D27</f>
        <v>7432860</v>
      </c>
      <c r="I27" s="66">
        <f>E27</f>
        <v>16558086</v>
      </c>
      <c r="J27" s="60"/>
      <c r="K27" s="38"/>
      <c r="L27" s="60">
        <f>H27+J27</f>
        <v>7432860</v>
      </c>
      <c r="M27" s="38">
        <f>I27+K27</f>
        <v>16558086</v>
      </c>
    </row>
    <row r="28" spans="1:13" x14ac:dyDescent="0.25">
      <c r="A28" s="9">
        <v>12</v>
      </c>
      <c r="B28" s="7"/>
      <c r="C28" s="18" t="s">
        <v>36</v>
      </c>
      <c r="D28" s="60">
        <v>-3016138</v>
      </c>
      <c r="E28" s="60">
        <v>-6891414</v>
      </c>
      <c r="F28" s="60">
        <f>H28-D28</f>
        <v>0</v>
      </c>
      <c r="G28" s="37">
        <f>I28-E28</f>
        <v>0</v>
      </c>
      <c r="H28" s="65">
        <f>D28</f>
        <v>-3016138</v>
      </c>
      <c r="I28" s="66">
        <f>E28</f>
        <v>-6891414</v>
      </c>
      <c r="J28" s="60"/>
      <c r="K28" s="38"/>
      <c r="L28" s="60">
        <f>H28+J28</f>
        <v>-3016138</v>
      </c>
      <c r="M28" s="38">
        <f>I28+K28</f>
        <v>-6891414</v>
      </c>
    </row>
    <row r="29" spans="1:13" x14ac:dyDescent="0.25">
      <c r="A29" s="9"/>
      <c r="B29" s="7" t="s">
        <v>37</v>
      </c>
      <c r="C29" s="6"/>
      <c r="D29" s="61">
        <v>4416722</v>
      </c>
      <c r="E29" s="39">
        <v>9666672</v>
      </c>
      <c r="F29" s="61">
        <f t="shared" ref="F29:M29" si="8">SUM(F27:F28)</f>
        <v>0</v>
      </c>
      <c r="G29" s="39">
        <f t="shared" si="8"/>
        <v>0</v>
      </c>
      <c r="H29" s="61">
        <f>SUM(H27:H28)</f>
        <v>4416722</v>
      </c>
      <c r="I29" s="39">
        <f>SUM(I27:I28)</f>
        <v>9666672</v>
      </c>
      <c r="J29" s="61">
        <f t="shared" si="8"/>
        <v>0</v>
      </c>
      <c r="K29" s="39">
        <f t="shared" si="8"/>
        <v>0</v>
      </c>
      <c r="L29" s="61">
        <f t="shared" si="8"/>
        <v>4416722</v>
      </c>
      <c r="M29" s="39">
        <f t="shared" si="8"/>
        <v>9666672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5782004</v>
      </c>
      <c r="E39" s="60">
        <v>12388086</v>
      </c>
      <c r="F39" s="60">
        <f t="shared" ref="F39:G41" si="13">H39-D39</f>
        <v>0</v>
      </c>
      <c r="G39" s="37">
        <f t="shared" si="13"/>
        <v>0</v>
      </c>
      <c r="H39" s="65">
        <f t="shared" si="12"/>
        <v>5782004</v>
      </c>
      <c r="I39" s="66">
        <f t="shared" si="12"/>
        <v>12388086</v>
      </c>
      <c r="J39" s="60"/>
      <c r="K39" s="38"/>
      <c r="L39" s="60">
        <f t="shared" ref="L39:M41" si="14">H39+J39</f>
        <v>5782004</v>
      </c>
      <c r="M39" s="38">
        <f t="shared" si="14"/>
        <v>12388086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-11133135</v>
      </c>
      <c r="E40" s="60">
        <v>-25278604</v>
      </c>
      <c r="F40" s="60">
        <f t="shared" si="13"/>
        <v>0</v>
      </c>
      <c r="G40" s="37">
        <f t="shared" si="13"/>
        <v>0</v>
      </c>
      <c r="H40" s="65">
        <f t="shared" si="12"/>
        <v>-11133135</v>
      </c>
      <c r="I40" s="66">
        <f t="shared" si="12"/>
        <v>-25278604</v>
      </c>
      <c r="J40" s="60"/>
      <c r="K40" s="38"/>
      <c r="L40" s="60">
        <f t="shared" si="14"/>
        <v>-11133135</v>
      </c>
      <c r="M40" s="38">
        <f t="shared" si="14"/>
        <v>-25278604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-11133135</v>
      </c>
      <c r="E42" s="39">
        <v>-25278604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-11133135</v>
      </c>
      <c r="I42" s="39">
        <f>SUM(I40:I41)</f>
        <v>-25278604</v>
      </c>
      <c r="J42" s="61">
        <f t="shared" si="15"/>
        <v>0</v>
      </c>
      <c r="K42" s="39">
        <f t="shared" si="15"/>
        <v>0</v>
      </c>
      <c r="L42" s="61">
        <f t="shared" si="15"/>
        <v>-11133135</v>
      </c>
      <c r="M42" s="39">
        <f t="shared" si="15"/>
        <v>-25278604</v>
      </c>
    </row>
    <row r="43" spans="1:13" ht="21" customHeight="1" x14ac:dyDescent="0.25">
      <c r="A43" s="9"/>
      <c r="B43" s="7" t="s">
        <v>49</v>
      </c>
      <c r="C43" s="6"/>
      <c r="D43" s="61">
        <v>-5351131</v>
      </c>
      <c r="E43" s="39">
        <v>-12890518</v>
      </c>
      <c r="F43" s="61">
        <f t="shared" ref="F43:M43" si="16">F42+F39</f>
        <v>0</v>
      </c>
      <c r="G43" s="39">
        <f t="shared" si="16"/>
        <v>0</v>
      </c>
      <c r="H43" s="61">
        <f>H42+H39</f>
        <v>-5351131</v>
      </c>
      <c r="I43" s="39">
        <f>I42+I39</f>
        <v>-12890518</v>
      </c>
      <c r="J43" s="61">
        <f t="shared" si="16"/>
        <v>0</v>
      </c>
      <c r="K43" s="39">
        <f t="shared" si="16"/>
        <v>0</v>
      </c>
      <c r="L43" s="61">
        <f t="shared" si="16"/>
        <v>-5351131</v>
      </c>
      <c r="M43" s="39">
        <f t="shared" si="16"/>
        <v>-12890518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8217404</v>
      </c>
      <c r="E49" s="60">
        <v>16825093.172351595</v>
      </c>
      <c r="F49" s="60">
        <f>H49-D49</f>
        <v>0</v>
      </c>
      <c r="G49" s="37">
        <f>I49-E49</f>
        <v>0</v>
      </c>
      <c r="H49" s="65">
        <f>D49</f>
        <v>8217404</v>
      </c>
      <c r="I49" s="66">
        <f>E49</f>
        <v>16825093.172351595</v>
      </c>
      <c r="J49" s="60"/>
      <c r="K49" s="38"/>
      <c r="L49" s="60">
        <f>H49+J49</f>
        <v>8217404</v>
      </c>
      <c r="M49" s="38">
        <f>I49+K49</f>
        <v>16825093.172351595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-2483631.66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-2483631.66</v>
      </c>
      <c r="J54" s="60"/>
      <c r="K54" s="38"/>
      <c r="L54" s="60">
        <f>H54+J54</f>
        <v>0</v>
      </c>
      <c r="M54" s="38">
        <f>I54+K54</f>
        <v>-2483631.66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-2483631.66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-2483631.66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-2483631.66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-838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-838</v>
      </c>
      <c r="J76" s="60"/>
      <c r="K76" s="38"/>
      <c r="L76" s="60">
        <f t="shared" si="22"/>
        <v>0</v>
      </c>
      <c r="M76" s="38">
        <f t="shared" si="22"/>
        <v>-838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-108300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-108300</v>
      </c>
      <c r="J77" s="60"/>
      <c r="K77" s="38"/>
      <c r="L77" s="60">
        <f t="shared" si="22"/>
        <v>0</v>
      </c>
      <c r="M77" s="38">
        <f t="shared" si="22"/>
        <v>-108300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348799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348799</v>
      </c>
      <c r="J81" s="60"/>
      <c r="K81" s="38"/>
      <c r="L81" s="60">
        <f t="shared" si="22"/>
        <v>0</v>
      </c>
      <c r="M81" s="38">
        <f t="shared" si="22"/>
        <v>348799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-1240936.4876484051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-1240936.4876484051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-1240936.4876484051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114781359</v>
      </c>
      <c r="E11" s="38">
        <f>'TX-EGM-FLSH'!E11+'TX-HPLR-FLSH'!E11+'TX-HPLC-FLSH'!E11</f>
        <v>254215063</v>
      </c>
      <c r="F11" s="60">
        <f>H11-D11</f>
        <v>0</v>
      </c>
      <c r="G11" s="37">
        <f>I11-E11</f>
        <v>0</v>
      </c>
      <c r="H11" s="60">
        <f>'TX-EGM-FLSH'!H11+'TX-HPLR-FLSH'!H11+'TX-HPLC-FLSH'!H11</f>
        <v>114781359</v>
      </c>
      <c r="I11" s="38">
        <f>'TX-EGM-FLSH'!I11+'TX-HPLR-FLSH'!I11+'TX-HPLC-FLSH'!I11</f>
        <v>254215063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114781359</v>
      </c>
      <c r="M11" s="38">
        <f t="shared" si="0"/>
        <v>254215063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1440380</v>
      </c>
      <c r="E13" s="38">
        <f>'TX-EGM-FLSH'!E13+'TX-HPLR-FLSH'!E13+'TX-HPLC-FLSH'!E13</f>
        <v>3239294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1440380</v>
      </c>
      <c r="I13" s="38">
        <f>'TX-EGM-FLSH'!I13+'TX-HPLR-FLSH'!I13+'TX-HPLC-FLSH'!I13</f>
        <v>3239294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1440380</v>
      </c>
      <c r="M13" s="38">
        <f t="shared" si="0"/>
        <v>3239294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116221739</v>
      </c>
      <c r="E16" s="39">
        <f>SUM(E11:E15)</f>
        <v>257454357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116221739</v>
      </c>
      <c r="I16" s="39">
        <f t="shared" si="2"/>
        <v>257454357</v>
      </c>
      <c r="J16" s="61">
        <f t="shared" si="2"/>
        <v>0</v>
      </c>
      <c r="K16" s="39">
        <f t="shared" si="2"/>
        <v>0</v>
      </c>
      <c r="L16" s="61">
        <f t="shared" si="2"/>
        <v>116221739</v>
      </c>
      <c r="M16" s="39">
        <f t="shared" si="2"/>
        <v>257454357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-115205692</v>
      </c>
      <c r="E19" s="38">
        <f>'TX-EGM-FLSH'!E19+'TX-HPLR-FLSH'!E19+'TX-HPLC-FLSH'!E19</f>
        <v>-252279859</v>
      </c>
      <c r="F19" s="60">
        <f>H19-D19</f>
        <v>0</v>
      </c>
      <c r="G19" s="37">
        <f>I19-E19</f>
        <v>0</v>
      </c>
      <c r="H19" s="60">
        <f>'TX-EGM-FLSH'!H19+'TX-HPLR-FLSH'!H19+'TX-HPLC-FLSH'!H19</f>
        <v>-115205692</v>
      </c>
      <c r="I19" s="38">
        <f>'TX-EGM-FLSH'!I19+'TX-HPLR-FLSH'!I19+'TX-HPLC-FLSH'!I19</f>
        <v>-252279859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-115205692</v>
      </c>
      <c r="M19" s="38">
        <f t="shared" si="3"/>
        <v>-252279859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-580742</v>
      </c>
      <c r="E21" s="38">
        <f>'TX-EGM-FLSH'!E21+'TX-HPLR-FLSH'!E21+'TX-HPLC-FLSH'!E21</f>
        <v>-1276819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-580742</v>
      </c>
      <c r="I21" s="38">
        <f>'TX-EGM-FLSH'!I21+'TX-HPLR-FLSH'!I21+'TX-HPLC-FLSH'!I21</f>
        <v>-1276819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-580742</v>
      </c>
      <c r="M21" s="38">
        <f t="shared" si="3"/>
        <v>-1276819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4902</v>
      </c>
      <c r="E23" s="38">
        <f>'TX-EGM-FLSH'!E23+'TX-HPLR-FLSH'!E23+'TX-HPLC-FLSH'!E23</f>
        <v>10289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4902</v>
      </c>
      <c r="I23" s="38">
        <f>'TX-EGM-FLSH'!I23+'TX-HPLR-FLSH'!I23+'TX-HPLC-FLSH'!I23</f>
        <v>10289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4902</v>
      </c>
      <c r="M23" s="38">
        <f t="shared" si="3"/>
        <v>10289</v>
      </c>
    </row>
    <row r="24" spans="1:13" x14ac:dyDescent="0.25">
      <c r="A24" s="9"/>
      <c r="B24" s="7" t="s">
        <v>33</v>
      </c>
      <c r="C24" s="6"/>
      <c r="D24" s="61">
        <f>SUM(D19:D23)</f>
        <v>-115781532</v>
      </c>
      <c r="E24" s="39">
        <f>SUM(E19:E23)</f>
        <v>-253546389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-115781532</v>
      </c>
      <c r="I24" s="39">
        <f t="shared" si="5"/>
        <v>-253546389</v>
      </c>
      <c r="J24" s="61">
        <f t="shared" si="5"/>
        <v>0</v>
      </c>
      <c r="K24" s="39">
        <f t="shared" si="5"/>
        <v>0</v>
      </c>
      <c r="L24" s="61">
        <f t="shared" si="5"/>
        <v>-115781532</v>
      </c>
      <c r="M24" s="39">
        <f t="shared" si="5"/>
        <v>-253546389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13392764</v>
      </c>
      <c r="E27" s="38">
        <f>'TX-EGM-FLSH'!E27+'TX-HPLR-FLSH'!E27+'TX-HPLC-FLSH'!E27</f>
        <v>30221802</v>
      </c>
      <c r="F27" s="60">
        <f>H27-D27</f>
        <v>0</v>
      </c>
      <c r="G27" s="37">
        <f>I27-E27</f>
        <v>0</v>
      </c>
      <c r="H27" s="60">
        <f>'TX-EGM-FLSH'!H27+'TX-HPLR-FLSH'!H27+'TX-HPLC-FLSH'!H27</f>
        <v>13392764</v>
      </c>
      <c r="I27" s="38">
        <f>'TX-EGM-FLSH'!I27+'TX-HPLR-FLSH'!I27+'TX-HPLC-FLSH'!I27</f>
        <v>30221802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13392764</v>
      </c>
      <c r="M27" s="38">
        <f>I27+K27</f>
        <v>30221802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-8976042</v>
      </c>
      <c r="E28" s="38">
        <f>'TX-EGM-FLSH'!E28+'TX-HPLR-FLSH'!E28+'TX-HPLC-FLSH'!E28</f>
        <v>-20555130</v>
      </c>
      <c r="F28" s="60">
        <f>H28-D28</f>
        <v>0</v>
      </c>
      <c r="G28" s="37">
        <f>I28-E28</f>
        <v>0</v>
      </c>
      <c r="H28" s="60">
        <f>'TX-EGM-FLSH'!H28+'TX-HPLR-FLSH'!H28+'TX-HPLC-FLSH'!H28</f>
        <v>-8976042</v>
      </c>
      <c r="I28" s="38">
        <f>'TX-EGM-FLSH'!I28+'TX-HPLR-FLSH'!I28+'TX-HPLC-FLSH'!I28</f>
        <v>-20555130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-8976042</v>
      </c>
      <c r="M28" s="38">
        <f>I28+K28</f>
        <v>-20555130</v>
      </c>
    </row>
    <row r="29" spans="1:13" x14ac:dyDescent="0.25">
      <c r="A29" s="9"/>
      <c r="B29" s="7" t="s">
        <v>37</v>
      </c>
      <c r="C29" s="6"/>
      <c r="D29" s="61">
        <f>SUM(D27:D28)</f>
        <v>4416722</v>
      </c>
      <c r="E29" s="39">
        <f>SUM(E27:E28)</f>
        <v>9666672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4416722</v>
      </c>
      <c r="I29" s="39">
        <f t="shared" si="6"/>
        <v>9666672</v>
      </c>
      <c r="J29" s="61">
        <f t="shared" si="6"/>
        <v>0</v>
      </c>
      <c r="K29" s="39">
        <f t="shared" si="6"/>
        <v>0</v>
      </c>
      <c r="L29" s="61">
        <f t="shared" si="6"/>
        <v>4416722</v>
      </c>
      <c r="M29" s="39">
        <f t="shared" si="6"/>
        <v>9666672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5782004</v>
      </c>
      <c r="E39" s="38">
        <f>'TX-EGM-FLSH'!E39+'TX-HPLR-FLSH'!E39+'TX-HPLC-FLSH'!E39</f>
        <v>12388086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5782004</v>
      </c>
      <c r="I39" s="38">
        <f>'TX-EGM-FLSH'!I39+'TX-HPLR-FLSH'!I39+'TX-HPLC-FLSH'!I39</f>
        <v>12388086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5782004</v>
      </c>
      <c r="M39" s="38">
        <f t="shared" si="11"/>
        <v>12388086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-11691051</v>
      </c>
      <c r="E40" s="38">
        <f>'TX-EGM-FLSH'!E40+'TX-HPLR-FLSH'!E40+'TX-HPLC-FLSH'!E40</f>
        <v>-26555545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-11691051</v>
      </c>
      <c r="I40" s="38">
        <f>'TX-EGM-FLSH'!I40+'TX-HPLR-FLSH'!I40+'TX-HPLC-FLSH'!I40</f>
        <v>-26555545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-11691051</v>
      </c>
      <c r="M40" s="38">
        <f t="shared" si="11"/>
        <v>-26555545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-11691051</v>
      </c>
      <c r="E42" s="39">
        <f>SUM(E40:E41)</f>
        <v>-26555545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-11691051</v>
      </c>
      <c r="I42" s="39">
        <f t="shared" si="12"/>
        <v>-26555545</v>
      </c>
      <c r="J42" s="61">
        <f t="shared" si="12"/>
        <v>0</v>
      </c>
      <c r="K42" s="39">
        <f t="shared" si="12"/>
        <v>0</v>
      </c>
      <c r="L42" s="61">
        <f t="shared" si="12"/>
        <v>-11691051</v>
      </c>
      <c r="M42" s="39">
        <f t="shared" si="12"/>
        <v>-26555545</v>
      </c>
    </row>
    <row r="43" spans="1:13" ht="21" customHeight="1" x14ac:dyDescent="0.25">
      <c r="A43" s="9"/>
      <c r="B43" s="7" t="s">
        <v>49</v>
      </c>
      <c r="C43" s="6"/>
      <c r="D43" s="61">
        <f>D42+D39</f>
        <v>-5909047</v>
      </c>
      <c r="E43" s="39">
        <f>E42+E39</f>
        <v>-14167459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-5909047</v>
      </c>
      <c r="I43" s="39">
        <f t="shared" si="13"/>
        <v>-14167459</v>
      </c>
      <c r="J43" s="61">
        <f t="shared" si="13"/>
        <v>0</v>
      </c>
      <c r="K43" s="39">
        <f t="shared" si="13"/>
        <v>0</v>
      </c>
      <c r="L43" s="61">
        <f t="shared" si="13"/>
        <v>-5909047</v>
      </c>
      <c r="M43" s="39">
        <f t="shared" si="13"/>
        <v>-14167459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1052118</v>
      </c>
      <c r="E49" s="38">
        <f>'TX-EGM-FLSH'!E49+'TX-HPLR-FLSH'!E49+'TX-HPLC-FLSH'!E49</f>
        <v>2154206.2892743554</v>
      </c>
      <c r="F49" s="60">
        <f>H49-D49</f>
        <v>0</v>
      </c>
      <c r="G49" s="37">
        <f>I49-E49</f>
        <v>0</v>
      </c>
      <c r="H49" s="60">
        <f>'TX-EGM-FLSH'!H49+'TX-HPLR-FLSH'!H49+'TX-HPLC-FLSH'!H49</f>
        <v>1052118</v>
      </c>
      <c r="I49" s="38">
        <f>'TX-EGM-FLSH'!I49+'TX-HPLR-FLSH'!I49+'TX-HPLC-FLSH'!I49</f>
        <v>2154206.2892743554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1052118</v>
      </c>
      <c r="M49" s="38">
        <f>I49+K49</f>
        <v>2154206.2892743554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-2649074.66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-2649074.66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-2649074.66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-2649074.66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-2649074.66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-2649074.66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-739518.77729999996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-739518.77729999996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-739518.77729999996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1210109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1210109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1210109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470590.22270000004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470590.22270000004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470590.22270000004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492074.05729999999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492074.05729999999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492074.05729999999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0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0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0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-838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-838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-838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-108300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-108300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-108300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348799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348799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348799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114637.90927435644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114637.90927435644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114637.90927435644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1355574.3969227336</v>
      </c>
    </row>
    <row r="86" spans="1:67" s="3" customFormat="1" x14ac:dyDescent="0.25">
      <c r="A86" s="146"/>
      <c r="C86" s="10" t="s">
        <v>166</v>
      </c>
      <c r="D86" s="150">
        <f>'TX-EGM-FLSH'!D86+'TX-HPLR-FLSH'!D86</f>
        <v>0</v>
      </c>
      <c r="E86" s="150">
        <f>'TX-EGM-FLSH'!E86+'TX-HPLR-FLSH'!E86</f>
        <v>9167000</v>
      </c>
      <c r="F86" s="150">
        <f>'TX-EGM-FLSH'!F86+'TX-HPLR-FLSH'!F86</f>
        <v>0</v>
      </c>
      <c r="G86" s="150">
        <f>'TX-EGM-FLSH'!G86+'TX-HPLR-FLSH'!G86</f>
        <v>0</v>
      </c>
      <c r="H86" s="150">
        <f>'TX-EGM-FLSH'!H86+'TX-HPLR-FLSH'!H86+'TX-HPLC-FLSH'!H86</f>
        <v>0</v>
      </c>
      <c r="I86" s="150">
        <f>'TX-EGM-FLSH'!I86+'TX-HPLR-FLSH'!I86+'TX-HPLC-FLSH'!I86</f>
        <v>9167000</v>
      </c>
      <c r="J86" s="150">
        <f>'TX-EGM-FLSH'!J86+'TX-HPLR-FLSH'!J86</f>
        <v>0</v>
      </c>
      <c r="K86" s="150">
        <f>'TX-EGM-FLSH'!K86+'TX-HPLR-FLSH'!K86</f>
        <v>0</v>
      </c>
      <c r="L86" s="150">
        <f>'TX-EGM-FLSH'!L86+'TX-HPLR-FLSH'!L86</f>
        <v>0</v>
      </c>
      <c r="M86" s="150">
        <f>'TX-EGM-FLSH'!M86+'TX-HPLR-FLSH'!M86</f>
        <v>9167000</v>
      </c>
    </row>
    <row r="87" spans="1:67" s="3" customFormat="1" x14ac:dyDescent="0.25">
      <c r="A87" s="146"/>
      <c r="C87" s="10" t="s">
        <v>71</v>
      </c>
      <c r="D87" s="151">
        <f>'TX-EGM-FLSH'!D87+'TX-HPLR-FLSH'!D87</f>
        <v>0</v>
      </c>
      <c r="E87" s="151">
        <f>'TX-EGM-FLSH'!E87+'TX-HPLR-FLSH'!E87</f>
        <v>0</v>
      </c>
      <c r="F87" s="151">
        <f>'TX-EGM-FLSH'!F87+'TX-HPLR-FLSH'!F87</f>
        <v>0</v>
      </c>
      <c r="G87" s="151">
        <f>'TX-EGM-FLSH'!G87+'TX-HPLR-FLSH'!G87</f>
        <v>0</v>
      </c>
      <c r="H87" s="151">
        <f>'TX-EGM-FLSH'!H87+'TX-HPLR-FLSH'!H87+'TX-HPLC-FLSH'!H87</f>
        <v>0</v>
      </c>
      <c r="I87" s="151">
        <f>'TX-EGM-FLSH'!I87+'TX-HPLR-FLSH'!I87+'TX-HPLC-FLSH'!I87</f>
        <v>0</v>
      </c>
      <c r="J87" s="151">
        <f>'TX-EGM-FLSH'!J87+'TX-HPLR-FLSH'!J87</f>
        <v>0</v>
      </c>
      <c r="K87" s="151">
        <f>'TX-EGM-FLSH'!K87+'TX-HPLR-FLSH'!K87</f>
        <v>0</v>
      </c>
      <c r="L87" s="151">
        <f>'TX-EGM-FLSH'!L87+'TX-HPLR-FLSH'!L87</f>
        <v>0</v>
      </c>
      <c r="M87" s="151">
        <f>'TX-EGM-FLSH'!M87+'TX-HPLR-FLSH'!M87</f>
        <v>0</v>
      </c>
    </row>
    <row r="88" spans="1:67" s="3" customFormat="1" x14ac:dyDescent="0.25">
      <c r="A88" s="146"/>
      <c r="C88" s="10" t="s">
        <v>72</v>
      </c>
      <c r="D88" s="152">
        <f>'TX-EGM-FLSH'!D88+'TX-HPLR-FLSH'!D88</f>
        <v>0</v>
      </c>
      <c r="E88" s="152">
        <f>'TX-EGM-FLSH'!E88+'TX-HPLR-FLSH'!E88</f>
        <v>0</v>
      </c>
      <c r="F88" s="152">
        <f>'TX-EGM-FLSH'!F88+'TX-HPLR-FLSH'!F88</f>
        <v>0</v>
      </c>
      <c r="G88" s="152">
        <f>'TX-EGM-FLSH'!G88+'TX-HPLR-FLSH'!G88</f>
        <v>0</v>
      </c>
      <c r="H88" s="152">
        <f>'TX-EGM-FLSH'!H88+'TX-HPLR-FLSH'!H88+'TX-HPLC-FLSH'!H88</f>
        <v>0</v>
      </c>
      <c r="I88" s="152">
        <f>'TX-EGM-FLSH'!I88+'TX-HPLR-FLSH'!I88+'TX-HPLC-FLSH'!I88</f>
        <v>0</v>
      </c>
      <c r="J88" s="152">
        <f>'TX-EGM-FLSH'!J88+'TX-HPLR-FLSH'!J88</f>
        <v>0</v>
      </c>
      <c r="K88" s="152">
        <f>'TX-EGM-FLSH'!K88+'TX-HPLR-FLSH'!K88</f>
        <v>0</v>
      </c>
      <c r="L88" s="152">
        <f>'TX-EGM-FLSH'!L88+'TX-HPLR-FLSH'!L88</f>
        <v>0</v>
      </c>
      <c r="M88" s="152">
        <f>'TX-EGM-FLSH'!M88+'TX-HPLR-FLSH'!M88</f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9167000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9167000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9281637.9092743564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9281637.9092743564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9281637.9092743564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29133166</v>
      </c>
      <c r="E11" s="65">
        <v>65082233</v>
      </c>
      <c r="F11" s="60">
        <f>H11-D11</f>
        <v>0</v>
      </c>
      <c r="G11" s="37">
        <f>I11-E11</f>
        <v>0</v>
      </c>
      <c r="H11" s="65">
        <f>D11</f>
        <v>29133166</v>
      </c>
      <c r="I11" s="66">
        <f>E11</f>
        <v>65082233</v>
      </c>
      <c r="J11" s="60"/>
      <c r="K11" s="38"/>
      <c r="L11" s="60">
        <f t="shared" ref="L11:M15" si="0">H11+J11</f>
        <v>29133166</v>
      </c>
      <c r="M11" s="38">
        <f t="shared" si="0"/>
        <v>65082233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11210462</v>
      </c>
      <c r="E13" s="65">
        <v>26302673</v>
      </c>
      <c r="F13" s="60">
        <f t="shared" si="1"/>
        <v>0</v>
      </c>
      <c r="G13" s="37">
        <f t="shared" si="1"/>
        <v>0</v>
      </c>
      <c r="H13" s="65">
        <f t="shared" si="2"/>
        <v>11210462</v>
      </c>
      <c r="I13" s="66">
        <f t="shared" si="2"/>
        <v>26302673</v>
      </c>
      <c r="J13" s="60"/>
      <c r="K13" s="38"/>
      <c r="L13" s="60">
        <f t="shared" si="0"/>
        <v>11210462</v>
      </c>
      <c r="M13" s="38">
        <f t="shared" si="0"/>
        <v>26302673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40343628</v>
      </c>
      <c r="E16" s="39">
        <v>91384906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40343628</v>
      </c>
      <c r="I16" s="39">
        <f>SUM(I11:I15)</f>
        <v>91384906</v>
      </c>
      <c r="J16" s="61">
        <f t="shared" si="3"/>
        <v>0</v>
      </c>
      <c r="K16" s="39">
        <f t="shared" si="3"/>
        <v>0</v>
      </c>
      <c r="L16" s="61">
        <f t="shared" si="3"/>
        <v>40343628</v>
      </c>
      <c r="M16" s="39">
        <f t="shared" si="3"/>
        <v>91384906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-29181304</v>
      </c>
      <c r="E19" s="65">
        <v>-63616985</v>
      </c>
      <c r="F19" s="60">
        <f>H19-D19</f>
        <v>0</v>
      </c>
      <c r="G19" s="37">
        <f>I19-E19</f>
        <v>0</v>
      </c>
      <c r="H19" s="65">
        <f t="shared" si="4"/>
        <v>-29181304</v>
      </c>
      <c r="I19" s="66">
        <f t="shared" si="4"/>
        <v>-63616985</v>
      </c>
      <c r="J19" s="60"/>
      <c r="K19" s="38"/>
      <c r="L19" s="60">
        <f t="shared" ref="L19:M23" si="5">H19+J19</f>
        <v>-29181304</v>
      </c>
      <c r="M19" s="38">
        <f t="shared" si="5"/>
        <v>-63616985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-11097128</v>
      </c>
      <c r="E21" s="65">
        <v>-26059696</v>
      </c>
      <c r="F21" s="60">
        <f t="shared" si="6"/>
        <v>0</v>
      </c>
      <c r="G21" s="37">
        <f t="shared" si="6"/>
        <v>0</v>
      </c>
      <c r="H21" s="65">
        <f t="shared" si="4"/>
        <v>-11097128</v>
      </c>
      <c r="I21" s="66">
        <f t="shared" si="4"/>
        <v>-26059696</v>
      </c>
      <c r="J21" s="60"/>
      <c r="K21" s="38"/>
      <c r="L21" s="60">
        <f t="shared" si="5"/>
        <v>-11097128</v>
      </c>
      <c r="M21" s="38">
        <f t="shared" si="5"/>
        <v>-26059696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247791</v>
      </c>
      <c r="E23" s="65">
        <v>549122</v>
      </c>
      <c r="F23" s="60">
        <f t="shared" si="6"/>
        <v>0</v>
      </c>
      <c r="G23" s="37">
        <f t="shared" si="6"/>
        <v>0</v>
      </c>
      <c r="H23" s="65">
        <f t="shared" si="4"/>
        <v>247791</v>
      </c>
      <c r="I23" s="66">
        <f t="shared" si="4"/>
        <v>549122</v>
      </c>
      <c r="J23" s="60"/>
      <c r="K23" s="38"/>
      <c r="L23" s="60">
        <f t="shared" si="5"/>
        <v>247791</v>
      </c>
      <c r="M23" s="38">
        <f t="shared" si="5"/>
        <v>549122</v>
      </c>
    </row>
    <row r="24" spans="1:13" x14ac:dyDescent="0.25">
      <c r="A24" s="9"/>
      <c r="B24" s="7" t="s">
        <v>33</v>
      </c>
      <c r="C24" s="6"/>
      <c r="D24" s="61">
        <v>-40030641</v>
      </c>
      <c r="E24" s="39">
        <v>-89127559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-40030641</v>
      </c>
      <c r="I24" s="39">
        <f>SUM(I19:I23)</f>
        <v>-89127559</v>
      </c>
      <c r="J24" s="61">
        <f t="shared" si="7"/>
        <v>0</v>
      </c>
      <c r="K24" s="39">
        <f t="shared" si="7"/>
        <v>0</v>
      </c>
      <c r="L24" s="61">
        <f t="shared" si="7"/>
        <v>-40030641</v>
      </c>
      <c r="M24" s="39">
        <f t="shared" si="7"/>
        <v>-89127559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27934</v>
      </c>
      <c r="E32" s="65">
        <v>61436</v>
      </c>
      <c r="F32" s="60">
        <f>H32-D32</f>
        <v>0</v>
      </c>
      <c r="G32" s="37">
        <f>I32-E32</f>
        <v>0</v>
      </c>
      <c r="H32" s="65">
        <f t="shared" ref="H32:I35" si="9">D32</f>
        <v>27934</v>
      </c>
      <c r="I32" s="66">
        <f t="shared" si="9"/>
        <v>61436</v>
      </c>
      <c r="J32" s="60"/>
      <c r="K32" s="38"/>
      <c r="L32" s="60">
        <f t="shared" ref="L32:M35" si="10">H32+J32</f>
        <v>27934</v>
      </c>
      <c r="M32" s="38">
        <f t="shared" si="10"/>
        <v>61436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-340850</v>
      </c>
      <c r="E35" s="65">
        <v>-774256</v>
      </c>
      <c r="F35" s="60">
        <f t="shared" si="11"/>
        <v>0</v>
      </c>
      <c r="G35" s="37">
        <f t="shared" si="11"/>
        <v>0</v>
      </c>
      <c r="H35" s="65">
        <f t="shared" si="9"/>
        <v>-340850</v>
      </c>
      <c r="I35" s="66">
        <f t="shared" si="9"/>
        <v>-774256</v>
      </c>
      <c r="J35" s="60"/>
      <c r="K35" s="38"/>
      <c r="L35" s="60">
        <f t="shared" si="10"/>
        <v>-340850</v>
      </c>
      <c r="M35" s="38">
        <f t="shared" si="10"/>
        <v>-774256</v>
      </c>
    </row>
    <row r="36" spans="1:13" x14ac:dyDescent="0.25">
      <c r="A36" s="9"/>
      <c r="B36" s="7" t="s">
        <v>43</v>
      </c>
      <c r="C36" s="6"/>
      <c r="D36" s="61">
        <v>-312916</v>
      </c>
      <c r="E36" s="39">
        <v>-712820</v>
      </c>
      <c r="F36" s="61">
        <f>SUM(F32:F35)</f>
        <v>0</v>
      </c>
      <c r="G36" s="39">
        <f>SUM(G32:G35)</f>
        <v>0</v>
      </c>
      <c r="H36" s="61">
        <f>SUM(H32:H35)</f>
        <v>-312916</v>
      </c>
      <c r="I36" s="39">
        <f>SUM(I32:I35)</f>
        <v>-712820</v>
      </c>
      <c r="J36" s="61">
        <f>SUM(J32:J34)</f>
        <v>0</v>
      </c>
      <c r="K36" s="39">
        <f>SUM(K32:K34)</f>
        <v>0</v>
      </c>
      <c r="L36" s="61">
        <f>SUM(L32:L35)</f>
        <v>-312916</v>
      </c>
      <c r="M36" s="39">
        <f>SUM(M32:M35)</f>
        <v>-712820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4703</v>
      </c>
      <c r="E39" s="65">
        <v>9867</v>
      </c>
      <c r="F39" s="60">
        <f t="shared" ref="F39:G41" si="13">H39-D39</f>
        <v>0</v>
      </c>
      <c r="G39" s="37">
        <f t="shared" si="13"/>
        <v>0</v>
      </c>
      <c r="H39" s="65">
        <f t="shared" si="12"/>
        <v>4703</v>
      </c>
      <c r="I39" s="66">
        <f t="shared" si="12"/>
        <v>9867</v>
      </c>
      <c r="J39" s="60"/>
      <c r="K39" s="38"/>
      <c r="L39" s="60">
        <f t="shared" ref="L39:M41" si="14">H39+J39</f>
        <v>4703</v>
      </c>
      <c r="M39" s="38">
        <f t="shared" si="14"/>
        <v>9867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-4862</v>
      </c>
      <c r="E40" s="65">
        <v>-11007</v>
      </c>
      <c r="F40" s="60">
        <f t="shared" si="13"/>
        <v>0</v>
      </c>
      <c r="G40" s="37">
        <f t="shared" si="13"/>
        <v>0</v>
      </c>
      <c r="H40" s="65">
        <f t="shared" si="12"/>
        <v>-4862</v>
      </c>
      <c r="I40" s="66">
        <f t="shared" si="12"/>
        <v>-11007</v>
      </c>
      <c r="J40" s="60"/>
      <c r="K40" s="38"/>
      <c r="L40" s="60">
        <f t="shared" si="14"/>
        <v>-4862</v>
      </c>
      <c r="M40" s="38">
        <f t="shared" si="14"/>
        <v>-11007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-4862</v>
      </c>
      <c r="E42" s="39">
        <v>-11007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-4862</v>
      </c>
      <c r="I42" s="39">
        <f>SUM(I40:I41)</f>
        <v>-11007</v>
      </c>
      <c r="J42" s="61">
        <f t="shared" si="15"/>
        <v>0</v>
      </c>
      <c r="K42" s="39">
        <f t="shared" si="15"/>
        <v>0</v>
      </c>
      <c r="L42" s="61">
        <f t="shared" si="15"/>
        <v>-4862</v>
      </c>
      <c r="M42" s="39">
        <f t="shared" si="15"/>
        <v>-11007</v>
      </c>
    </row>
    <row r="43" spans="1:13" ht="21" customHeight="1" x14ac:dyDescent="0.25">
      <c r="A43" s="9"/>
      <c r="B43" s="7" t="s">
        <v>49</v>
      </c>
      <c r="C43" s="6"/>
      <c r="D43" s="61">
        <v>-159</v>
      </c>
      <c r="E43" s="39">
        <v>-1140</v>
      </c>
      <c r="F43" s="61">
        <f t="shared" ref="F43:M43" si="16">F42+F39</f>
        <v>0</v>
      </c>
      <c r="G43" s="39">
        <f t="shared" si="16"/>
        <v>0</v>
      </c>
      <c r="H43" s="61">
        <f>H42+H39</f>
        <v>-159</v>
      </c>
      <c r="I43" s="39">
        <f>I42+I39</f>
        <v>-1140</v>
      </c>
      <c r="J43" s="61">
        <f t="shared" si="16"/>
        <v>0</v>
      </c>
      <c r="K43" s="39">
        <f t="shared" si="16"/>
        <v>0</v>
      </c>
      <c r="L43" s="61">
        <f t="shared" si="16"/>
        <v>-159</v>
      </c>
      <c r="M43" s="39">
        <f t="shared" si="16"/>
        <v>-1140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88</v>
      </c>
      <c r="E49" s="65">
        <v>185.8836231492802</v>
      </c>
      <c r="F49" s="60">
        <f>H49-D49</f>
        <v>0</v>
      </c>
      <c r="G49" s="37">
        <f>I49-E49</f>
        <v>0</v>
      </c>
      <c r="H49" s="65">
        <f>D49</f>
        <v>88</v>
      </c>
      <c r="I49" s="66">
        <f>E49</f>
        <v>185.8836231492802</v>
      </c>
      <c r="J49" s="60"/>
      <c r="K49" s="38"/>
      <c r="L49" s="60">
        <f>H49+J49</f>
        <v>88</v>
      </c>
      <c r="M49" s="38">
        <f>I49+K49</f>
        <v>185.8836231492802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-247791</v>
      </c>
      <c r="E51" s="65">
        <v>-549122</v>
      </c>
      <c r="F51" s="60">
        <f>H51-D51</f>
        <v>0</v>
      </c>
      <c r="G51" s="37">
        <f>I51-E51</f>
        <v>0</v>
      </c>
      <c r="H51" s="65">
        <f>D51</f>
        <v>-247791</v>
      </c>
      <c r="I51" s="66">
        <f>E51</f>
        <v>-549122</v>
      </c>
      <c r="J51" s="60"/>
      <c r="K51" s="38"/>
      <c r="L51" s="60">
        <f>H51+J51</f>
        <v>-247791</v>
      </c>
      <c r="M51" s="38">
        <f>I51+K51</f>
        <v>-549122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-95535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-95535</v>
      </c>
      <c r="J54" s="60"/>
      <c r="K54" s="38"/>
      <c r="L54" s="60">
        <f>H54+J54</f>
        <v>0</v>
      </c>
      <c r="M54" s="38">
        <f>I54+K54</f>
        <v>-95535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-1444318.11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-1444318.11</v>
      </c>
      <c r="J55" s="60"/>
      <c r="K55" s="38"/>
      <c r="L55" s="60">
        <f>H55+J55</f>
        <v>0</v>
      </c>
      <c r="M55" s="38">
        <f>I55+K55</f>
        <v>-1444318.11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-1539853.11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-1539853.11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-1539853.11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2053660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2053660</v>
      </c>
      <c r="J70" s="60"/>
      <c r="K70" s="38"/>
      <c r="L70" s="60">
        <f>H70+J70</f>
        <v>0</v>
      </c>
      <c r="M70" s="38">
        <f>I70+K70</f>
        <v>2053660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-1968884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-1968884</v>
      </c>
      <c r="J71" s="60"/>
      <c r="K71" s="38"/>
      <c r="L71" s="60">
        <f>H71+J71</f>
        <v>0</v>
      </c>
      <c r="M71" s="38">
        <f>I71+K71</f>
        <v>-1968884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84776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84776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84776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3114351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3114351</v>
      </c>
      <c r="J74" s="60"/>
      <c r="K74" s="38"/>
      <c r="L74" s="60">
        <f t="shared" si="22"/>
        <v>0</v>
      </c>
      <c r="M74" s="38">
        <f t="shared" si="22"/>
        <v>3114351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620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620</v>
      </c>
      <c r="J75" s="60"/>
      <c r="K75" s="38"/>
      <c r="L75" s="60">
        <f t="shared" si="22"/>
        <v>0</v>
      </c>
      <c r="M75" s="38">
        <f t="shared" si="22"/>
        <v>620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-18952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-18952</v>
      </c>
      <c r="J76" s="60"/>
      <c r="K76" s="38"/>
      <c r="L76" s="60">
        <f t="shared" si="22"/>
        <v>0</v>
      </c>
      <c r="M76" s="38">
        <f t="shared" si="22"/>
        <v>-18952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-197864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-197864</v>
      </c>
      <c r="J81" s="60"/>
      <c r="K81" s="38"/>
      <c r="L81" s="60">
        <f t="shared" si="22"/>
        <v>0</v>
      </c>
      <c r="M81" s="38">
        <f t="shared" si="22"/>
        <v>-197864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2437528.7736231489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2437528.7736231489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2437528.7736231489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5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5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2437528.7736231489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2437528.7736231489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2437528.7736231489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10284481</v>
      </c>
      <c r="E11" s="65">
        <v>21749004</v>
      </c>
      <c r="F11" s="60">
        <f>H11-D11</f>
        <v>0</v>
      </c>
      <c r="G11" s="37">
        <f>I11-E11</f>
        <v>0</v>
      </c>
      <c r="H11" s="65">
        <f>D11</f>
        <v>10284481</v>
      </c>
      <c r="I11" s="66">
        <f>E11</f>
        <v>21749004</v>
      </c>
      <c r="J11" s="60"/>
      <c r="K11" s="38"/>
      <c r="L11" s="60">
        <f t="shared" ref="L11:M15" si="0">H11+J11</f>
        <v>10284481</v>
      </c>
      <c r="M11" s="38">
        <f t="shared" si="0"/>
        <v>21749004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10284481</v>
      </c>
      <c r="E16" s="39">
        <v>21749004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10284481</v>
      </c>
      <c r="I16" s="39">
        <f>SUM(I11:I15)</f>
        <v>21749004</v>
      </c>
      <c r="J16" s="61">
        <f t="shared" si="3"/>
        <v>0</v>
      </c>
      <c r="K16" s="39">
        <f t="shared" si="3"/>
        <v>0</v>
      </c>
      <c r="L16" s="61">
        <f t="shared" si="3"/>
        <v>10284481</v>
      </c>
      <c r="M16" s="39">
        <f t="shared" si="3"/>
        <v>21749004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-10208981</v>
      </c>
      <c r="E19" s="65">
        <v>-21377603</v>
      </c>
      <c r="F19" s="60">
        <f>H19-D19</f>
        <v>0</v>
      </c>
      <c r="G19" s="37">
        <f>I19-E19</f>
        <v>0</v>
      </c>
      <c r="H19" s="65">
        <f t="shared" si="4"/>
        <v>-10208981</v>
      </c>
      <c r="I19" s="66">
        <f t="shared" si="4"/>
        <v>-21377603</v>
      </c>
      <c r="J19" s="60"/>
      <c r="K19" s="38"/>
      <c r="L19" s="60">
        <f t="shared" ref="L19:M23" si="5">H19+J19</f>
        <v>-10208981</v>
      </c>
      <c r="M19" s="38">
        <f t="shared" si="5"/>
        <v>-21377603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-10208981</v>
      </c>
      <c r="E24" s="39">
        <v>-21377603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-10208981</v>
      </c>
      <c r="I24" s="39">
        <f>SUM(I19:I23)</f>
        <v>-21377603</v>
      </c>
      <c r="J24" s="61">
        <f t="shared" si="7"/>
        <v>0</v>
      </c>
      <c r="K24" s="39">
        <f t="shared" si="7"/>
        <v>0</v>
      </c>
      <c r="L24" s="61">
        <f t="shared" si="7"/>
        <v>-10208981</v>
      </c>
      <c r="M24" s="39">
        <f t="shared" si="7"/>
        <v>-21377603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-75500</v>
      </c>
      <c r="E49" s="65">
        <v>-153815.93931183961</v>
      </c>
      <c r="F49" s="60">
        <f>H49-D49</f>
        <v>0</v>
      </c>
      <c r="G49" s="37">
        <f>I49-E49</f>
        <v>0</v>
      </c>
      <c r="H49" s="65">
        <f>D49</f>
        <v>-75500</v>
      </c>
      <c r="I49" s="66">
        <f>E49</f>
        <v>-153815.93931183961</v>
      </c>
      <c r="J49" s="60"/>
      <c r="K49" s="38"/>
      <c r="L49" s="60">
        <f>H49+J49</f>
        <v>-75500</v>
      </c>
      <c r="M49" s="38">
        <f>I49+K49</f>
        <v>-153815.93931183961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-50088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-50088</v>
      </c>
      <c r="J54" s="60"/>
      <c r="K54" s="38"/>
      <c r="L54" s="60">
        <f>H54+J54</f>
        <v>0</v>
      </c>
      <c r="M54" s="38">
        <f>I54+K54</f>
        <v>-50088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-50088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-50088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-50088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5694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5694</v>
      </c>
      <c r="J71" s="60"/>
      <c r="K71" s="38"/>
      <c r="L71" s="60">
        <f>H71+J71</f>
        <v>0</v>
      </c>
      <c r="M71" s="38">
        <f>I71+K71</f>
        <v>5694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5694.0399999998044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5694.0399999998044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5694.0399999998044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-150000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-150000</v>
      </c>
      <c r="J74" s="60"/>
      <c r="K74" s="38"/>
      <c r="L74" s="60">
        <f t="shared" si="22"/>
        <v>0</v>
      </c>
      <c r="M74" s="38">
        <f t="shared" si="22"/>
        <v>-150000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23191.100688159495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23191.100688159495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23191.100688159495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5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5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23191.100688159495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23191.100688159495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23191.100688159495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54" activePane="bottomRight" state="frozen"/>
      <selection pane="topRight"/>
      <selection pane="bottomLeft"/>
      <selection pane="bottomRight" activeCell="I68" sqref="I6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15513020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15513020</v>
      </c>
      <c r="J12" s="60"/>
      <c r="K12" s="38"/>
      <c r="L12" s="60">
        <f t="shared" si="0"/>
        <v>0</v>
      </c>
      <c r="M12" s="38">
        <f t="shared" si="0"/>
        <v>15513020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15513020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15513020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15513020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-20919170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-20919170</v>
      </c>
      <c r="J70" s="65"/>
      <c r="K70" s="38"/>
      <c r="L70" s="60">
        <f t="shared" si="20"/>
        <v>0</v>
      </c>
      <c r="M70" s="38">
        <f t="shared" si="20"/>
        <v>-20919170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-20919170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-20919170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-20919170</v>
      </c>
    </row>
    <row r="73" spans="1:13" x14ac:dyDescent="0.25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4284968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4284968</v>
      </c>
      <c r="J74" s="60"/>
      <c r="K74" s="38"/>
      <c r="L74" s="60">
        <f t="shared" si="23"/>
        <v>0</v>
      </c>
      <c r="M74" s="38">
        <f t="shared" si="23"/>
        <v>4284968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-17138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-17138</v>
      </c>
      <c r="J76" s="60"/>
      <c r="K76" s="38"/>
      <c r="L76" s="60">
        <f t="shared" si="23"/>
        <v>0</v>
      </c>
      <c r="M76" s="38">
        <f t="shared" si="23"/>
        <v>-17138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/>
      <c r="E79" s="3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6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-1138320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-1138320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-1138320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2"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8">
        <v>33532345</v>
      </c>
      <c r="E11" s="148">
        <v>75233124</v>
      </c>
      <c r="F11" s="60">
        <f>H11-D11</f>
        <v>0</v>
      </c>
      <c r="G11" s="37">
        <f>I11-E11</f>
        <v>0</v>
      </c>
      <c r="H11" s="65">
        <f>D11</f>
        <v>33532345</v>
      </c>
      <c r="I11" s="66">
        <f>E11</f>
        <v>75233124</v>
      </c>
      <c r="J11" s="60"/>
      <c r="K11" s="38"/>
      <c r="L11" s="60">
        <f t="shared" ref="L11:M15" si="0">H11+J11</f>
        <v>33532345</v>
      </c>
      <c r="M11" s="38">
        <f t="shared" si="0"/>
        <v>75233124</v>
      </c>
    </row>
    <row r="12" spans="1:26" x14ac:dyDescent="0.25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8">
        <v>2963205</v>
      </c>
      <c r="E13" s="148">
        <v>7101003</v>
      </c>
      <c r="F13" s="60">
        <f t="shared" si="1"/>
        <v>0</v>
      </c>
      <c r="G13" s="37">
        <f t="shared" si="1"/>
        <v>0</v>
      </c>
      <c r="H13" s="65">
        <f t="shared" si="2"/>
        <v>2963205</v>
      </c>
      <c r="I13" s="66">
        <f t="shared" si="2"/>
        <v>7101003</v>
      </c>
      <c r="J13" s="60"/>
      <c r="K13" s="38"/>
      <c r="L13" s="60">
        <f t="shared" si="0"/>
        <v>2963205</v>
      </c>
      <c r="M13" s="38">
        <f t="shared" si="0"/>
        <v>7101003</v>
      </c>
    </row>
    <row r="14" spans="1:26" x14ac:dyDescent="0.25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8">
        <v>36495550</v>
      </c>
      <c r="E16" s="168">
        <v>82334127</v>
      </c>
      <c r="F16" s="61">
        <f t="shared" ref="F16:M16" si="3">SUM(F11:F15)</f>
        <v>0</v>
      </c>
      <c r="G16" s="39">
        <f t="shared" si="3"/>
        <v>0</v>
      </c>
      <c r="H16" s="61">
        <f>SUM(H11:H15)</f>
        <v>36495550</v>
      </c>
      <c r="I16" s="39">
        <f>SUM(I11:I15)</f>
        <v>82334127</v>
      </c>
      <c r="J16" s="61">
        <f t="shared" si="3"/>
        <v>0</v>
      </c>
      <c r="K16" s="39">
        <f t="shared" si="3"/>
        <v>0</v>
      </c>
      <c r="L16" s="61">
        <f t="shared" si="3"/>
        <v>36495550</v>
      </c>
      <c r="M16" s="39">
        <f t="shared" si="3"/>
        <v>82334127</v>
      </c>
    </row>
    <row r="17" spans="1:13" x14ac:dyDescent="0.25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8">
        <v>-35715373</v>
      </c>
      <c r="E19" s="148">
        <v>-80552149</v>
      </c>
      <c r="F19" s="60">
        <f>H19-D19</f>
        <v>0</v>
      </c>
      <c r="G19" s="37">
        <f>I19-E19</f>
        <v>0</v>
      </c>
      <c r="H19" s="65">
        <f t="shared" si="4"/>
        <v>-35715373</v>
      </c>
      <c r="I19" s="66">
        <f t="shared" si="4"/>
        <v>-80552149</v>
      </c>
      <c r="J19" s="60"/>
      <c r="K19" s="38"/>
      <c r="L19" s="60">
        <f t="shared" ref="L19:M23" si="5">H19+J19</f>
        <v>-35715373</v>
      </c>
      <c r="M19" s="38">
        <f t="shared" si="5"/>
        <v>-80552149</v>
      </c>
    </row>
    <row r="20" spans="1:13" x14ac:dyDescent="0.25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8">
        <v>-807938</v>
      </c>
      <c r="E21" s="148">
        <v>-1908298</v>
      </c>
      <c r="F21" s="60">
        <f t="shared" si="6"/>
        <v>0</v>
      </c>
      <c r="G21" s="37">
        <f t="shared" si="6"/>
        <v>0</v>
      </c>
      <c r="H21" s="65">
        <f t="shared" si="4"/>
        <v>-807938</v>
      </c>
      <c r="I21" s="66">
        <f t="shared" si="4"/>
        <v>-1908298</v>
      </c>
      <c r="J21" s="60"/>
      <c r="K21" s="38"/>
      <c r="L21" s="60">
        <f t="shared" si="5"/>
        <v>-807938</v>
      </c>
      <c r="M21" s="38">
        <f t="shared" si="5"/>
        <v>-1908298</v>
      </c>
    </row>
    <row r="22" spans="1:13" x14ac:dyDescent="0.25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8">
        <v>0</v>
      </c>
      <c r="E23" s="14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8">
        <v>-36523311</v>
      </c>
      <c r="E24" s="168">
        <v>-82460447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-36523311</v>
      </c>
      <c r="I24" s="39">
        <f>SUM(I19:I23)</f>
        <v>-82460447</v>
      </c>
      <c r="J24" s="61">
        <f t="shared" si="7"/>
        <v>0</v>
      </c>
      <c r="K24" s="39">
        <f t="shared" si="7"/>
        <v>0</v>
      </c>
      <c r="L24" s="61">
        <f t="shared" si="7"/>
        <v>-36523311</v>
      </c>
      <c r="M24" s="39">
        <f t="shared" si="7"/>
        <v>-82460447</v>
      </c>
    </row>
    <row r="25" spans="1:13" x14ac:dyDescent="0.25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8">
        <v>0</v>
      </c>
      <c r="E42" s="168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8">
        <v>27761</v>
      </c>
      <c r="E49" s="148">
        <v>66348.789999999994</v>
      </c>
      <c r="F49" s="60">
        <f>H49-D49</f>
        <v>0</v>
      </c>
      <c r="G49" s="37">
        <f>I49-E49</f>
        <v>0</v>
      </c>
      <c r="H49" s="65">
        <f>D49</f>
        <v>27761</v>
      </c>
      <c r="I49" s="66">
        <f>E49</f>
        <v>66348.789999999994</v>
      </c>
      <c r="J49" s="60"/>
      <c r="K49" s="38"/>
      <c r="L49" s="60">
        <f>H49+J49</f>
        <v>27761</v>
      </c>
      <c r="M49" s="38">
        <f>I49+K49</f>
        <v>66348.789999999994</v>
      </c>
    </row>
    <row r="50" spans="1:15" x14ac:dyDescent="0.25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8">
        <v>0</v>
      </c>
      <c r="E51" s="14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8">
        <v>0</v>
      </c>
      <c r="E54" s="14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8">
        <v>0</v>
      </c>
      <c r="E55" s="148">
        <v>-3274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-3274</v>
      </c>
      <c r="J55" s="60"/>
      <c r="K55" s="38"/>
      <c r="L55" s="60">
        <f>H55+J55</f>
        <v>0</v>
      </c>
      <c r="M55" s="38">
        <f>I55+K55</f>
        <v>-3274</v>
      </c>
    </row>
    <row r="56" spans="1:15" x14ac:dyDescent="0.25">
      <c r="A56" s="9"/>
      <c r="B56" s="7" t="s">
        <v>57</v>
      </c>
      <c r="C56" s="6"/>
      <c r="D56" s="168">
        <v>0</v>
      </c>
      <c r="E56" s="168">
        <v>-3274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-3274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-3274</v>
      </c>
    </row>
    <row r="57" spans="1:15" x14ac:dyDescent="0.25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8">
        <v>0</v>
      </c>
      <c r="E70" s="148">
        <v>708911.52289829031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708911.52289829031</v>
      </c>
      <c r="J70" s="65"/>
      <c r="K70" s="38"/>
      <c r="L70" s="60">
        <f t="shared" si="20"/>
        <v>0</v>
      </c>
      <c r="M70" s="38">
        <f t="shared" si="20"/>
        <v>708911.52289829031</v>
      </c>
    </row>
    <row r="71" spans="1:13" x14ac:dyDescent="0.25">
      <c r="A71" s="9">
        <v>31</v>
      </c>
      <c r="B71" s="3"/>
      <c r="C71" s="10" t="s">
        <v>68</v>
      </c>
      <c r="D71" s="148">
        <v>0</v>
      </c>
      <c r="E71" s="148">
        <v>-695660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-695660</v>
      </c>
      <c r="J71" s="65"/>
      <c r="K71" s="38"/>
      <c r="L71" s="60">
        <f t="shared" si="20"/>
        <v>0</v>
      </c>
      <c r="M71" s="38">
        <f t="shared" si="20"/>
        <v>-695660</v>
      </c>
    </row>
    <row r="72" spans="1:13" x14ac:dyDescent="0.25">
      <c r="A72" s="9"/>
      <c r="B72" s="3"/>
      <c r="C72" s="55" t="s">
        <v>69</v>
      </c>
      <c r="D72" s="168">
        <v>0</v>
      </c>
      <c r="E72" s="168">
        <v>13251.522898290306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13251.522898290306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13251.522898290306</v>
      </c>
    </row>
    <row r="73" spans="1:13" x14ac:dyDescent="0.25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8">
        <v>0</v>
      </c>
      <c r="E74" s="148">
        <v>80335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80335</v>
      </c>
      <c r="J74" s="60"/>
      <c r="K74" s="38"/>
      <c r="L74" s="60">
        <f t="shared" si="23"/>
        <v>0</v>
      </c>
      <c r="M74" s="38">
        <f t="shared" si="23"/>
        <v>80335</v>
      </c>
    </row>
    <row r="75" spans="1:13" x14ac:dyDescent="0.25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8">
        <v>0</v>
      </c>
      <c r="E76" s="148">
        <v>-110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-110</v>
      </c>
      <c r="J76" s="60"/>
      <c r="K76" s="38"/>
      <c r="L76" s="60">
        <f t="shared" si="23"/>
        <v>0</v>
      </c>
      <c r="M76" s="38">
        <f t="shared" si="23"/>
        <v>-110</v>
      </c>
    </row>
    <row r="77" spans="1:13" x14ac:dyDescent="0.25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8">
        <v>0</v>
      </c>
      <c r="E81" s="148">
        <v>32201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32201</v>
      </c>
      <c r="J81" s="60"/>
      <c r="K81" s="38"/>
      <c r="L81" s="60">
        <f t="shared" si="23"/>
        <v>0</v>
      </c>
      <c r="M81" s="38">
        <f t="shared" si="23"/>
        <v>32201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62432.312898286575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62432.312898286575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62432.312898286575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6"/>
      <c r="C86" s="10" t="s">
        <v>166</v>
      </c>
      <c r="D86" s="150">
        <v>0</v>
      </c>
      <c r="E86" s="150">
        <v>686492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686492</v>
      </c>
      <c r="J86" s="150"/>
      <c r="K86" s="150"/>
      <c r="L86" s="150">
        <f t="shared" ref="L86:M88" si="27">H86+J86</f>
        <v>0</v>
      </c>
      <c r="M86" s="150">
        <f t="shared" si="27"/>
        <v>686492</v>
      </c>
    </row>
    <row r="87" spans="1:13" s="3" customFormat="1" x14ac:dyDescent="0.25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13" s="3" customFormat="1" x14ac:dyDescent="0.25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13" s="2" customFormat="1" ht="20.25" customHeight="1" x14ac:dyDescent="0.25">
      <c r="A89" s="146"/>
      <c r="B89" s="4"/>
      <c r="C89" s="156" t="s">
        <v>169</v>
      </c>
      <c r="D89" s="157">
        <f>SUM(D86:D88)</f>
        <v>0</v>
      </c>
      <c r="E89" s="157">
        <f t="shared" ref="E89:M89" si="28">SUM(E86:E88)</f>
        <v>686492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686492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686492</v>
      </c>
    </row>
    <row r="90" spans="1:13" x14ac:dyDescent="0.25">
      <c r="A90" s="4"/>
      <c r="B90" s="3"/>
    </row>
    <row r="91" spans="1:13" s="2" customFormat="1" ht="20.25" customHeight="1" x14ac:dyDescent="0.25">
      <c r="A91" s="146"/>
      <c r="B91" s="4"/>
      <c r="C91" s="156" t="s">
        <v>167</v>
      </c>
      <c r="D91" s="157">
        <f>+D82+D89</f>
        <v>0</v>
      </c>
      <c r="E91" s="157">
        <f t="shared" ref="E91:M91" si="29">+E82+E89</f>
        <v>748924.31289828662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748924.31289828662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748924.31289828662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18373411</v>
      </c>
      <c r="E11" s="65">
        <v>30357927</v>
      </c>
      <c r="F11" s="60">
        <f>H11-D11</f>
        <v>0</v>
      </c>
      <c r="G11" s="37">
        <f>I11-E11</f>
        <v>0</v>
      </c>
      <c r="H11" s="65">
        <f>D11</f>
        <v>18373411</v>
      </c>
      <c r="I11" s="66">
        <f>E11</f>
        <v>30357927</v>
      </c>
      <c r="J11" s="60"/>
      <c r="K11" s="38"/>
      <c r="L11" s="60">
        <f t="shared" ref="L11:M15" si="0">H11+J11</f>
        <v>18373411</v>
      </c>
      <c r="M11" s="38">
        <f t="shared" si="0"/>
        <v>30357927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41043766</v>
      </c>
      <c r="E13" s="65">
        <v>118235966</v>
      </c>
      <c r="F13" s="60">
        <f t="shared" si="1"/>
        <v>0</v>
      </c>
      <c r="G13" s="37">
        <f t="shared" si="1"/>
        <v>0</v>
      </c>
      <c r="H13" s="65">
        <f t="shared" si="2"/>
        <v>41043766</v>
      </c>
      <c r="I13" s="66">
        <f t="shared" si="2"/>
        <v>118235966</v>
      </c>
      <c r="J13" s="60"/>
      <c r="K13" s="38"/>
      <c r="L13" s="60">
        <f t="shared" si="0"/>
        <v>41043766</v>
      </c>
      <c r="M13" s="38">
        <f t="shared" si="0"/>
        <v>118235966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10532765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10532765</v>
      </c>
      <c r="J15" s="60"/>
      <c r="K15" s="38"/>
      <c r="L15" s="60">
        <f t="shared" si="0"/>
        <v>0</v>
      </c>
      <c r="M15" s="38">
        <f t="shared" si="0"/>
        <v>10532765</v>
      </c>
    </row>
    <row r="16" spans="1:26" x14ac:dyDescent="0.25">
      <c r="A16" s="9"/>
      <c r="B16" s="7" t="s">
        <v>30</v>
      </c>
      <c r="C16" s="6"/>
      <c r="D16" s="61">
        <v>59417177</v>
      </c>
      <c r="E16" s="39">
        <v>159126658</v>
      </c>
      <c r="F16" s="61">
        <f t="shared" ref="F16:M16" si="3">SUM(F11:F15)</f>
        <v>0</v>
      </c>
      <c r="G16" s="39">
        <f t="shared" si="3"/>
        <v>0</v>
      </c>
      <c r="H16" s="61">
        <f>SUM(H11:H15)</f>
        <v>59417177</v>
      </c>
      <c r="I16" s="39">
        <f>SUM(I11:I15)</f>
        <v>159126658</v>
      </c>
      <c r="J16" s="61">
        <f t="shared" si="3"/>
        <v>0</v>
      </c>
      <c r="K16" s="39">
        <f t="shared" si="3"/>
        <v>0</v>
      </c>
      <c r="L16" s="61">
        <f t="shared" si="3"/>
        <v>59417177</v>
      </c>
      <c r="M16" s="39">
        <f t="shared" si="3"/>
        <v>159126658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-7707344</v>
      </c>
      <c r="E19" s="65">
        <v>-15009940</v>
      </c>
      <c r="F19" s="60">
        <f>H19-D19</f>
        <v>0</v>
      </c>
      <c r="G19" s="37">
        <f>I19-E19</f>
        <v>0</v>
      </c>
      <c r="H19" s="65">
        <f t="shared" si="4"/>
        <v>-7707344</v>
      </c>
      <c r="I19" s="66">
        <f t="shared" si="4"/>
        <v>-15009940</v>
      </c>
      <c r="J19" s="60"/>
      <c r="K19" s="38"/>
      <c r="L19" s="60">
        <f t="shared" ref="L19:M23" si="5">H19+J19</f>
        <v>-7707344</v>
      </c>
      <c r="M19" s="38">
        <f t="shared" si="5"/>
        <v>-15009940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-42605098</v>
      </c>
      <c r="E21" s="65">
        <v>-118737179</v>
      </c>
      <c r="F21" s="60">
        <f t="shared" si="6"/>
        <v>0</v>
      </c>
      <c r="G21" s="37">
        <f t="shared" si="6"/>
        <v>0</v>
      </c>
      <c r="H21" s="65">
        <f t="shared" si="4"/>
        <v>-42605098</v>
      </c>
      <c r="I21" s="66">
        <f t="shared" si="4"/>
        <v>-118737179</v>
      </c>
      <c r="J21" s="60"/>
      <c r="K21" s="38"/>
      <c r="L21" s="60">
        <f t="shared" si="5"/>
        <v>-42605098</v>
      </c>
      <c r="M21" s="38">
        <f t="shared" si="5"/>
        <v>-118737179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772833</v>
      </c>
      <c r="E23" s="65">
        <v>1907845</v>
      </c>
      <c r="F23" s="60">
        <f t="shared" si="6"/>
        <v>0</v>
      </c>
      <c r="G23" s="37">
        <f t="shared" si="6"/>
        <v>0</v>
      </c>
      <c r="H23" s="65">
        <f t="shared" si="4"/>
        <v>772833</v>
      </c>
      <c r="I23" s="66">
        <f t="shared" si="4"/>
        <v>1907845</v>
      </c>
      <c r="J23" s="60"/>
      <c r="K23" s="38"/>
      <c r="L23" s="60">
        <f t="shared" si="5"/>
        <v>772833</v>
      </c>
      <c r="M23" s="38">
        <f t="shared" si="5"/>
        <v>1907845</v>
      </c>
    </row>
    <row r="24" spans="1:13" x14ac:dyDescent="0.25">
      <c r="A24" s="9"/>
      <c r="B24" s="7" t="s">
        <v>33</v>
      </c>
      <c r="C24" s="6"/>
      <c r="D24" s="61">
        <v>-49539609</v>
      </c>
      <c r="E24" s="39">
        <v>-131839274</v>
      </c>
      <c r="F24" s="61">
        <f t="shared" ref="F24:M24" si="7">SUM(F19:F23)</f>
        <v>0</v>
      </c>
      <c r="G24" s="39">
        <f t="shared" si="7"/>
        <v>0</v>
      </c>
      <c r="H24" s="61">
        <f>SUM(H19:H23)</f>
        <v>-49539609</v>
      </c>
      <c r="I24" s="39">
        <f>SUM(I19:I23)</f>
        <v>-131839274</v>
      </c>
      <c r="J24" s="61">
        <f t="shared" si="7"/>
        <v>0</v>
      </c>
      <c r="K24" s="39">
        <f t="shared" si="7"/>
        <v>0</v>
      </c>
      <c r="L24" s="61">
        <f t="shared" si="7"/>
        <v>-49539609</v>
      </c>
      <c r="M24" s="39">
        <f t="shared" si="7"/>
        <v>-131839274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-36</v>
      </c>
      <c r="E32" s="65">
        <v>-112</v>
      </c>
      <c r="F32" s="60">
        <f>H32-D32</f>
        <v>0</v>
      </c>
      <c r="G32" s="37">
        <f>I32-E32</f>
        <v>0</v>
      </c>
      <c r="H32" s="65">
        <f t="shared" ref="H32:I35" si="9">D32</f>
        <v>-36</v>
      </c>
      <c r="I32" s="66">
        <f t="shared" si="9"/>
        <v>-112</v>
      </c>
      <c r="J32" s="60"/>
      <c r="K32" s="38"/>
      <c r="L32" s="60">
        <f t="shared" ref="L32:M35" si="10">H32+J32</f>
        <v>-36</v>
      </c>
      <c r="M32" s="38">
        <f t="shared" si="10"/>
        <v>-112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-569433</v>
      </c>
      <c r="E35" s="65">
        <v>-1549151</v>
      </c>
      <c r="F35" s="60">
        <f t="shared" si="11"/>
        <v>0</v>
      </c>
      <c r="G35" s="37">
        <f t="shared" si="11"/>
        <v>0</v>
      </c>
      <c r="H35" s="65">
        <f t="shared" si="9"/>
        <v>-569433</v>
      </c>
      <c r="I35" s="66">
        <f t="shared" si="9"/>
        <v>-1549151</v>
      </c>
      <c r="J35" s="60"/>
      <c r="K35" s="38"/>
      <c r="L35" s="60">
        <f t="shared" si="10"/>
        <v>-569433</v>
      </c>
      <c r="M35" s="38">
        <f t="shared" si="10"/>
        <v>-1549151</v>
      </c>
    </row>
    <row r="36" spans="1:13" x14ac:dyDescent="0.25">
      <c r="A36" s="9"/>
      <c r="B36" s="7" t="s">
        <v>43</v>
      </c>
      <c r="C36" s="6"/>
      <c r="D36" s="61">
        <v>-569469</v>
      </c>
      <c r="E36" s="39">
        <v>-1549263</v>
      </c>
      <c r="F36" s="61">
        <f>SUM(F32:F35)</f>
        <v>0</v>
      </c>
      <c r="G36" s="39">
        <f>SUM(G32:G35)</f>
        <v>0</v>
      </c>
      <c r="H36" s="61">
        <f>SUM(H32:H35)</f>
        <v>-569469</v>
      </c>
      <c r="I36" s="39">
        <f>SUM(I32:I35)</f>
        <v>-1549263</v>
      </c>
      <c r="J36" s="61">
        <f>SUM(J32:J34)</f>
        <v>0</v>
      </c>
      <c r="K36" s="39">
        <f>SUM(K32:K34)</f>
        <v>0</v>
      </c>
      <c r="L36" s="61">
        <f>SUM(L32:L35)</f>
        <v>-569469</v>
      </c>
      <c r="M36" s="39">
        <f>SUM(M32:M35)</f>
        <v>-1549263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350183</v>
      </c>
      <c r="E39" s="65">
        <v>952497</v>
      </c>
      <c r="F39" s="60">
        <f t="shared" ref="F39:G41" si="13">H39-D39</f>
        <v>0</v>
      </c>
      <c r="G39" s="37">
        <f t="shared" si="13"/>
        <v>0</v>
      </c>
      <c r="H39" s="65">
        <f t="shared" si="12"/>
        <v>350183</v>
      </c>
      <c r="I39" s="66">
        <f t="shared" si="12"/>
        <v>952497</v>
      </c>
      <c r="J39" s="60"/>
      <c r="K39" s="38"/>
      <c r="L39" s="60">
        <f t="shared" ref="L39:M41" si="14">H39+J39</f>
        <v>350183</v>
      </c>
      <c r="M39" s="38">
        <f t="shared" si="14"/>
        <v>952497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-9389688</v>
      </c>
      <c r="E40" s="65">
        <v>-9918192</v>
      </c>
      <c r="F40" s="60">
        <f t="shared" si="13"/>
        <v>0</v>
      </c>
      <c r="G40" s="37">
        <f t="shared" si="13"/>
        <v>0</v>
      </c>
      <c r="H40" s="65">
        <f t="shared" si="12"/>
        <v>-9389688</v>
      </c>
      <c r="I40" s="66">
        <f t="shared" si="12"/>
        <v>-9918192</v>
      </c>
      <c r="J40" s="65"/>
      <c r="K40" s="38"/>
      <c r="L40" s="60">
        <f t="shared" si="14"/>
        <v>-9389688</v>
      </c>
      <c r="M40" s="38">
        <f t="shared" si="14"/>
        <v>-9918192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-9389688</v>
      </c>
      <c r="E42" s="39">
        <v>-9918192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-9389688</v>
      </c>
      <c r="I42" s="39">
        <f>SUM(I40:I41)</f>
        <v>-9918192</v>
      </c>
      <c r="J42" s="69">
        <f t="shared" si="15"/>
        <v>0</v>
      </c>
      <c r="K42" s="39">
        <f t="shared" si="15"/>
        <v>0</v>
      </c>
      <c r="L42" s="69">
        <f t="shared" si="15"/>
        <v>-9389688</v>
      </c>
      <c r="M42" s="39">
        <f t="shared" si="15"/>
        <v>-9918192</v>
      </c>
    </row>
    <row r="43" spans="1:13" ht="21" customHeight="1" x14ac:dyDescent="0.25">
      <c r="A43" s="9"/>
      <c r="B43" s="7" t="s">
        <v>49</v>
      </c>
      <c r="C43" s="6"/>
      <c r="D43" s="61">
        <v>-9039505</v>
      </c>
      <c r="E43" s="39">
        <v>-8965695</v>
      </c>
      <c r="F43" s="61">
        <f t="shared" ref="F43:M43" si="16">F42+F39</f>
        <v>0</v>
      </c>
      <c r="G43" s="39">
        <f t="shared" si="16"/>
        <v>0</v>
      </c>
      <c r="H43" s="61">
        <f>H42+H39</f>
        <v>-9039505</v>
      </c>
      <c r="I43" s="39">
        <f>I42+I39</f>
        <v>-8965695</v>
      </c>
      <c r="J43" s="61">
        <f t="shared" si="16"/>
        <v>0</v>
      </c>
      <c r="K43" s="39">
        <f t="shared" si="16"/>
        <v>0</v>
      </c>
      <c r="L43" s="61">
        <f t="shared" si="16"/>
        <v>-9039505</v>
      </c>
      <c r="M43" s="39">
        <f t="shared" si="16"/>
        <v>-8965695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-268594</v>
      </c>
      <c r="E49" s="65">
        <v>-585803.51399999997</v>
      </c>
      <c r="F49" s="60">
        <f>H49-D49</f>
        <v>0</v>
      </c>
      <c r="G49" s="37">
        <f>I49-E49</f>
        <v>0</v>
      </c>
      <c r="H49" s="65">
        <f>D49</f>
        <v>-268594</v>
      </c>
      <c r="I49" s="66">
        <f>E49</f>
        <v>-585803.51399999997</v>
      </c>
      <c r="J49" s="60"/>
      <c r="K49" s="38"/>
      <c r="L49" s="60">
        <f>H49+J49</f>
        <v>-268594</v>
      </c>
      <c r="M49" s="38">
        <f>I49+K49</f>
        <v>-585803.51399999997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-772833</v>
      </c>
      <c r="E51" s="65">
        <v>-1907845</v>
      </c>
      <c r="F51" s="60">
        <f>H51-D51</f>
        <v>0</v>
      </c>
      <c r="G51" s="37">
        <f>I51-E51</f>
        <v>0</v>
      </c>
      <c r="H51" s="65">
        <f>D51</f>
        <v>-772833</v>
      </c>
      <c r="I51" s="66">
        <f>E51</f>
        <v>-1907845</v>
      </c>
      <c r="J51" s="60"/>
      <c r="K51" s="38"/>
      <c r="L51" s="60">
        <f>H51+J51</f>
        <v>-772833</v>
      </c>
      <c r="M51" s="38">
        <f>I51+K51</f>
        <v>-1907845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-899235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-899235</v>
      </c>
      <c r="J54" s="60"/>
      <c r="K54" s="38"/>
      <c r="L54" s="60">
        <f>H54+J54</f>
        <v>0</v>
      </c>
      <c r="M54" s="38">
        <f>I54+K54</f>
        <v>-899235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-10532765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-10532765</v>
      </c>
      <c r="J55" s="60"/>
      <c r="K55" s="38"/>
      <c r="L55" s="60">
        <f>H55+J55</f>
        <v>0</v>
      </c>
      <c r="M55" s="38">
        <f>I55+K55</f>
        <v>-10532765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-11432000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-11432000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-11432000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6350126.3000008017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6350126.3000008017</v>
      </c>
      <c r="J70" s="65"/>
      <c r="K70" s="38"/>
      <c r="L70" s="60">
        <f t="shared" si="20"/>
        <v>0</v>
      </c>
      <c r="M70" s="38">
        <f t="shared" si="20"/>
        <v>6350126.3000008017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-6830063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-6830063</v>
      </c>
      <c r="J71" s="65"/>
      <c r="K71" s="38"/>
      <c r="L71" s="60">
        <f t="shared" si="20"/>
        <v>0</v>
      </c>
      <c r="M71" s="38">
        <f t="shared" si="20"/>
        <v>-6830063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-479936.69999919832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-479936.69999919832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-479936.69999919832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-846573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-846573</v>
      </c>
      <c r="J74" s="60"/>
      <c r="K74" s="38"/>
      <c r="L74" s="60">
        <f t="shared" si="23"/>
        <v>0</v>
      </c>
      <c r="M74" s="38">
        <f t="shared" si="23"/>
        <v>-846573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22818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22818</v>
      </c>
      <c r="J75" s="60"/>
      <c r="K75" s="38"/>
      <c r="L75" s="60">
        <f t="shared" si="23"/>
        <v>0</v>
      </c>
      <c r="M75" s="38">
        <f t="shared" si="23"/>
        <v>22818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9629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9629</v>
      </c>
      <c r="J81" s="60"/>
      <c r="K81" s="38"/>
      <c r="L81" s="60">
        <f t="shared" si="23"/>
        <v>0</v>
      </c>
      <c r="M81" s="38">
        <f t="shared" si="23"/>
        <v>9629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1552714.7860007863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1552714.7860007863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1552714.7860007863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V179"/>
  <sheetViews>
    <sheetView zoomScale="75" workbookViewId="0">
      <pane xSplit="3" ySplit="9" topLeftCell="T58" activePane="bottomRight" state="frozen"/>
      <selection activeCell="V32" sqref="V32:W32"/>
      <selection pane="topRight" activeCell="V32" sqref="V32:W32"/>
      <selection pane="bottomLeft" activeCell="V32" sqref="V32:W32"/>
      <selection pane="bottomRight" activeCell="AA89" sqref="AA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74297173</v>
      </c>
      <c r="E11" s="38">
        <f>SUM(G11,I11,K11,M11,O11,Q11,S11,U11,W11,Y11,AA11,AC11,AE11)</f>
        <v>171468566.31999999</v>
      </c>
      <c r="F11" s="60">
        <f>'TIE-OUT'!F11+RECLASS!F11</f>
        <v>0</v>
      </c>
      <c r="G11" s="38">
        <f>'TIE-OUT'!G11+RECLASS!G11</f>
        <v>2875811</v>
      </c>
      <c r="H11" s="120">
        <f>+Actuals!E164</f>
        <v>72452022</v>
      </c>
      <c r="I11" s="121">
        <f>+Actuals!F164</f>
        <v>168935730.12</v>
      </c>
      <c r="J11" s="120">
        <f>+Actuals!G164</f>
        <v>2459300</v>
      </c>
      <c r="K11" s="121">
        <f>+Actuals!H164</f>
        <v>2264003.8199999998</v>
      </c>
      <c r="L11" s="120">
        <f>+Actuals!I164</f>
        <v>-806640</v>
      </c>
      <c r="M11" s="121">
        <f>+Actuals!J164</f>
        <v>-2008846.68</v>
      </c>
      <c r="N11" s="120">
        <f>+Actuals!K164</f>
        <v>161467</v>
      </c>
      <c r="O11" s="121">
        <f>+Actuals!L164</f>
        <v>384489.9</v>
      </c>
      <c r="P11" s="120">
        <f>+Actuals!M164</f>
        <v>-443472</v>
      </c>
      <c r="Q11" s="121">
        <f>+Actuals!N164</f>
        <v>21876.05</v>
      </c>
      <c r="R11" s="120">
        <f>+Actuals!O164</f>
        <v>-10019</v>
      </c>
      <c r="S11" s="219">
        <f>+Actuals!P164-259247</f>
        <v>-280561.36</v>
      </c>
      <c r="T11" s="120">
        <f>+Actuals!Q164</f>
        <v>-15340</v>
      </c>
      <c r="U11" s="121">
        <f>+Actuals!R164</f>
        <v>-829504.03</v>
      </c>
      <c r="V11" s="120">
        <v>453728</v>
      </c>
      <c r="W11" s="121">
        <f>+Actuals!T164</f>
        <v>0</v>
      </c>
      <c r="X11" s="120">
        <f>+Actuals!U164</f>
        <v>0</v>
      </c>
      <c r="Y11" s="121">
        <f>+Actuals!V164</f>
        <v>0</v>
      </c>
      <c r="Z11" s="120">
        <v>46127</v>
      </c>
      <c r="AA11" s="121">
        <v>105567.5</v>
      </c>
      <c r="AB11" s="120">
        <f>+Actuals!Y164</f>
        <v>0</v>
      </c>
      <c r="AC11" s="121">
        <f>+Actuals!Z164</f>
        <v>0</v>
      </c>
      <c r="AD11" s="120">
        <f>+Actuals!AA164</f>
        <v>0</v>
      </c>
      <c r="AE11" s="121">
        <f>+Actuals!AB164</f>
        <v>0</v>
      </c>
      <c r="AF11" s="120">
        <f>+Actuals!AC164</f>
        <v>0</v>
      </c>
      <c r="AG11" s="121">
        <f>+Actuals!AD164</f>
        <v>0</v>
      </c>
      <c r="AH11" s="120">
        <f>+Actuals!AE164</f>
        <v>0</v>
      </c>
      <c r="AI11" s="121">
        <f>+Actuals!AF164</f>
        <v>0</v>
      </c>
      <c r="AJ11" s="120">
        <f>+Actuals!AG164</f>
        <v>0</v>
      </c>
      <c r="AK11" s="121">
        <f>+Actuals!AH164</f>
        <v>0</v>
      </c>
      <c r="AL11" s="120">
        <f>+Actuals!AI164</f>
        <v>0</v>
      </c>
      <c r="AM11" s="121">
        <f>+Actuals!AJ164</f>
        <v>0</v>
      </c>
      <c r="AN11" s="120">
        <f>+Actuals!AK164</f>
        <v>0</v>
      </c>
      <c r="AO11" s="121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1841542.65</v>
      </c>
      <c r="F12" s="60">
        <f>'TIE-OUT'!F12+RECLASS!F12</f>
        <v>0</v>
      </c>
      <c r="G12" s="38">
        <f>'TIE-OUT'!G12+RECLASS!G12</f>
        <v>3241542.65</v>
      </c>
      <c r="H12" s="120">
        <f>+Actuals!E165</f>
        <v>0</v>
      </c>
      <c r="I12" s="121">
        <f>+Actuals!F165</f>
        <v>0</v>
      </c>
      <c r="J12" s="120">
        <f>+Actuals!G165</f>
        <v>0</v>
      </c>
      <c r="K12" s="121">
        <f>+Actuals!H165</f>
        <v>0</v>
      </c>
      <c r="L12" s="120">
        <f>+Actuals!I165</f>
        <v>0</v>
      </c>
      <c r="M12" s="121">
        <f>+Actuals!J165</f>
        <v>0</v>
      </c>
      <c r="N12" s="120">
        <f>+Actuals!K165</f>
        <v>0</v>
      </c>
      <c r="O12" s="121">
        <f>+Actuals!L165</f>
        <v>0</v>
      </c>
      <c r="P12" s="120">
        <f>+Actuals!M165</f>
        <v>0</v>
      </c>
      <c r="Q12" s="219">
        <v>-1400000</v>
      </c>
      <c r="R12" s="120">
        <f>+Actuals!O165</f>
        <v>0</v>
      </c>
      <c r="S12" s="219"/>
      <c r="T12" s="120">
        <f>+Actuals!Q165</f>
        <v>0</v>
      </c>
      <c r="U12" s="121">
        <f>+Actuals!R165</f>
        <v>0</v>
      </c>
      <c r="V12" s="120">
        <f>+Actuals!S165</f>
        <v>0</v>
      </c>
      <c r="W12" s="121">
        <f>+Actuals!T165</f>
        <v>0</v>
      </c>
      <c r="X12" s="120">
        <f>+Actuals!U165</f>
        <v>0</v>
      </c>
      <c r="Y12" s="121">
        <f>+Actuals!V165</f>
        <v>0</v>
      </c>
      <c r="Z12" s="120">
        <f>+Actuals!W165</f>
        <v>0</v>
      </c>
      <c r="AA12" s="121">
        <f>+Actuals!X165</f>
        <v>0</v>
      </c>
      <c r="AB12" s="120">
        <f>+Actuals!Y165</f>
        <v>0</v>
      </c>
      <c r="AC12" s="121">
        <f>+Actuals!Z165</f>
        <v>0</v>
      </c>
      <c r="AD12" s="120">
        <f>+Actuals!AA165</f>
        <v>0</v>
      </c>
      <c r="AE12" s="121">
        <f>+Actuals!AB165</f>
        <v>0</v>
      </c>
      <c r="AF12" s="120">
        <f>+Actuals!AC165</f>
        <v>0</v>
      </c>
      <c r="AG12" s="121">
        <f>+Actuals!AD165</f>
        <v>0</v>
      </c>
      <c r="AH12" s="120">
        <f>+Actuals!AE165</f>
        <v>0</v>
      </c>
      <c r="AI12" s="121">
        <f>+Actuals!AF165</f>
        <v>0</v>
      </c>
      <c r="AJ12" s="120">
        <f>+Actuals!AG165</f>
        <v>0</v>
      </c>
      <c r="AK12" s="121">
        <f>+Actuals!AH165</f>
        <v>0</v>
      </c>
      <c r="AL12" s="120">
        <f>+Actuals!AI165</f>
        <v>0</v>
      </c>
      <c r="AM12" s="121">
        <f>+Actuals!AJ165</f>
        <v>0</v>
      </c>
      <c r="AN12" s="120">
        <f>+Actuals!AK165</f>
        <v>0</v>
      </c>
      <c r="AO12" s="121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32573303</v>
      </c>
      <c r="E13" s="38">
        <f t="shared" si="0"/>
        <v>73446198</v>
      </c>
      <c r="F13" s="60">
        <f>'TIE-OUT'!F13+RECLASS!F13</f>
        <v>0</v>
      </c>
      <c r="G13" s="38">
        <f>'TIE-OUT'!G13+RECLASS!G13</f>
        <v>0</v>
      </c>
      <c r="H13" s="120">
        <f>+Actuals!E166</f>
        <v>32366719</v>
      </c>
      <c r="I13" s="121">
        <f>+Actuals!F166</f>
        <v>72950314</v>
      </c>
      <c r="J13" s="120">
        <f>+Actuals!G166</f>
        <v>-16607848</v>
      </c>
      <c r="K13" s="121">
        <f>+Actuals!H166</f>
        <v>-38041496</v>
      </c>
      <c r="L13" s="120">
        <f>+Actuals!I166</f>
        <v>-1540</v>
      </c>
      <c r="M13" s="121">
        <f>+Actuals!J166</f>
        <v>-3191</v>
      </c>
      <c r="N13" s="120">
        <f>+Actuals!K166</f>
        <v>0</v>
      </c>
      <c r="O13" s="121">
        <f>+Actuals!L166</f>
        <v>0</v>
      </c>
      <c r="P13" s="120">
        <f>+Actuals!M166</f>
        <v>0</v>
      </c>
      <c r="Q13" s="121">
        <f>+Actuals!N166</f>
        <v>0</v>
      </c>
      <c r="R13" s="120">
        <f>+Actuals!O166</f>
        <v>0</v>
      </c>
      <c r="S13" s="121">
        <f>+Actuals!P166</f>
        <v>0</v>
      </c>
      <c r="T13" s="120">
        <f>+Actuals!Q166</f>
        <v>16815972</v>
      </c>
      <c r="U13" s="121">
        <f>+Actuals!R166</f>
        <v>38540571</v>
      </c>
      <c r="V13" s="120">
        <f>+Actuals!S166</f>
        <v>0</v>
      </c>
      <c r="W13" s="121">
        <f>+Actuals!T166</f>
        <v>0</v>
      </c>
      <c r="X13" s="120">
        <f>+Actuals!U166</f>
        <v>0</v>
      </c>
      <c r="Y13" s="121">
        <f>+Actuals!V166</f>
        <v>0</v>
      </c>
      <c r="Z13" s="120">
        <f>+Actuals!W166</f>
        <v>0</v>
      </c>
      <c r="AA13" s="121">
        <f>+Actuals!X166</f>
        <v>0</v>
      </c>
      <c r="AB13" s="120">
        <f>+Actuals!Y166</f>
        <v>0</v>
      </c>
      <c r="AC13" s="121">
        <f>+Actuals!Z166</f>
        <v>0</v>
      </c>
      <c r="AD13" s="120">
        <f>+Actuals!AA166</f>
        <v>0</v>
      </c>
      <c r="AE13" s="121">
        <f>+Actuals!AB166</f>
        <v>0</v>
      </c>
      <c r="AF13" s="120">
        <f>+Actuals!AC166</f>
        <v>0</v>
      </c>
      <c r="AG13" s="121">
        <f>+Actuals!AD166</f>
        <v>0</v>
      </c>
      <c r="AH13" s="120">
        <f>+Actuals!AE166</f>
        <v>0</v>
      </c>
      <c r="AI13" s="121">
        <f>+Actuals!AF166</f>
        <v>0</v>
      </c>
      <c r="AJ13" s="120">
        <f>+Actuals!AG166</f>
        <v>0</v>
      </c>
      <c r="AK13" s="121">
        <f>+Actuals!AH166</f>
        <v>0</v>
      </c>
      <c r="AL13" s="120">
        <f>+Actuals!AI166</f>
        <v>0</v>
      </c>
      <c r="AM13" s="121">
        <f>+Actuals!AJ166</f>
        <v>0</v>
      </c>
      <c r="AN13" s="120">
        <f>+Actuals!AK166</f>
        <v>0</v>
      </c>
      <c r="AO13" s="121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20">
        <f>+Actuals!E167</f>
        <v>0</v>
      </c>
      <c r="I14" s="121">
        <f>+Actuals!F167</f>
        <v>0</v>
      </c>
      <c r="J14" s="120">
        <f>+Actuals!G167</f>
        <v>0</v>
      </c>
      <c r="K14" s="121">
        <f>+Actuals!H167</f>
        <v>0</v>
      </c>
      <c r="L14" s="120">
        <f>+Actuals!I167</f>
        <v>0</v>
      </c>
      <c r="M14" s="121">
        <f>+Actuals!J167</f>
        <v>0</v>
      </c>
      <c r="N14" s="120">
        <f>+Actuals!K167</f>
        <v>0</v>
      </c>
      <c r="O14" s="121">
        <f>+Actuals!L167</f>
        <v>0</v>
      </c>
      <c r="P14" s="120">
        <f>+Actuals!M167</f>
        <v>0</v>
      </c>
      <c r="Q14" s="121">
        <f>+Actuals!N167</f>
        <v>0</v>
      </c>
      <c r="R14" s="120">
        <f>+Actuals!O167</f>
        <v>0</v>
      </c>
      <c r="S14" s="121">
        <f>+Actuals!P167</f>
        <v>0</v>
      </c>
      <c r="T14" s="120">
        <f>+Actuals!Q167</f>
        <v>0</v>
      </c>
      <c r="U14" s="121">
        <f>+Actuals!R167</f>
        <v>0</v>
      </c>
      <c r="V14" s="120">
        <f>+Actuals!S167</f>
        <v>0</v>
      </c>
      <c r="W14" s="121">
        <f>+Actuals!T167</f>
        <v>0</v>
      </c>
      <c r="X14" s="120">
        <f>+Actuals!U167</f>
        <v>0</v>
      </c>
      <c r="Y14" s="121">
        <f>+Actuals!V167</f>
        <v>0</v>
      </c>
      <c r="Z14" s="120">
        <f>+Actuals!W167</f>
        <v>0</v>
      </c>
      <c r="AA14" s="121">
        <f>+Actuals!X167</f>
        <v>0</v>
      </c>
      <c r="AB14" s="120">
        <f>+Actuals!Y167</f>
        <v>0</v>
      </c>
      <c r="AC14" s="121">
        <f>+Actuals!Z167</f>
        <v>0</v>
      </c>
      <c r="AD14" s="120">
        <f>+Actuals!AA167</f>
        <v>0</v>
      </c>
      <c r="AE14" s="121">
        <f>+Actuals!AB167</f>
        <v>0</v>
      </c>
      <c r="AF14" s="120">
        <f>+Actuals!AC167</f>
        <v>0</v>
      </c>
      <c r="AG14" s="121">
        <f>+Actuals!AD167</f>
        <v>0</v>
      </c>
      <c r="AH14" s="120">
        <f>+Actuals!AE167</f>
        <v>0</v>
      </c>
      <c r="AI14" s="121">
        <f>+Actuals!AF167</f>
        <v>0</v>
      </c>
      <c r="AJ14" s="120">
        <f>+Actuals!AG167</f>
        <v>0</v>
      </c>
      <c r="AK14" s="121">
        <f>+Actuals!AH167</f>
        <v>0</v>
      </c>
      <c r="AL14" s="120">
        <f>+Actuals!AI167</f>
        <v>0</v>
      </c>
      <c r="AM14" s="121">
        <f>+Actuals!AJ167</f>
        <v>0</v>
      </c>
      <c r="AN14" s="120">
        <f>+Actuals!AK167</f>
        <v>0</v>
      </c>
      <c r="AO14" s="121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995116.06999999983</v>
      </c>
      <c r="F15" s="81">
        <f>'TIE-OUT'!F15+RECLASS!F15</f>
        <v>0</v>
      </c>
      <c r="G15" s="82">
        <f>'TIE-OUT'!G15+RECLASS!G15</f>
        <v>-2875811</v>
      </c>
      <c r="H15" s="120">
        <f>+Actuals!E168</f>
        <v>0</v>
      </c>
      <c r="I15" s="121">
        <f>+Actuals!F168</f>
        <v>333391.07</v>
      </c>
      <c r="J15" s="120">
        <f>+Actuals!G168</f>
        <v>0</v>
      </c>
      <c r="K15" s="121">
        <f>+Actuals!H168</f>
        <v>3533283</v>
      </c>
      <c r="L15" s="120">
        <f>+Actuals!I168</f>
        <v>0</v>
      </c>
      <c r="M15" s="121">
        <f>+Actuals!J168</f>
        <v>0</v>
      </c>
      <c r="N15" s="120">
        <f>+Actuals!K168</f>
        <v>0</v>
      </c>
      <c r="O15" s="121">
        <f>+Actuals!L168</f>
        <v>4253</v>
      </c>
      <c r="P15" s="120">
        <f>+Actuals!M168</f>
        <v>0</v>
      </c>
      <c r="Q15" s="121">
        <f>+Actuals!N168</f>
        <v>0</v>
      </c>
      <c r="R15" s="120">
        <f>+Actuals!O168</f>
        <v>0</v>
      </c>
      <c r="S15" s="121">
        <f>+Actuals!P168</f>
        <v>0</v>
      </c>
      <c r="T15" s="120">
        <f>+Actuals!Q168</f>
        <v>0</v>
      </c>
      <c r="U15" s="121">
        <f>+Actuals!R168</f>
        <v>0</v>
      </c>
      <c r="V15" s="120">
        <f>+Actuals!S168</f>
        <v>0</v>
      </c>
      <c r="W15" s="121">
        <f>+Actuals!T168</f>
        <v>0</v>
      </c>
      <c r="X15" s="120">
        <f>+Actuals!U168</f>
        <v>0</v>
      </c>
      <c r="Y15" s="121">
        <f>+Actuals!V168</f>
        <v>0</v>
      </c>
      <c r="Z15" s="120">
        <f>+Actuals!W168</f>
        <v>0</v>
      </c>
      <c r="AA15" s="121">
        <f>+Actuals!X168</f>
        <v>0</v>
      </c>
      <c r="AB15" s="120">
        <f>+Actuals!Y168</f>
        <v>0</v>
      </c>
      <c r="AC15" s="121">
        <f>+Actuals!Z168</f>
        <v>0</v>
      </c>
      <c r="AD15" s="120">
        <f>+Actuals!AA168</f>
        <v>0</v>
      </c>
      <c r="AE15" s="121">
        <f>+Actuals!AB168</f>
        <v>0</v>
      </c>
      <c r="AF15" s="120">
        <f>+Actuals!AC168</f>
        <v>0</v>
      </c>
      <c r="AG15" s="121">
        <f>+Actuals!AD168</f>
        <v>0</v>
      </c>
      <c r="AH15" s="120">
        <f>+Actuals!AE168</f>
        <v>0</v>
      </c>
      <c r="AI15" s="121">
        <f>+Actuals!AF168</f>
        <v>0</v>
      </c>
      <c r="AJ15" s="120">
        <f>+Actuals!AG168</f>
        <v>0</v>
      </c>
      <c r="AK15" s="121">
        <f>+Actuals!AH168</f>
        <v>0</v>
      </c>
      <c r="AL15" s="120">
        <f>+Actuals!AI168</f>
        <v>0</v>
      </c>
      <c r="AM15" s="121">
        <f>+Actuals!AJ168</f>
        <v>0</v>
      </c>
      <c r="AN15" s="120">
        <f>+Actuals!AK168</f>
        <v>0</v>
      </c>
      <c r="AO15" s="121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106870476</v>
      </c>
      <c r="E16" s="39">
        <f t="shared" si="1"/>
        <v>247751423.03999999</v>
      </c>
      <c r="F16" s="61">
        <f t="shared" si="1"/>
        <v>0</v>
      </c>
      <c r="G16" s="39">
        <f t="shared" si="1"/>
        <v>3241542.6500000004</v>
      </c>
      <c r="H16" s="61">
        <f t="shared" si="1"/>
        <v>104818741</v>
      </c>
      <c r="I16" s="39">
        <f t="shared" si="1"/>
        <v>242219435.19</v>
      </c>
      <c r="J16" s="61">
        <f t="shared" ref="J16:AO16" si="2">SUM(J11:J15)</f>
        <v>-14148548</v>
      </c>
      <c r="K16" s="39">
        <f t="shared" si="2"/>
        <v>-32244209.18</v>
      </c>
      <c r="L16" s="61">
        <f t="shared" si="2"/>
        <v>-808180</v>
      </c>
      <c r="M16" s="39">
        <f t="shared" si="2"/>
        <v>-2012037.68</v>
      </c>
      <c r="N16" s="61">
        <f t="shared" ref="N16:S16" si="3">SUM(N11:N15)</f>
        <v>161467</v>
      </c>
      <c r="O16" s="39">
        <f t="shared" si="3"/>
        <v>388742.9</v>
      </c>
      <c r="P16" s="61">
        <f t="shared" si="3"/>
        <v>-443472</v>
      </c>
      <c r="Q16" s="39">
        <f t="shared" si="3"/>
        <v>-1378123.95</v>
      </c>
      <c r="R16" s="61">
        <f t="shared" si="3"/>
        <v>-10019</v>
      </c>
      <c r="S16" s="39">
        <f t="shared" si="3"/>
        <v>-280561.36</v>
      </c>
      <c r="T16" s="61">
        <f t="shared" si="2"/>
        <v>16800632</v>
      </c>
      <c r="U16" s="39">
        <f t="shared" si="2"/>
        <v>37711066.969999999</v>
      </c>
      <c r="V16" s="61">
        <f t="shared" si="2"/>
        <v>453728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46127</v>
      </c>
      <c r="AA16" s="39">
        <f t="shared" si="2"/>
        <v>105567.5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-82900422</v>
      </c>
      <c r="E19" s="38">
        <f t="shared" si="4"/>
        <v>-187887583.51999995</v>
      </c>
      <c r="F19" s="64">
        <f>'TIE-OUT'!F19+RECLASS!F19</f>
        <v>0</v>
      </c>
      <c r="G19" s="68">
        <f>'TIE-OUT'!G19+RECLASS!G19</f>
        <v>0</v>
      </c>
      <c r="H19" s="120">
        <f>+Actuals!E169</f>
        <v>-76065815</v>
      </c>
      <c r="I19" s="121">
        <f>+Actuals!F169</f>
        <v>-176903504.63999999</v>
      </c>
      <c r="J19" s="120">
        <f>+Actuals!G169</f>
        <v>-6147227</v>
      </c>
      <c r="K19" s="121">
        <f>+Actuals!H169</f>
        <v>-9394786.1699999999</v>
      </c>
      <c r="L19" s="120">
        <f>+Actuals!I169</f>
        <v>435167</v>
      </c>
      <c r="M19" s="121">
        <f>+Actuals!J169</f>
        <v>1099458.18</v>
      </c>
      <c r="N19" s="120">
        <f>+Actuals!K169</f>
        <v>-1122547</v>
      </c>
      <c r="O19" s="121">
        <f>+Actuals!L169</f>
        <v>-2688751</v>
      </c>
      <c r="P19" s="120">
        <f>+Actuals!M169</f>
        <v>-470000</v>
      </c>
      <c r="Q19" s="121">
        <f>+Actuals!N169</f>
        <v>-1002510</v>
      </c>
      <c r="R19" s="120">
        <f>+Actuals!O169</f>
        <v>470000</v>
      </c>
      <c r="S19" s="121">
        <f>+Actuals!P169</f>
        <v>1002510</v>
      </c>
      <c r="T19" s="120">
        <f>+Actuals!Q169</f>
        <v>0</v>
      </c>
      <c r="U19" s="121">
        <f>+Actuals!R169</f>
        <v>0</v>
      </c>
      <c r="V19" s="120">
        <v>0</v>
      </c>
      <c r="W19" s="121">
        <v>0</v>
      </c>
      <c r="X19" s="120">
        <v>1923496</v>
      </c>
      <c r="Y19" s="121">
        <v>2000051.11</v>
      </c>
      <c r="Z19" s="120">
        <v>-1923496</v>
      </c>
      <c r="AA19" s="121">
        <v>-2000051</v>
      </c>
      <c r="AB19" s="120">
        <f>+Actuals!Y169</f>
        <v>0</v>
      </c>
      <c r="AC19" s="121">
        <f>+Actuals!Z169</f>
        <v>0</v>
      </c>
      <c r="AD19" s="120">
        <f>+Actuals!AA169</f>
        <v>0</v>
      </c>
      <c r="AE19" s="121">
        <f>+Actuals!AB169</f>
        <v>0</v>
      </c>
      <c r="AF19" s="120">
        <f>+Actuals!AC169</f>
        <v>0</v>
      </c>
      <c r="AG19" s="121">
        <f>+Actuals!AD169</f>
        <v>0</v>
      </c>
      <c r="AH19" s="120">
        <f>+Actuals!AE169</f>
        <v>0</v>
      </c>
      <c r="AI19" s="121">
        <f>+Actuals!AF169</f>
        <v>0</v>
      </c>
      <c r="AJ19" s="120">
        <f>+Actuals!AG169</f>
        <v>0</v>
      </c>
      <c r="AK19" s="121">
        <f>+Actuals!AH169</f>
        <v>0</v>
      </c>
      <c r="AL19" s="120">
        <f>+Actuals!AI169</f>
        <v>0</v>
      </c>
      <c r="AM19" s="121">
        <f>+Actuals!AJ169</f>
        <v>0</v>
      </c>
      <c r="AN19" s="120">
        <f>+Actuals!AK169</f>
        <v>0</v>
      </c>
      <c r="AO19" s="121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724806.85</v>
      </c>
      <c r="F20" s="60">
        <f>'TIE-OUT'!F20+RECLASS!F20</f>
        <v>0</v>
      </c>
      <c r="G20" s="38">
        <f>'TIE-OUT'!G20+RECLASS!G20</f>
        <v>534528.85</v>
      </c>
      <c r="H20" s="120">
        <f>+Actuals!E170</f>
        <v>0</v>
      </c>
      <c r="I20" s="121">
        <f>+Actuals!F170</f>
        <v>0</v>
      </c>
      <c r="J20" s="120">
        <f>+Actuals!G170</f>
        <v>0</v>
      </c>
      <c r="K20" s="219">
        <f>320850-130572</f>
        <v>190278</v>
      </c>
      <c r="L20" s="120">
        <f>+Actuals!I170</f>
        <v>0</v>
      </c>
      <c r="M20" s="121">
        <f>+Actuals!J170</f>
        <v>0</v>
      </c>
      <c r="N20" s="120">
        <f>+Actuals!K170</f>
        <v>0</v>
      </c>
      <c r="O20" s="121">
        <f>+Actuals!L170</f>
        <v>0</v>
      </c>
      <c r="P20" s="120">
        <f>+Actuals!M170</f>
        <v>0</v>
      </c>
      <c r="Q20" s="121">
        <f>+Actuals!N170</f>
        <v>0</v>
      </c>
      <c r="R20" s="120">
        <f>+Actuals!O170</f>
        <v>0</v>
      </c>
      <c r="S20" s="121">
        <f>+Actuals!P170</f>
        <v>0</v>
      </c>
      <c r="T20" s="120">
        <f>+Actuals!Q170</f>
        <v>0</v>
      </c>
      <c r="U20" s="121">
        <f>+Actuals!R170</f>
        <v>0</v>
      </c>
      <c r="V20" s="120">
        <f>+Actuals!S170</f>
        <v>0</v>
      </c>
      <c r="W20" s="121">
        <f>+Actuals!T170</f>
        <v>0</v>
      </c>
      <c r="X20" s="120">
        <f>+Actuals!U170</f>
        <v>0</v>
      </c>
      <c r="Y20" s="121">
        <f>+Actuals!V170</f>
        <v>0</v>
      </c>
      <c r="Z20" s="120">
        <f>+Actuals!W170</f>
        <v>0</v>
      </c>
      <c r="AA20" s="121">
        <f>+Actuals!X170</f>
        <v>0</v>
      </c>
      <c r="AB20" s="120">
        <f>+Actuals!Y170</f>
        <v>0</v>
      </c>
      <c r="AC20" s="121">
        <f>+Actuals!Z170</f>
        <v>0</v>
      </c>
      <c r="AD20" s="120">
        <f>+Actuals!AA170</f>
        <v>0</v>
      </c>
      <c r="AE20" s="121">
        <f>+Actuals!AB170</f>
        <v>0</v>
      </c>
      <c r="AF20" s="120">
        <f>+Actuals!AC170</f>
        <v>0</v>
      </c>
      <c r="AG20" s="121">
        <f>+Actuals!AD170</f>
        <v>0</v>
      </c>
      <c r="AH20" s="120">
        <f>+Actuals!AE170</f>
        <v>0</v>
      </c>
      <c r="AI20" s="121">
        <f>+Actuals!AF170</f>
        <v>0</v>
      </c>
      <c r="AJ20" s="120">
        <f>+Actuals!AG170</f>
        <v>0</v>
      </c>
      <c r="AK20" s="121">
        <f>+Actuals!AH170</f>
        <v>0</v>
      </c>
      <c r="AL20" s="120">
        <f>+Actuals!AI170</f>
        <v>0</v>
      </c>
      <c r="AM20" s="121">
        <f>+Actuals!AJ170</f>
        <v>0</v>
      </c>
      <c r="AN20" s="120">
        <f>+Actuals!AK170</f>
        <v>0</v>
      </c>
      <c r="AO20" s="121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-26535066</v>
      </c>
      <c r="E21" s="38">
        <f t="shared" si="4"/>
        <v>-61777370</v>
      </c>
      <c r="F21" s="60">
        <f>'TIE-OUT'!F21+RECLASS!F21</f>
        <v>0</v>
      </c>
      <c r="G21" s="38">
        <f>'TIE-OUT'!G21+RECLASS!G21</f>
        <v>0</v>
      </c>
      <c r="H21" s="120">
        <f>+Actuals!E171</f>
        <v>-25556339</v>
      </c>
      <c r="I21" s="121">
        <f>+Actuals!F171</f>
        <v>-59611665</v>
      </c>
      <c r="J21" s="120">
        <f>+Actuals!G171</f>
        <v>15055947</v>
      </c>
      <c r="K21" s="121">
        <f>+Actuals!H171</f>
        <v>35535108</v>
      </c>
      <c r="L21" s="120">
        <f>+Actuals!I171</f>
        <v>0</v>
      </c>
      <c r="M21" s="121">
        <f>+Actuals!J171</f>
        <v>8</v>
      </c>
      <c r="N21" s="120">
        <f>+Actuals!K171</f>
        <v>-32274</v>
      </c>
      <c r="O21" s="121">
        <f>+Actuals!L171</f>
        <v>-72679</v>
      </c>
      <c r="P21" s="120">
        <f>+Actuals!M171</f>
        <v>0</v>
      </c>
      <c r="Q21" s="121">
        <f>+Actuals!N171</f>
        <v>0</v>
      </c>
      <c r="R21" s="120">
        <f>+Actuals!O171</f>
        <v>0</v>
      </c>
      <c r="S21" s="121">
        <f>+Actuals!P171</f>
        <v>0</v>
      </c>
      <c r="T21" s="120">
        <f>+Actuals!Q171</f>
        <v>-16002400</v>
      </c>
      <c r="U21" s="121">
        <f>+Actuals!R171</f>
        <v>-37628142</v>
      </c>
      <c r="V21" s="120">
        <f>+Actuals!S171</f>
        <v>0</v>
      </c>
      <c r="W21" s="121">
        <f>+Actuals!T171</f>
        <v>0</v>
      </c>
      <c r="X21" s="120">
        <f>+Actuals!U171</f>
        <v>0</v>
      </c>
      <c r="Y21" s="121">
        <f>+Actuals!V171</f>
        <v>0</v>
      </c>
      <c r="Z21" s="120">
        <f>+Actuals!W171</f>
        <v>0</v>
      </c>
      <c r="AA21" s="121">
        <f>+Actuals!X171</f>
        <v>0</v>
      </c>
      <c r="AB21" s="120">
        <f>+Actuals!Y171</f>
        <v>0</v>
      </c>
      <c r="AC21" s="121">
        <f>+Actuals!Z171</f>
        <v>0</v>
      </c>
      <c r="AD21" s="120">
        <f>+Actuals!AA171</f>
        <v>0</v>
      </c>
      <c r="AE21" s="121">
        <f>+Actuals!AB171</f>
        <v>0</v>
      </c>
      <c r="AF21" s="120">
        <f>+Actuals!AC171</f>
        <v>0</v>
      </c>
      <c r="AG21" s="121">
        <f>+Actuals!AD171</f>
        <v>0</v>
      </c>
      <c r="AH21" s="120">
        <f>+Actuals!AE171</f>
        <v>0</v>
      </c>
      <c r="AI21" s="121">
        <f>+Actuals!AF171</f>
        <v>0</v>
      </c>
      <c r="AJ21" s="120">
        <f>+Actuals!AG171</f>
        <v>0</v>
      </c>
      <c r="AK21" s="121">
        <f>+Actuals!AH171</f>
        <v>0</v>
      </c>
      <c r="AL21" s="120">
        <f>+Actuals!AI171</f>
        <v>0</v>
      </c>
      <c r="AM21" s="121">
        <f>+Actuals!AJ171</f>
        <v>0</v>
      </c>
      <c r="AN21" s="120">
        <f>+Actuals!AK171</f>
        <v>0</v>
      </c>
      <c r="AO21" s="121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'TIE-OUT'!F22+RECLASS!F22</f>
        <v>0</v>
      </c>
      <c r="G22" s="38">
        <f>'TIE-OUT'!G22+RECLASS!G22</f>
        <v>0</v>
      </c>
      <c r="H22" s="120">
        <f>+Actuals!E172</f>
        <v>0</v>
      </c>
      <c r="I22" s="121">
        <f>+Actuals!F172</f>
        <v>0</v>
      </c>
      <c r="J22" s="120">
        <f>+Actuals!G172</f>
        <v>0</v>
      </c>
      <c r="K22" s="121">
        <f>+Actuals!H172</f>
        <v>0</v>
      </c>
      <c r="L22" s="120">
        <f>+Actuals!I172</f>
        <v>0</v>
      </c>
      <c r="M22" s="121">
        <f>+Actuals!J172</f>
        <v>0</v>
      </c>
      <c r="N22" s="120">
        <f>+Actuals!K172</f>
        <v>0</v>
      </c>
      <c r="O22" s="121">
        <f>+Actuals!L172</f>
        <v>0</v>
      </c>
      <c r="P22" s="120">
        <f>+Actuals!M172</f>
        <v>0</v>
      </c>
      <c r="Q22" s="121">
        <f>+Actuals!N172</f>
        <v>0</v>
      </c>
      <c r="R22" s="120">
        <f>+Actuals!O172</f>
        <v>0</v>
      </c>
      <c r="S22" s="121">
        <f>+Actuals!P172</f>
        <v>0</v>
      </c>
      <c r="T22" s="120">
        <f>+Actuals!Q172</f>
        <v>0</v>
      </c>
      <c r="U22" s="121">
        <f>+Actuals!R172</f>
        <v>0</v>
      </c>
      <c r="V22" s="120">
        <f>+Actuals!S172</f>
        <v>0</v>
      </c>
      <c r="W22" s="121">
        <f>+Actuals!T172</f>
        <v>0</v>
      </c>
      <c r="X22" s="120">
        <f>+Actuals!U172</f>
        <v>0</v>
      </c>
      <c r="Y22" s="121">
        <f>+Actuals!V172</f>
        <v>0</v>
      </c>
      <c r="Z22" s="120">
        <f>+Actuals!W172</f>
        <v>0</v>
      </c>
      <c r="AA22" s="121">
        <f>+Actuals!X172</f>
        <v>0</v>
      </c>
      <c r="AB22" s="120">
        <f>+Actuals!Y172</f>
        <v>0</v>
      </c>
      <c r="AC22" s="121">
        <f>+Actuals!Z172</f>
        <v>0</v>
      </c>
      <c r="AD22" s="120">
        <f>+Actuals!AA172</f>
        <v>0</v>
      </c>
      <c r="AE22" s="121">
        <f>+Actuals!AB172</f>
        <v>0</v>
      </c>
      <c r="AF22" s="120">
        <f>+Actuals!AC172</f>
        <v>0</v>
      </c>
      <c r="AG22" s="121">
        <f>+Actuals!AD172</f>
        <v>0</v>
      </c>
      <c r="AH22" s="120">
        <f>+Actuals!AE172</f>
        <v>0</v>
      </c>
      <c r="AI22" s="121">
        <f>+Actuals!AF172</f>
        <v>0</v>
      </c>
      <c r="AJ22" s="120">
        <f>+Actuals!AG172</f>
        <v>0</v>
      </c>
      <c r="AK22" s="121">
        <f>+Actuals!AH172</f>
        <v>0</v>
      </c>
      <c r="AL22" s="120">
        <f>+Actuals!AI172</f>
        <v>0</v>
      </c>
      <c r="AM22" s="121">
        <f>+Actuals!AJ172</f>
        <v>0</v>
      </c>
      <c r="AN22" s="120">
        <f>+Actuals!AK172</f>
        <v>0</v>
      </c>
      <c r="AO22" s="121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251673</v>
      </c>
      <c r="E23" s="38">
        <f t="shared" si="4"/>
        <v>536818.67699999991</v>
      </c>
      <c r="F23" s="81">
        <f>'TIE-OUT'!F23+RECLASS!F23</f>
        <v>0</v>
      </c>
      <c r="G23" s="82">
        <f>'TIE-OUT'!G23+RECLASS!G23</f>
        <v>0</v>
      </c>
      <c r="H23" s="120">
        <f>+Actuals!E173</f>
        <v>585543</v>
      </c>
      <c r="I23" s="121">
        <f>+Actuals!F173</f>
        <v>1248963.219</v>
      </c>
      <c r="J23" s="120">
        <f>+Actuals!G173</f>
        <v>30368</v>
      </c>
      <c r="K23" s="121">
        <f>+Actuals!H173</f>
        <v>64774.944000000003</v>
      </c>
      <c r="L23" s="120">
        <f>+Actuals!I173</f>
        <v>-342</v>
      </c>
      <c r="M23" s="121">
        <f>+Actuals!J173</f>
        <v>-729.48599999999999</v>
      </c>
      <c r="N23" s="120">
        <f>+Actuals!K173</f>
        <v>-224609</v>
      </c>
      <c r="O23" s="121">
        <f>+Actuals!L173</f>
        <v>-479091</v>
      </c>
      <c r="P23" s="120">
        <f>+Actuals!M173</f>
        <v>0</v>
      </c>
      <c r="Q23" s="121">
        <f>+Actuals!N173</f>
        <v>0</v>
      </c>
      <c r="R23" s="120">
        <f>+Actuals!O173</f>
        <v>0</v>
      </c>
      <c r="S23" s="121">
        <f>+Actuals!P173</f>
        <v>0</v>
      </c>
      <c r="T23" s="120">
        <f>+Actuals!Q173</f>
        <v>0</v>
      </c>
      <c r="U23" s="121">
        <f>+Actuals!R173</f>
        <v>0</v>
      </c>
      <c r="V23" s="120">
        <v>-139287</v>
      </c>
      <c r="W23" s="121">
        <v>-297099</v>
      </c>
      <c r="X23" s="120">
        <f>+Actuals!U173</f>
        <v>0</v>
      </c>
      <c r="Y23" s="121">
        <f>+Actuals!V173</f>
        <v>0</v>
      </c>
      <c r="Z23" s="120">
        <f>+Actuals!W173</f>
        <v>0</v>
      </c>
      <c r="AA23" s="121">
        <f>+Actuals!X173</f>
        <v>0</v>
      </c>
      <c r="AB23" s="120">
        <f>+Actuals!Y173</f>
        <v>0</v>
      </c>
      <c r="AC23" s="121">
        <f>+Actuals!Z173</f>
        <v>0</v>
      </c>
      <c r="AD23" s="120">
        <f>+Actuals!AA173</f>
        <v>0</v>
      </c>
      <c r="AE23" s="121">
        <f>+Actuals!AB173</f>
        <v>0</v>
      </c>
      <c r="AF23" s="120">
        <f>+Actuals!AC173</f>
        <v>0</v>
      </c>
      <c r="AG23" s="121">
        <f>+Actuals!AD173</f>
        <v>0</v>
      </c>
      <c r="AH23" s="120">
        <f>+Actuals!AE173</f>
        <v>0</v>
      </c>
      <c r="AI23" s="121">
        <f>+Actuals!AF173</f>
        <v>0</v>
      </c>
      <c r="AJ23" s="120">
        <f>+Actuals!AG173</f>
        <v>0</v>
      </c>
      <c r="AK23" s="121">
        <f>+Actuals!AH173</f>
        <v>0</v>
      </c>
      <c r="AL23" s="120">
        <f>+Actuals!AI173</f>
        <v>0</v>
      </c>
      <c r="AM23" s="121">
        <f>+Actuals!AJ173</f>
        <v>0</v>
      </c>
      <c r="AN23" s="120">
        <f>+Actuals!AK173</f>
        <v>0</v>
      </c>
      <c r="AO23" s="121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-109183815</v>
      </c>
      <c r="E24" s="39">
        <f t="shared" si="5"/>
        <v>-248403327.99299997</v>
      </c>
      <c r="F24" s="61">
        <f t="shared" si="5"/>
        <v>0</v>
      </c>
      <c r="G24" s="39">
        <f t="shared" si="5"/>
        <v>534528.85</v>
      </c>
      <c r="H24" s="61">
        <f t="shared" si="5"/>
        <v>-101036611</v>
      </c>
      <c r="I24" s="39">
        <f t="shared" si="5"/>
        <v>-235266206.42099997</v>
      </c>
      <c r="J24" s="61">
        <f t="shared" ref="J24:AO24" si="6">SUM(J19:J23)</f>
        <v>8939088</v>
      </c>
      <c r="K24" s="39">
        <f t="shared" si="6"/>
        <v>26395374.773999996</v>
      </c>
      <c r="L24" s="61">
        <f t="shared" si="6"/>
        <v>434825</v>
      </c>
      <c r="M24" s="39">
        <f t="shared" si="6"/>
        <v>1098736.6939999999</v>
      </c>
      <c r="N24" s="61">
        <f t="shared" ref="N24:S24" si="7">SUM(N19:N23)</f>
        <v>-1379430</v>
      </c>
      <c r="O24" s="39">
        <f t="shared" si="7"/>
        <v>-3240521</v>
      </c>
      <c r="P24" s="61">
        <f t="shared" si="7"/>
        <v>-470000</v>
      </c>
      <c r="Q24" s="39">
        <f t="shared" si="7"/>
        <v>-1002510</v>
      </c>
      <c r="R24" s="61">
        <f t="shared" si="7"/>
        <v>470000</v>
      </c>
      <c r="S24" s="39">
        <f t="shared" si="7"/>
        <v>1002510</v>
      </c>
      <c r="T24" s="61">
        <f t="shared" si="6"/>
        <v>-16002400</v>
      </c>
      <c r="U24" s="39">
        <f t="shared" si="6"/>
        <v>-37628142</v>
      </c>
      <c r="V24" s="61">
        <f t="shared" si="6"/>
        <v>-139287</v>
      </c>
      <c r="W24" s="39">
        <f t="shared" si="6"/>
        <v>-297099</v>
      </c>
      <c r="X24" s="61">
        <f t="shared" si="6"/>
        <v>1923496</v>
      </c>
      <c r="Y24" s="39">
        <f t="shared" si="6"/>
        <v>2000051.11</v>
      </c>
      <c r="Z24" s="61">
        <f t="shared" si="6"/>
        <v>-1923496</v>
      </c>
      <c r="AA24" s="39">
        <f t="shared" si="6"/>
        <v>-2000051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509565</v>
      </c>
      <c r="E27" s="38">
        <f>SUM(G27,I27,K27,M27,O27,Q27,S27,U27,W27,Y27,AA27,AC27,AE27)</f>
        <v>1144526.68</v>
      </c>
      <c r="F27" s="64">
        <f>'TIE-OUT'!F27+RECLASS!F27</f>
        <v>0</v>
      </c>
      <c r="G27" s="68">
        <f>'TIE-OUT'!G27+RECLASS!G27</f>
        <v>0</v>
      </c>
      <c r="H27" s="120">
        <f>+Actuals!E174</f>
        <v>509565</v>
      </c>
      <c r="I27" s="121">
        <f>+Actuals!F174</f>
        <v>1144526.67</v>
      </c>
      <c r="J27" s="120">
        <f>+Actuals!G174</f>
        <v>0</v>
      </c>
      <c r="K27" s="121">
        <f>+Actuals!H174</f>
        <v>0.01</v>
      </c>
      <c r="L27" s="120">
        <f>+Actuals!I174</f>
        <v>0</v>
      </c>
      <c r="M27" s="121">
        <f>+Actuals!J174</f>
        <v>0</v>
      </c>
      <c r="N27" s="120">
        <f>+Actuals!K174</f>
        <v>0</v>
      </c>
      <c r="O27" s="121">
        <f>+Actuals!L174</f>
        <v>0</v>
      </c>
      <c r="P27" s="120">
        <f>+Actuals!M174</f>
        <v>30000</v>
      </c>
      <c r="Q27" s="121">
        <f>+Actuals!N174</f>
        <v>70950</v>
      </c>
      <c r="R27" s="120">
        <f>+Actuals!O174</f>
        <v>0</v>
      </c>
      <c r="S27" s="121">
        <f>+Actuals!P174</f>
        <v>0</v>
      </c>
      <c r="T27" s="120">
        <f>+Actuals!Q174</f>
        <v>0</v>
      </c>
      <c r="U27" s="121">
        <f>+Actuals!R174</f>
        <v>0</v>
      </c>
      <c r="V27" s="120">
        <f>+Actuals!S174</f>
        <v>0</v>
      </c>
      <c r="W27" s="121">
        <f>+Actuals!T174</f>
        <v>0</v>
      </c>
      <c r="X27" s="120">
        <f>+Actuals!U174</f>
        <v>0</v>
      </c>
      <c r="Y27" s="121">
        <f>+Actuals!V174</f>
        <v>0</v>
      </c>
      <c r="Z27" s="120">
        <v>-30000</v>
      </c>
      <c r="AA27" s="121">
        <v>-70950</v>
      </c>
      <c r="AB27" s="120">
        <f>+Actuals!Y174</f>
        <v>0</v>
      </c>
      <c r="AC27" s="121">
        <f>+Actuals!Z174</f>
        <v>0</v>
      </c>
      <c r="AD27" s="120">
        <f>+Actuals!AA174</f>
        <v>0</v>
      </c>
      <c r="AE27" s="121">
        <f>+Actuals!AB174</f>
        <v>0</v>
      </c>
      <c r="AF27" s="120">
        <f>+Actuals!AC174</f>
        <v>0</v>
      </c>
      <c r="AG27" s="121">
        <f>+Actuals!AD174</f>
        <v>0</v>
      </c>
      <c r="AH27" s="120">
        <f>+Actuals!AE174</f>
        <v>0</v>
      </c>
      <c r="AI27" s="121">
        <f>+Actuals!AF174</f>
        <v>0</v>
      </c>
      <c r="AJ27" s="120">
        <f>+Actuals!AG174</f>
        <v>0</v>
      </c>
      <c r="AK27" s="121">
        <f>+Actuals!AH174</f>
        <v>0</v>
      </c>
      <c r="AL27" s="120">
        <f>+Actuals!AI174</f>
        <v>0</v>
      </c>
      <c r="AM27" s="121">
        <f>+Actuals!AJ174</f>
        <v>0</v>
      </c>
      <c r="AN27" s="120">
        <f>+Actuals!AK174</f>
        <v>0</v>
      </c>
      <c r="AO27" s="121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-90432</v>
      </c>
      <c r="E28" s="38">
        <f>SUM(G28,I28,K28,M28,O28,Q28,S28,U28,W28,Y28,AA28,AC28,AE28)</f>
        <v>-202259.04</v>
      </c>
      <c r="F28" s="81">
        <f>'TIE-OUT'!F28+RECLASS!F28</f>
        <v>0</v>
      </c>
      <c r="G28" s="82">
        <f>'TIE-OUT'!G28+RECLASS!G28</f>
        <v>0</v>
      </c>
      <c r="H28" s="120">
        <f>+Actuals!E175</f>
        <v>-80432</v>
      </c>
      <c r="I28" s="121">
        <f>+Actuals!F175</f>
        <v>-180159.04</v>
      </c>
      <c r="J28" s="120">
        <f>+Actuals!G175</f>
        <v>-10000</v>
      </c>
      <c r="K28" s="121">
        <f>+Actuals!H175</f>
        <v>-22100</v>
      </c>
      <c r="L28" s="120">
        <f>+Actuals!I175</f>
        <v>0</v>
      </c>
      <c r="M28" s="121">
        <f>+Actuals!J175</f>
        <v>0</v>
      </c>
      <c r="N28" s="120">
        <f>+Actuals!K175</f>
        <v>0</v>
      </c>
      <c r="O28" s="121">
        <f>+Actuals!L175</f>
        <v>0</v>
      </c>
      <c r="P28" s="120">
        <f>+Actuals!M175</f>
        <v>0</v>
      </c>
      <c r="Q28" s="121">
        <f>+Actuals!N175</f>
        <v>0</v>
      </c>
      <c r="R28" s="120">
        <f>+Actuals!O175</f>
        <v>0</v>
      </c>
      <c r="S28" s="121">
        <f>+Actuals!P175</f>
        <v>0</v>
      </c>
      <c r="T28" s="120">
        <f>+Actuals!Q175</f>
        <v>0</v>
      </c>
      <c r="U28" s="121">
        <f>+Actuals!R175</f>
        <v>0</v>
      </c>
      <c r="V28" s="120">
        <f>+Actuals!S175</f>
        <v>0</v>
      </c>
      <c r="W28" s="121">
        <f>+Actuals!T175</f>
        <v>0</v>
      </c>
      <c r="X28" s="120">
        <f>+Actuals!U175</f>
        <v>0</v>
      </c>
      <c r="Y28" s="121">
        <f>+Actuals!V175</f>
        <v>0</v>
      </c>
      <c r="Z28" s="120">
        <f>+Actuals!W175</f>
        <v>0</v>
      </c>
      <c r="AA28" s="121">
        <f>+Actuals!X175</f>
        <v>0</v>
      </c>
      <c r="AB28" s="120">
        <f>+Actuals!Y175</f>
        <v>0</v>
      </c>
      <c r="AC28" s="121">
        <f>+Actuals!Z175</f>
        <v>0</v>
      </c>
      <c r="AD28" s="120">
        <f>+Actuals!AA175</f>
        <v>0</v>
      </c>
      <c r="AE28" s="121">
        <f>+Actuals!AB175</f>
        <v>0</v>
      </c>
      <c r="AF28" s="120">
        <f>+Actuals!AC175</f>
        <v>0</v>
      </c>
      <c r="AG28" s="121">
        <f>+Actuals!AD175</f>
        <v>0</v>
      </c>
      <c r="AH28" s="120">
        <f>+Actuals!AE175</f>
        <v>0</v>
      </c>
      <c r="AI28" s="121">
        <f>+Actuals!AF175</f>
        <v>0</v>
      </c>
      <c r="AJ28" s="120">
        <f>+Actuals!AG175</f>
        <v>0</v>
      </c>
      <c r="AK28" s="121">
        <f>+Actuals!AH175</f>
        <v>0</v>
      </c>
      <c r="AL28" s="120">
        <f>+Actuals!AI175</f>
        <v>0</v>
      </c>
      <c r="AM28" s="121">
        <f>+Actuals!AJ175</f>
        <v>0</v>
      </c>
      <c r="AN28" s="120">
        <f>+Actuals!AK175</f>
        <v>0</v>
      </c>
      <c r="AO28" s="121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8">SUM(D27:D28)</f>
        <v>419133</v>
      </c>
      <c r="E29" s="39">
        <f t="shared" si="8"/>
        <v>942267.6399999999</v>
      </c>
      <c r="F29" s="61">
        <f t="shared" si="8"/>
        <v>0</v>
      </c>
      <c r="G29" s="39">
        <f t="shared" si="8"/>
        <v>0</v>
      </c>
      <c r="H29" s="61">
        <f t="shared" si="8"/>
        <v>429133</v>
      </c>
      <c r="I29" s="39">
        <f t="shared" si="8"/>
        <v>964367.62999999989</v>
      </c>
      <c r="J29" s="61">
        <f t="shared" ref="J29:AO29" si="9">SUM(J27:J28)</f>
        <v>-10000</v>
      </c>
      <c r="K29" s="39">
        <f t="shared" si="9"/>
        <v>-22099.99</v>
      </c>
      <c r="L29" s="61">
        <f t="shared" si="9"/>
        <v>0</v>
      </c>
      <c r="M29" s="39">
        <f t="shared" si="9"/>
        <v>0</v>
      </c>
      <c r="N29" s="61">
        <f t="shared" ref="N29:S29" si="10">SUM(N27:N28)</f>
        <v>0</v>
      </c>
      <c r="O29" s="39">
        <f t="shared" si="10"/>
        <v>0</v>
      </c>
      <c r="P29" s="61">
        <f t="shared" si="10"/>
        <v>30000</v>
      </c>
      <c r="Q29" s="39">
        <f t="shared" si="10"/>
        <v>70950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-30000</v>
      </c>
      <c r="AA29" s="39">
        <f t="shared" si="9"/>
        <v>-70950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64417</v>
      </c>
      <c r="E32" s="38">
        <f t="shared" si="11"/>
        <v>137401.45899999974</v>
      </c>
      <c r="F32" s="64">
        <f>'TIE-OUT'!F32+RECLASS!F32</f>
        <v>0</v>
      </c>
      <c r="G32" s="68">
        <f>'TIE-OUT'!G32+RECLASS!G32</f>
        <v>0</v>
      </c>
      <c r="H32" s="120">
        <f>+Actuals!E176</f>
        <v>-1097960</v>
      </c>
      <c r="I32" s="121">
        <f>+Actuals!F176</f>
        <v>-2341948.6800000002</v>
      </c>
      <c r="J32" s="120">
        <f>+Actuals!G176</f>
        <v>1075648</v>
      </c>
      <c r="K32" s="121">
        <f>+Actuals!H176</f>
        <v>2294357.1839999999</v>
      </c>
      <c r="L32" s="120">
        <f>+Actuals!I176</f>
        <v>-85833</v>
      </c>
      <c r="M32" s="121">
        <f>+Actuals!J176</f>
        <v>-183081.78899999999</v>
      </c>
      <c r="N32" s="120">
        <f>+Actuals!K176</f>
        <v>48738</v>
      </c>
      <c r="O32" s="121">
        <f>+Actuals!L176</f>
        <v>103958.15399999999</v>
      </c>
      <c r="P32" s="120">
        <f>+Actuals!M176</f>
        <v>0</v>
      </c>
      <c r="Q32" s="121">
        <f>+Actuals!N176</f>
        <v>0</v>
      </c>
      <c r="R32" s="120">
        <f>+Actuals!O176</f>
        <v>0</v>
      </c>
      <c r="S32" s="121">
        <f>+Actuals!P176</f>
        <v>0</v>
      </c>
      <c r="T32" s="120">
        <f>+Actuals!Q176</f>
        <v>14460</v>
      </c>
      <c r="U32" s="121">
        <f>+Actuals!R176</f>
        <v>30843.18</v>
      </c>
      <c r="V32" s="120">
        <v>156087</v>
      </c>
      <c r="W32" s="121">
        <v>332933.57</v>
      </c>
      <c r="X32" s="120">
        <f>+Actuals!U176</f>
        <v>0</v>
      </c>
      <c r="Y32" s="121">
        <f>+Actuals!V176</f>
        <v>0</v>
      </c>
      <c r="Z32" s="120">
        <v>-46723</v>
      </c>
      <c r="AA32" s="121">
        <v>-99660.160000000003</v>
      </c>
      <c r="AB32" s="120">
        <f>+Actuals!Y176</f>
        <v>0</v>
      </c>
      <c r="AC32" s="121">
        <f>+Actuals!Z176</f>
        <v>0</v>
      </c>
      <c r="AD32" s="120">
        <f>+Actuals!AA176</f>
        <v>0</v>
      </c>
      <c r="AE32" s="121">
        <f>+Actuals!AB176</f>
        <v>0</v>
      </c>
      <c r="AF32" s="120">
        <f>+Actuals!AC176</f>
        <v>0</v>
      </c>
      <c r="AG32" s="121">
        <f>+Actuals!AD176</f>
        <v>0</v>
      </c>
      <c r="AH32" s="120">
        <f>+Actuals!AE176</f>
        <v>0</v>
      </c>
      <c r="AI32" s="121">
        <f>+Actuals!AF176</f>
        <v>0</v>
      </c>
      <c r="AJ32" s="120">
        <f>+Actuals!AG176</f>
        <v>0</v>
      </c>
      <c r="AK32" s="121">
        <f>+Actuals!AH176</f>
        <v>0</v>
      </c>
      <c r="AL32" s="120">
        <f>+Actuals!AI176</f>
        <v>0</v>
      </c>
      <c r="AM32" s="121">
        <f>+Actuals!AJ176</f>
        <v>0</v>
      </c>
      <c r="AN32" s="120">
        <f>+Actuals!AK176</f>
        <v>0</v>
      </c>
      <c r="AO32" s="121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1"/>
        <v>-6281</v>
      </c>
      <c r="E33" s="38">
        <f t="shared" si="11"/>
        <v>-14662.46</v>
      </c>
      <c r="F33" s="60">
        <f>'TIE-OUT'!F33+RECLASS!F33</f>
        <v>0</v>
      </c>
      <c r="G33" s="38">
        <f>'TIE-OUT'!G33+RECLASS!G33</f>
        <v>0</v>
      </c>
      <c r="H33" s="120">
        <f>+Actuals!E177</f>
        <v>0</v>
      </c>
      <c r="I33" s="121">
        <f>+Actuals!F177</f>
        <v>0</v>
      </c>
      <c r="J33" s="120">
        <f>+Actuals!G177</f>
        <v>-803</v>
      </c>
      <c r="K33" s="121">
        <f>+Actuals!H177</f>
        <v>-1874.25</v>
      </c>
      <c r="L33" s="120">
        <f>+Actuals!I177</f>
        <v>-3226</v>
      </c>
      <c r="M33" s="121">
        <f>+Actuals!J177</f>
        <v>-7429.48</v>
      </c>
      <c r="N33" s="120">
        <f>+Actuals!K177</f>
        <v>-2015</v>
      </c>
      <c r="O33" s="121">
        <f>+Actuals!L177</f>
        <v>-4821.8999999999996</v>
      </c>
      <c r="P33" s="120">
        <f>+Actuals!M177</f>
        <v>0</v>
      </c>
      <c r="Q33" s="121">
        <f>+Actuals!N177</f>
        <v>0</v>
      </c>
      <c r="R33" s="120">
        <f>+Actuals!O177</f>
        <v>-237</v>
      </c>
      <c r="S33" s="121">
        <f>+Actuals!P177</f>
        <v>-536.83000000000004</v>
      </c>
      <c r="T33" s="120">
        <f>+Actuals!Q177</f>
        <v>-500000</v>
      </c>
      <c r="U33" s="121">
        <f>+Actuals!R177</f>
        <v>0</v>
      </c>
      <c r="V33" s="120">
        <v>500000</v>
      </c>
      <c r="W33" s="121">
        <f>+Actuals!T177</f>
        <v>0</v>
      </c>
      <c r="X33" s="120">
        <f>+Actuals!U177</f>
        <v>0</v>
      </c>
      <c r="Y33" s="121">
        <f>+Actuals!V177</f>
        <v>0</v>
      </c>
      <c r="Z33" s="120">
        <f>+Actuals!W177</f>
        <v>0</v>
      </c>
      <c r="AA33" s="121">
        <f>+Actuals!X177</f>
        <v>0</v>
      </c>
      <c r="AB33" s="120">
        <f>+Actuals!Y177</f>
        <v>0</v>
      </c>
      <c r="AC33" s="121">
        <f>+Actuals!Z177</f>
        <v>0</v>
      </c>
      <c r="AD33" s="120">
        <f>+Actuals!AA177</f>
        <v>0</v>
      </c>
      <c r="AE33" s="121">
        <f>+Actuals!AB177</f>
        <v>0</v>
      </c>
      <c r="AF33" s="120">
        <f>+Actuals!AC177</f>
        <v>0</v>
      </c>
      <c r="AG33" s="121">
        <f>+Actuals!AD177</f>
        <v>0</v>
      </c>
      <c r="AH33" s="120">
        <f>+Actuals!AE177</f>
        <v>0</v>
      </c>
      <c r="AI33" s="121">
        <f>+Actuals!AF177</f>
        <v>0</v>
      </c>
      <c r="AJ33" s="120">
        <f>+Actuals!AG177</f>
        <v>0</v>
      </c>
      <c r="AK33" s="121">
        <f>+Actuals!AH177</f>
        <v>0</v>
      </c>
      <c r="AL33" s="120">
        <f>+Actuals!AI177</f>
        <v>0</v>
      </c>
      <c r="AM33" s="121">
        <f>+Actuals!AJ177</f>
        <v>0</v>
      </c>
      <c r="AN33" s="120">
        <f>+Actuals!AK177</f>
        <v>0</v>
      </c>
      <c r="AO33" s="121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1"/>
        <v>22167</v>
      </c>
      <c r="E34" s="38">
        <f t="shared" si="11"/>
        <v>50594.990000000005</v>
      </c>
      <c r="F34" s="60">
        <f>'TIE-OUT'!F34+RECLASS!F34</f>
        <v>0</v>
      </c>
      <c r="G34" s="38">
        <f>'TIE-OUT'!G34+RECLASS!G34</f>
        <v>0</v>
      </c>
      <c r="H34" s="120">
        <f>+Actuals!E178</f>
        <v>0</v>
      </c>
      <c r="I34" s="121">
        <f>+Actuals!F178</f>
        <v>0</v>
      </c>
      <c r="J34" s="120">
        <f>+Actuals!G178</f>
        <v>19077</v>
      </c>
      <c r="K34" s="121">
        <f>+Actuals!H178</f>
        <v>43478.720000000001</v>
      </c>
      <c r="L34" s="120">
        <f>+Actuals!I178</f>
        <v>3090</v>
      </c>
      <c r="M34" s="121">
        <f>+Actuals!J178</f>
        <v>7116.27</v>
      </c>
      <c r="N34" s="120">
        <f>+Actuals!K178</f>
        <v>0</v>
      </c>
      <c r="O34" s="121">
        <f>+Actuals!L178</f>
        <v>0</v>
      </c>
      <c r="P34" s="120">
        <f>+Actuals!M178</f>
        <v>0</v>
      </c>
      <c r="Q34" s="121">
        <f>+Actuals!N178</f>
        <v>0</v>
      </c>
      <c r="R34" s="120">
        <f>+Actuals!O178</f>
        <v>0</v>
      </c>
      <c r="S34" s="121">
        <f>+Actuals!P178</f>
        <v>0</v>
      </c>
      <c r="T34" s="120">
        <f>+Actuals!Q178</f>
        <v>0</v>
      </c>
      <c r="U34" s="121">
        <f>+Actuals!R178</f>
        <v>0</v>
      </c>
      <c r="V34" s="120">
        <f>+Actuals!S178</f>
        <v>0</v>
      </c>
      <c r="W34" s="121">
        <f>+Actuals!T178</f>
        <v>0</v>
      </c>
      <c r="X34" s="120">
        <f>+Actuals!U178</f>
        <v>0</v>
      </c>
      <c r="Y34" s="121">
        <f>+Actuals!V178</f>
        <v>0</v>
      </c>
      <c r="Z34" s="120">
        <f>+Actuals!W178</f>
        <v>0</v>
      </c>
      <c r="AA34" s="121">
        <f>+Actuals!X178</f>
        <v>0</v>
      </c>
      <c r="AB34" s="120">
        <f>+Actuals!Y178</f>
        <v>0</v>
      </c>
      <c r="AC34" s="121">
        <f>+Actuals!Z178</f>
        <v>0</v>
      </c>
      <c r="AD34" s="120">
        <f>+Actuals!AA178</f>
        <v>0</v>
      </c>
      <c r="AE34" s="121">
        <f>+Actuals!AB178</f>
        <v>0</v>
      </c>
      <c r="AF34" s="120">
        <f>+Actuals!AC178</f>
        <v>0</v>
      </c>
      <c r="AG34" s="121">
        <f>+Actuals!AD178</f>
        <v>0</v>
      </c>
      <c r="AH34" s="120">
        <f>+Actuals!AE178</f>
        <v>0</v>
      </c>
      <c r="AI34" s="121">
        <f>+Actuals!AF178</f>
        <v>0</v>
      </c>
      <c r="AJ34" s="120">
        <f>+Actuals!AG178</f>
        <v>0</v>
      </c>
      <c r="AK34" s="121">
        <f>+Actuals!AH178</f>
        <v>0</v>
      </c>
      <c r="AL34" s="120">
        <f>+Actuals!AI178</f>
        <v>0</v>
      </c>
      <c r="AM34" s="121">
        <f>+Actuals!AJ178</f>
        <v>0</v>
      </c>
      <c r="AN34" s="120">
        <f>+Actuals!AK178</f>
        <v>0</v>
      </c>
      <c r="AO34" s="121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1"/>
        <v>458285</v>
      </c>
      <c r="E35" s="38">
        <f t="shared" si="11"/>
        <v>805487.21</v>
      </c>
      <c r="F35" s="81">
        <f>'TIE-OUT'!F35+RECLASS!F35</f>
        <v>0</v>
      </c>
      <c r="G35" s="82">
        <f>'TIE-OUT'!G35+RECLASS!G35</f>
        <v>0</v>
      </c>
      <c r="H35" s="120">
        <f>+Actuals!E179</f>
        <v>0</v>
      </c>
      <c r="I35" s="121">
        <f>+Actuals!F179</f>
        <v>0</v>
      </c>
      <c r="J35" s="120">
        <f>+Actuals!G179</f>
        <v>0</v>
      </c>
      <c r="K35" s="121">
        <f>+Actuals!H179</f>
        <v>0</v>
      </c>
      <c r="L35" s="120">
        <f>+Actuals!I179</f>
        <v>0</v>
      </c>
      <c r="M35" s="121">
        <f>+Actuals!J179</f>
        <v>0</v>
      </c>
      <c r="N35" s="120">
        <f>+Actuals!K179</f>
        <v>0</v>
      </c>
      <c r="O35" s="121">
        <f>+Actuals!L179</f>
        <v>0</v>
      </c>
      <c r="P35" s="120">
        <f>+Actuals!M179</f>
        <v>0</v>
      </c>
      <c r="Q35" s="121">
        <f>+Actuals!N179</f>
        <v>0</v>
      </c>
      <c r="R35" s="120">
        <f>+Actuals!O179</f>
        <v>0</v>
      </c>
      <c r="S35" s="121">
        <f>+Actuals!P179</f>
        <v>0</v>
      </c>
      <c r="T35" s="120">
        <f>+Actuals!Q179</f>
        <v>0</v>
      </c>
      <c r="U35" s="121">
        <f>+Actuals!R179</f>
        <v>0</v>
      </c>
      <c r="V35" s="120">
        <v>2381781</v>
      </c>
      <c r="W35" s="121">
        <v>4908303.21</v>
      </c>
      <c r="X35" s="120">
        <v>-1923496</v>
      </c>
      <c r="Y35" s="121">
        <v>-4102816</v>
      </c>
      <c r="Z35" s="120">
        <f>+Actuals!W179</f>
        <v>0</v>
      </c>
      <c r="AA35" s="121">
        <f>+Actuals!X179</f>
        <v>0</v>
      </c>
      <c r="AB35" s="120">
        <f>+Actuals!Y179</f>
        <v>0</v>
      </c>
      <c r="AC35" s="121">
        <f>+Actuals!Z179</f>
        <v>0</v>
      </c>
      <c r="AD35" s="120">
        <f>+Actuals!AA179</f>
        <v>0</v>
      </c>
      <c r="AE35" s="121">
        <f>+Actuals!AB179</f>
        <v>0</v>
      </c>
      <c r="AF35" s="120">
        <f>+Actuals!AC179</f>
        <v>0</v>
      </c>
      <c r="AG35" s="121">
        <f>+Actuals!AD179</f>
        <v>0</v>
      </c>
      <c r="AH35" s="120">
        <f>+Actuals!AE179</f>
        <v>0</v>
      </c>
      <c r="AI35" s="121">
        <f>+Actuals!AF179</f>
        <v>0</v>
      </c>
      <c r="AJ35" s="120">
        <f>+Actuals!AG179</f>
        <v>0</v>
      </c>
      <c r="AK35" s="121">
        <f>+Actuals!AH179</f>
        <v>0</v>
      </c>
      <c r="AL35" s="120">
        <f>+Actuals!AI179</f>
        <v>0</v>
      </c>
      <c r="AM35" s="121">
        <f>+Actuals!AJ179</f>
        <v>0</v>
      </c>
      <c r="AN35" s="120">
        <f>+Actuals!AK179</f>
        <v>0</v>
      </c>
      <c r="AO35" s="121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12">SUM(D32:D35)</f>
        <v>538588</v>
      </c>
      <c r="E36" s="39">
        <f t="shared" si="12"/>
        <v>978821.19899999979</v>
      </c>
      <c r="F36" s="61">
        <f t="shared" si="12"/>
        <v>0</v>
      </c>
      <c r="G36" s="39">
        <f t="shared" si="12"/>
        <v>0</v>
      </c>
      <c r="H36" s="61">
        <f t="shared" si="12"/>
        <v>-1097960</v>
      </c>
      <c r="I36" s="39">
        <f t="shared" si="12"/>
        <v>-2341948.6800000002</v>
      </c>
      <c r="J36" s="61">
        <f t="shared" ref="J36:AO36" si="13">SUM(J32:J35)</f>
        <v>1093922</v>
      </c>
      <c r="K36" s="39">
        <f t="shared" si="13"/>
        <v>2335961.6540000001</v>
      </c>
      <c r="L36" s="61">
        <f t="shared" si="13"/>
        <v>-85969</v>
      </c>
      <c r="M36" s="39">
        <f t="shared" si="13"/>
        <v>-183394.99900000001</v>
      </c>
      <c r="N36" s="61">
        <f t="shared" ref="N36:S36" si="14">SUM(N32:N35)</f>
        <v>46723</v>
      </c>
      <c r="O36" s="39">
        <f t="shared" si="14"/>
        <v>99136.254000000001</v>
      </c>
      <c r="P36" s="61">
        <f t="shared" si="14"/>
        <v>0</v>
      </c>
      <c r="Q36" s="39">
        <f t="shared" si="14"/>
        <v>0</v>
      </c>
      <c r="R36" s="61">
        <f t="shared" si="14"/>
        <v>-237</v>
      </c>
      <c r="S36" s="39">
        <f t="shared" si="14"/>
        <v>-536.83000000000004</v>
      </c>
      <c r="T36" s="61">
        <f t="shared" si="13"/>
        <v>-485540</v>
      </c>
      <c r="U36" s="39">
        <f t="shared" si="13"/>
        <v>30843.18</v>
      </c>
      <c r="V36" s="61">
        <f t="shared" si="13"/>
        <v>3037868</v>
      </c>
      <c r="W36" s="39">
        <f t="shared" si="13"/>
        <v>5241236.78</v>
      </c>
      <c r="X36" s="61">
        <f t="shared" si="13"/>
        <v>-1923496</v>
      </c>
      <c r="Y36" s="39">
        <f t="shared" si="13"/>
        <v>-4102816</v>
      </c>
      <c r="Z36" s="61">
        <f t="shared" si="13"/>
        <v>-46723</v>
      </c>
      <c r="AA36" s="39">
        <f t="shared" si="13"/>
        <v>-99660.160000000003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3189389</v>
      </c>
      <c r="E39" s="38">
        <f t="shared" si="15"/>
        <v>7125380.9900000002</v>
      </c>
      <c r="F39" s="64">
        <f>'TIE-OUT'!F39+RECLASS!F39</f>
        <v>0</v>
      </c>
      <c r="G39" s="68">
        <f>'TIE-OUT'!G39+RECLASS!G39</f>
        <v>0</v>
      </c>
      <c r="H39" s="120">
        <f>+Actuals!E180</f>
        <v>1793078</v>
      </c>
      <c r="I39" s="121">
        <f>+Actuals!F180</f>
        <v>3824635.37</v>
      </c>
      <c r="J39" s="120">
        <f>+Actuals!G180</f>
        <v>756147</v>
      </c>
      <c r="K39" s="121">
        <f>+Actuals!H180</f>
        <v>1612861.56</v>
      </c>
      <c r="L39" s="120">
        <f>+Actuals!I180</f>
        <v>16817</v>
      </c>
      <c r="M39" s="121">
        <f>+Actuals!J180</f>
        <v>35870.660000000003</v>
      </c>
      <c r="N39" s="120">
        <f>+Actuals!K180</f>
        <v>1282547</v>
      </c>
      <c r="O39" s="121">
        <f>+Actuals!L180</f>
        <v>3058087</v>
      </c>
      <c r="P39" s="120">
        <f>+Actuals!M180</f>
        <v>0</v>
      </c>
      <c r="Q39" s="121">
        <f>+Actuals!N180</f>
        <v>0</v>
      </c>
      <c r="R39" s="120">
        <f>+Actuals!O180</f>
        <v>0</v>
      </c>
      <c r="S39" s="121">
        <f>+Actuals!P180</f>
        <v>0</v>
      </c>
      <c r="T39" s="120">
        <f>+Actuals!Q180</f>
        <v>0</v>
      </c>
      <c r="U39" s="121">
        <f>+Actuals!R180</f>
        <v>0</v>
      </c>
      <c r="V39" s="120">
        <v>-2582696</v>
      </c>
      <c r="W39" s="121">
        <v>-5508890.5700000003</v>
      </c>
      <c r="X39" s="120">
        <f>+Actuals!U180</f>
        <v>0</v>
      </c>
      <c r="Y39" s="121">
        <f>+Actuals!V180</f>
        <v>0</v>
      </c>
      <c r="Z39" s="120">
        <v>1923496</v>
      </c>
      <c r="AA39" s="121">
        <v>4102816.97</v>
      </c>
      <c r="AB39" s="120">
        <f>+Actuals!Y180</f>
        <v>0</v>
      </c>
      <c r="AC39" s="121">
        <f>+Actuals!Z180</f>
        <v>0</v>
      </c>
      <c r="AD39" s="120">
        <f>+Actuals!AA180</f>
        <v>0</v>
      </c>
      <c r="AE39" s="121">
        <f>+Actuals!AB180</f>
        <v>0</v>
      </c>
      <c r="AF39" s="120">
        <f>+Actuals!AC180</f>
        <v>0</v>
      </c>
      <c r="AG39" s="121">
        <f>+Actuals!AD180</f>
        <v>0</v>
      </c>
      <c r="AH39" s="120">
        <f>+Actuals!AE180</f>
        <v>0</v>
      </c>
      <c r="AI39" s="121">
        <f>+Actuals!AF180</f>
        <v>0</v>
      </c>
      <c r="AJ39" s="120">
        <f>+Actuals!AG180</f>
        <v>0</v>
      </c>
      <c r="AK39" s="121">
        <f>+Actuals!AH180</f>
        <v>0</v>
      </c>
      <c r="AL39" s="120">
        <f>+Actuals!AI180</f>
        <v>0</v>
      </c>
      <c r="AM39" s="121">
        <f>+Actuals!AJ180</f>
        <v>0</v>
      </c>
      <c r="AN39" s="120">
        <f>+Actuals!AK180</f>
        <v>0</v>
      </c>
      <c r="AO39" s="121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5"/>
        <v>-299343</v>
      </c>
      <c r="E40" s="38">
        <f t="shared" si="15"/>
        <v>-622602.89999999991</v>
      </c>
      <c r="F40" s="60">
        <f>'TIE-OUT'!F40+RECLASS!F40</f>
        <v>0</v>
      </c>
      <c r="G40" s="38">
        <f>'TIE-OUT'!G40+RECLASS!G40</f>
        <v>0</v>
      </c>
      <c r="H40" s="120">
        <f>+Actuals!E181</f>
        <v>-453689</v>
      </c>
      <c r="I40" s="121">
        <f>+Actuals!F181</f>
        <v>-786721.44</v>
      </c>
      <c r="J40" s="120">
        <f>+Actuals!G181</f>
        <v>-29769</v>
      </c>
      <c r="K40" s="121">
        <f>+Actuals!H181</f>
        <v>-402881.16</v>
      </c>
      <c r="L40" s="120">
        <f>+Actuals!I181</f>
        <v>0</v>
      </c>
      <c r="M40" s="121">
        <f>+Actuals!J181</f>
        <v>0</v>
      </c>
      <c r="N40" s="120">
        <f>+Actuals!K181</f>
        <v>0</v>
      </c>
      <c r="O40" s="121">
        <f>+Actuals!L181</f>
        <v>2246.7399999999998</v>
      </c>
      <c r="P40" s="120">
        <f>+Actuals!M181</f>
        <v>0</v>
      </c>
      <c r="Q40" s="121">
        <f>+Actuals!N181</f>
        <v>0</v>
      </c>
      <c r="R40" s="120">
        <f>+Actuals!O181</f>
        <v>0</v>
      </c>
      <c r="S40" s="121">
        <f>+Actuals!P181</f>
        <v>0</v>
      </c>
      <c r="T40" s="120">
        <f>+Actuals!Q181</f>
        <v>0</v>
      </c>
      <c r="U40" s="121">
        <f>+Actuals!R181</f>
        <v>0</v>
      </c>
      <c r="V40" s="120">
        <v>184115</v>
      </c>
      <c r="W40" s="121">
        <v>564752.96</v>
      </c>
      <c r="X40" s="120">
        <f>+Actuals!U181</f>
        <v>0</v>
      </c>
      <c r="Y40" s="121">
        <f>+Actuals!V181</f>
        <v>0</v>
      </c>
      <c r="Z40" s="120">
        <f>+Actuals!W181</f>
        <v>0</v>
      </c>
      <c r="AA40" s="121">
        <f>+Actuals!X181</f>
        <v>0</v>
      </c>
      <c r="AB40" s="120">
        <f>+Actuals!Y181</f>
        <v>0</v>
      </c>
      <c r="AC40" s="121">
        <f>+Actuals!Z181</f>
        <v>0</v>
      </c>
      <c r="AD40" s="120">
        <f>+Actuals!AA181</f>
        <v>0</v>
      </c>
      <c r="AE40" s="121">
        <f>+Actuals!AB181</f>
        <v>0</v>
      </c>
      <c r="AF40" s="120">
        <f>+Actuals!AC181</f>
        <v>0</v>
      </c>
      <c r="AG40" s="121">
        <f>+Actuals!AD181</f>
        <v>0</v>
      </c>
      <c r="AH40" s="120">
        <f>+Actuals!AE181</f>
        <v>0</v>
      </c>
      <c r="AI40" s="121">
        <f>+Actuals!AF181</f>
        <v>0</v>
      </c>
      <c r="AJ40" s="120">
        <f>+Actuals!AG181</f>
        <v>0</v>
      </c>
      <c r="AK40" s="121">
        <f>+Actuals!AH181</f>
        <v>0</v>
      </c>
      <c r="AL40" s="120">
        <f>+Actuals!AI181</f>
        <v>0</v>
      </c>
      <c r="AM40" s="121">
        <f>+Actuals!AJ181</f>
        <v>0</v>
      </c>
      <c r="AN40" s="120">
        <f>+Actuals!AK181</f>
        <v>0</v>
      </c>
      <c r="AO40" s="121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'TIE-OUT'!F41+RECLASS!F41</f>
        <v>0</v>
      </c>
      <c r="G41" s="82">
        <f>'TIE-OUT'!G41+RECLASS!G41</f>
        <v>0</v>
      </c>
      <c r="H41" s="120">
        <f>+Actuals!E182</f>
        <v>0</v>
      </c>
      <c r="I41" s="121">
        <f>+Actuals!F182</f>
        <v>0</v>
      </c>
      <c r="J41" s="120">
        <f>+Actuals!G182</f>
        <v>0</v>
      </c>
      <c r="K41" s="121">
        <f>+Actuals!H182</f>
        <v>0</v>
      </c>
      <c r="L41" s="120">
        <f>+Actuals!I182</f>
        <v>0</v>
      </c>
      <c r="M41" s="121">
        <f>+Actuals!J182</f>
        <v>0</v>
      </c>
      <c r="N41" s="120">
        <f>+Actuals!K182</f>
        <v>0</v>
      </c>
      <c r="O41" s="121">
        <f>+Actuals!L182</f>
        <v>0</v>
      </c>
      <c r="P41" s="120">
        <f>+Actuals!M182</f>
        <v>0</v>
      </c>
      <c r="Q41" s="121">
        <f>+Actuals!N182</f>
        <v>0</v>
      </c>
      <c r="R41" s="120">
        <f>+Actuals!O182</f>
        <v>0</v>
      </c>
      <c r="S41" s="121">
        <f>+Actuals!P182</f>
        <v>0</v>
      </c>
      <c r="T41" s="120">
        <f>+Actuals!Q182</f>
        <v>0</v>
      </c>
      <c r="U41" s="121">
        <f>+Actuals!R182</f>
        <v>0</v>
      </c>
      <c r="V41" s="120">
        <f>+Actuals!S182</f>
        <v>0</v>
      </c>
      <c r="W41" s="121">
        <f>+Actuals!T182</f>
        <v>0</v>
      </c>
      <c r="X41" s="120">
        <f>+Actuals!U182</f>
        <v>0</v>
      </c>
      <c r="Y41" s="121">
        <f>+Actuals!V182</f>
        <v>0</v>
      </c>
      <c r="Z41" s="120">
        <f>+Actuals!W182</f>
        <v>0</v>
      </c>
      <c r="AA41" s="121">
        <f>+Actuals!X182</f>
        <v>0</v>
      </c>
      <c r="AB41" s="120">
        <f>+Actuals!Y182</f>
        <v>0</v>
      </c>
      <c r="AC41" s="121">
        <f>+Actuals!Z182</f>
        <v>0</v>
      </c>
      <c r="AD41" s="120">
        <f>+Actuals!AA182</f>
        <v>0</v>
      </c>
      <c r="AE41" s="121">
        <f>+Actuals!AB182</f>
        <v>0</v>
      </c>
      <c r="AF41" s="120">
        <f>+Actuals!AC182</f>
        <v>0</v>
      </c>
      <c r="AG41" s="121">
        <f>+Actuals!AD182</f>
        <v>0</v>
      </c>
      <c r="AH41" s="120">
        <f>+Actuals!AE182</f>
        <v>0</v>
      </c>
      <c r="AI41" s="121">
        <f>+Actuals!AF182</f>
        <v>0</v>
      </c>
      <c r="AJ41" s="120">
        <f>+Actuals!AG182</f>
        <v>0</v>
      </c>
      <c r="AK41" s="121">
        <f>+Actuals!AH182</f>
        <v>0</v>
      </c>
      <c r="AL41" s="120">
        <f>+Actuals!AI182</f>
        <v>0</v>
      </c>
      <c r="AM41" s="121">
        <f>+Actuals!AJ182</f>
        <v>0</v>
      </c>
      <c r="AN41" s="120">
        <f>+Actuals!AK182</f>
        <v>0</v>
      </c>
      <c r="AO41" s="121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6">SUM(D40:D41)</f>
        <v>-299343</v>
      </c>
      <c r="E42" s="39">
        <f t="shared" si="16"/>
        <v>-622602.89999999991</v>
      </c>
      <c r="F42" s="61">
        <f t="shared" si="16"/>
        <v>0</v>
      </c>
      <c r="G42" s="39">
        <f t="shared" si="16"/>
        <v>0</v>
      </c>
      <c r="H42" s="61">
        <f t="shared" si="16"/>
        <v>-453689</v>
      </c>
      <c r="I42" s="39">
        <f t="shared" si="16"/>
        <v>-786721.44</v>
      </c>
      <c r="J42" s="61">
        <f t="shared" ref="J42:AO42" si="17">SUM(J40:J41)</f>
        <v>-29769</v>
      </c>
      <c r="K42" s="39">
        <f t="shared" si="17"/>
        <v>-402881.16</v>
      </c>
      <c r="L42" s="61">
        <f t="shared" si="17"/>
        <v>0</v>
      </c>
      <c r="M42" s="39">
        <f t="shared" si="17"/>
        <v>0</v>
      </c>
      <c r="N42" s="61">
        <f t="shared" ref="N42:S42" si="18">SUM(N40:N41)</f>
        <v>0</v>
      </c>
      <c r="O42" s="39">
        <f t="shared" si="18"/>
        <v>2246.7399999999998</v>
      </c>
      <c r="P42" s="61">
        <f t="shared" si="18"/>
        <v>0</v>
      </c>
      <c r="Q42" s="39">
        <f t="shared" si="18"/>
        <v>0</v>
      </c>
      <c r="R42" s="61">
        <f t="shared" si="18"/>
        <v>0</v>
      </c>
      <c r="S42" s="39">
        <f t="shared" si="18"/>
        <v>0</v>
      </c>
      <c r="T42" s="61">
        <f t="shared" si="17"/>
        <v>0</v>
      </c>
      <c r="U42" s="39">
        <f t="shared" si="17"/>
        <v>0</v>
      </c>
      <c r="V42" s="61">
        <f t="shared" si="17"/>
        <v>184115</v>
      </c>
      <c r="W42" s="39">
        <f t="shared" si="17"/>
        <v>564752.96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9">D42+D39</f>
        <v>2890046</v>
      </c>
      <c r="E43" s="39">
        <f t="shared" si="19"/>
        <v>6502778.0899999999</v>
      </c>
      <c r="F43" s="61">
        <f t="shared" si="19"/>
        <v>0</v>
      </c>
      <c r="G43" s="39">
        <f t="shared" si="19"/>
        <v>0</v>
      </c>
      <c r="H43" s="61">
        <f t="shared" si="19"/>
        <v>1339389</v>
      </c>
      <c r="I43" s="39">
        <f t="shared" si="19"/>
        <v>3037913.93</v>
      </c>
      <c r="J43" s="61">
        <f t="shared" ref="J43:AO43" si="20">J42+J39</f>
        <v>726378</v>
      </c>
      <c r="K43" s="39">
        <f t="shared" si="20"/>
        <v>1209980.4000000001</v>
      </c>
      <c r="L43" s="61">
        <f t="shared" si="20"/>
        <v>16817</v>
      </c>
      <c r="M43" s="39">
        <f t="shared" si="20"/>
        <v>35870.660000000003</v>
      </c>
      <c r="N43" s="61">
        <f t="shared" ref="N43:S43" si="21">N42+N39</f>
        <v>1282547</v>
      </c>
      <c r="O43" s="39">
        <f t="shared" si="21"/>
        <v>3060333.74</v>
      </c>
      <c r="P43" s="61">
        <f t="shared" si="21"/>
        <v>0</v>
      </c>
      <c r="Q43" s="39">
        <f t="shared" si="21"/>
        <v>0</v>
      </c>
      <c r="R43" s="61">
        <f t="shared" si="21"/>
        <v>0</v>
      </c>
      <c r="S43" s="39">
        <f t="shared" si="21"/>
        <v>0</v>
      </c>
      <c r="T43" s="61">
        <f t="shared" si="20"/>
        <v>0</v>
      </c>
      <c r="U43" s="39">
        <f t="shared" si="20"/>
        <v>0</v>
      </c>
      <c r="V43" s="61">
        <f t="shared" si="20"/>
        <v>-2398581</v>
      </c>
      <c r="W43" s="39">
        <f t="shared" si="20"/>
        <v>-4944137.6100000003</v>
      </c>
      <c r="X43" s="61">
        <f t="shared" si="20"/>
        <v>0</v>
      </c>
      <c r="Y43" s="39">
        <f t="shared" si="20"/>
        <v>0</v>
      </c>
      <c r="Z43" s="61">
        <f t="shared" si="20"/>
        <v>1923496</v>
      </c>
      <c r="AA43" s="39">
        <f t="shared" si="20"/>
        <v>4102816.97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20">
        <f>+Actuals!E183</f>
        <v>0</v>
      </c>
      <c r="I45" s="121">
        <f>+Actuals!F183</f>
        <v>0</v>
      </c>
      <c r="J45" s="120">
        <f>+Actuals!G183</f>
        <v>0</v>
      </c>
      <c r="K45" s="121">
        <f>+Actuals!H183</f>
        <v>0</v>
      </c>
      <c r="L45" s="120">
        <f>+Actuals!I183</f>
        <v>0</v>
      </c>
      <c r="M45" s="121">
        <f>+Actuals!J183</f>
        <v>0</v>
      </c>
      <c r="N45" s="120">
        <f>+Actuals!K183</f>
        <v>0</v>
      </c>
      <c r="O45" s="121">
        <f>+Actuals!L183</f>
        <v>0</v>
      </c>
      <c r="P45" s="120">
        <f>+Actuals!M183</f>
        <v>0</v>
      </c>
      <c r="Q45" s="121">
        <f>+Actuals!N183</f>
        <v>0</v>
      </c>
      <c r="R45" s="120">
        <f>+Actuals!O183</f>
        <v>0</v>
      </c>
      <c r="S45" s="121">
        <f>+Actuals!P183</f>
        <v>0</v>
      </c>
      <c r="T45" s="120">
        <f>+Actuals!Q183</f>
        <v>0</v>
      </c>
      <c r="U45" s="121">
        <f>+Actuals!R183</f>
        <v>0</v>
      </c>
      <c r="V45" s="120">
        <f>+Actuals!S183</f>
        <v>0</v>
      </c>
      <c r="W45" s="121">
        <f>+Actuals!T183</f>
        <v>0</v>
      </c>
      <c r="X45" s="120">
        <f>+Actuals!U183</f>
        <v>0</v>
      </c>
      <c r="Y45" s="121">
        <f>+Actuals!V183</f>
        <v>0</v>
      </c>
      <c r="Z45" s="120">
        <f>+Actuals!W183</f>
        <v>0</v>
      </c>
      <c r="AA45" s="121">
        <f>+Actuals!X183</f>
        <v>0</v>
      </c>
      <c r="AB45" s="120">
        <f>+Actuals!Y183</f>
        <v>0</v>
      </c>
      <c r="AC45" s="121">
        <f>+Actuals!Z183</f>
        <v>0</v>
      </c>
      <c r="AD45" s="120">
        <f>+Actuals!AA183</f>
        <v>0</v>
      </c>
      <c r="AE45" s="121">
        <f>+Actuals!AB183</f>
        <v>0</v>
      </c>
      <c r="AF45" s="120">
        <f>+Actuals!AC183</f>
        <v>0</v>
      </c>
      <c r="AG45" s="121">
        <f>+Actuals!AD183</f>
        <v>0</v>
      </c>
      <c r="AH45" s="120">
        <f>+Actuals!AE183</f>
        <v>0</v>
      </c>
      <c r="AI45" s="121">
        <f>+Actuals!AF183</f>
        <v>0</v>
      </c>
      <c r="AJ45" s="120">
        <f>+Actuals!AG183</f>
        <v>0</v>
      </c>
      <c r="AK45" s="121">
        <f>+Actuals!AH183</f>
        <v>0</v>
      </c>
      <c r="AL45" s="120">
        <f>+Actuals!AI183</f>
        <v>0</v>
      </c>
      <c r="AM45" s="121">
        <f>+Actuals!AJ183</f>
        <v>0</v>
      </c>
      <c r="AN45" s="120">
        <f>+Actuals!AK183</f>
        <v>0</v>
      </c>
      <c r="AO45" s="121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20">
        <f>+Actuals!E184</f>
        <v>0</v>
      </c>
      <c r="I47" s="121">
        <f>+Actuals!F184</f>
        <v>0</v>
      </c>
      <c r="J47" s="120">
        <f>+Actuals!G184</f>
        <v>0</v>
      </c>
      <c r="K47" s="121">
        <f>+Actuals!H184</f>
        <v>0</v>
      </c>
      <c r="L47" s="120">
        <f>+Actuals!I184</f>
        <v>0</v>
      </c>
      <c r="M47" s="121">
        <f>+Actuals!J184</f>
        <v>0</v>
      </c>
      <c r="N47" s="120">
        <f>+Actuals!K184</f>
        <v>0</v>
      </c>
      <c r="O47" s="121">
        <f>+Actuals!L184</f>
        <v>0</v>
      </c>
      <c r="P47" s="120">
        <f>+Actuals!M184</f>
        <v>0</v>
      </c>
      <c r="Q47" s="121">
        <f>+Actuals!N184</f>
        <v>0</v>
      </c>
      <c r="R47" s="120">
        <f>+Actuals!O184</f>
        <v>0</v>
      </c>
      <c r="S47" s="121">
        <f>+Actuals!P184</f>
        <v>0</v>
      </c>
      <c r="T47" s="120">
        <f>+Actuals!Q184</f>
        <v>0</v>
      </c>
      <c r="U47" s="121">
        <f>+Actuals!R184</f>
        <v>0</v>
      </c>
      <c r="V47" s="120">
        <f>+Actuals!S184</f>
        <v>0</v>
      </c>
      <c r="W47" s="121">
        <f>+Actuals!T184</f>
        <v>0</v>
      </c>
      <c r="X47" s="120">
        <f>+Actuals!U184</f>
        <v>0</v>
      </c>
      <c r="Y47" s="121">
        <f>+Actuals!V184</f>
        <v>0</v>
      </c>
      <c r="Z47" s="120">
        <f>+Actuals!W184</f>
        <v>0</v>
      </c>
      <c r="AA47" s="121">
        <f>+Actuals!X184</f>
        <v>0</v>
      </c>
      <c r="AB47" s="120">
        <f>+Actuals!Y184</f>
        <v>0</v>
      </c>
      <c r="AC47" s="121">
        <f>+Actuals!Z184</f>
        <v>0</v>
      </c>
      <c r="AD47" s="120">
        <f>+Actuals!AA184</f>
        <v>0</v>
      </c>
      <c r="AE47" s="121">
        <f>+Actuals!AB184</f>
        <v>0</v>
      </c>
      <c r="AF47" s="120">
        <f>+Actuals!AC184</f>
        <v>0</v>
      </c>
      <c r="AG47" s="121">
        <f>+Actuals!AD184</f>
        <v>0</v>
      </c>
      <c r="AH47" s="120">
        <f>+Actuals!AE184</f>
        <v>0</v>
      </c>
      <c r="AI47" s="121">
        <f>+Actuals!AF184</f>
        <v>0</v>
      </c>
      <c r="AJ47" s="120">
        <f>+Actuals!AG184</f>
        <v>0</v>
      </c>
      <c r="AK47" s="121">
        <f>+Actuals!AH184</f>
        <v>0</v>
      </c>
      <c r="AL47" s="120">
        <f>+Actuals!AI184</f>
        <v>0</v>
      </c>
      <c r="AM47" s="121">
        <f>+Actuals!AJ184</f>
        <v>0</v>
      </c>
      <c r="AN47" s="120">
        <f>+Actuals!AK184</f>
        <v>0</v>
      </c>
      <c r="AO47" s="121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-1534428</v>
      </c>
      <c r="E49" s="38">
        <f>SUM(G49,I49,K49,M49,O49,Q49,S49,U49,W49,Y49,AA49,AC49,AE49)</f>
        <v>-3272934.9180000001</v>
      </c>
      <c r="F49" s="60">
        <f>'TIE-OUT'!F49+RECLASS!F49</f>
        <v>0</v>
      </c>
      <c r="G49" s="38">
        <f>'TIE-OUT'!G49+RECLASS!G49</f>
        <v>0</v>
      </c>
      <c r="H49" s="120">
        <f>+Actuals!E185</f>
        <v>-4452692</v>
      </c>
      <c r="I49" s="121">
        <f>+Actuals!F185</f>
        <v>-9497592.0360000003</v>
      </c>
      <c r="J49" s="120">
        <f>+Actuals!G185</f>
        <v>3399160</v>
      </c>
      <c r="K49" s="121">
        <f>+Actuals!H185</f>
        <v>7250408.2800000003</v>
      </c>
      <c r="L49" s="120">
        <f>+Actuals!I185</f>
        <v>442507</v>
      </c>
      <c r="M49" s="121">
        <f>+Actuals!J185</f>
        <v>943867.43099999998</v>
      </c>
      <c r="N49" s="120">
        <f>+Actuals!K185</f>
        <v>-111307</v>
      </c>
      <c r="O49" s="121">
        <f>+Actuals!L185</f>
        <v>-237417.83100000001</v>
      </c>
      <c r="P49" s="120">
        <f>+Actuals!M185</f>
        <v>883472</v>
      </c>
      <c r="Q49" s="121">
        <f>+Actuals!N185</f>
        <v>1884445.7760000001</v>
      </c>
      <c r="R49" s="120">
        <f>+Actuals!O185</f>
        <v>-459744</v>
      </c>
      <c r="S49" s="121">
        <f>+Actuals!P185</f>
        <v>-980633.95200000005</v>
      </c>
      <c r="T49" s="120">
        <f>+Actuals!Q185</f>
        <v>-312692</v>
      </c>
      <c r="U49" s="121">
        <f>+Actuals!R185</f>
        <v>-666972.03599999996</v>
      </c>
      <c r="V49" s="120">
        <v>-953728</v>
      </c>
      <c r="W49" s="121">
        <v>-2034301.82</v>
      </c>
      <c r="X49" s="120">
        <f>+Actuals!U185</f>
        <v>0</v>
      </c>
      <c r="Y49" s="121">
        <f>+Actuals!V185</f>
        <v>0</v>
      </c>
      <c r="Z49" s="120">
        <v>30596</v>
      </c>
      <c r="AA49" s="121">
        <v>65261.27</v>
      </c>
      <c r="AB49" s="120">
        <f>+Actuals!Y185</f>
        <v>0</v>
      </c>
      <c r="AC49" s="121">
        <f>+Actuals!Z185</f>
        <v>0</v>
      </c>
      <c r="AD49" s="120">
        <f>+Actuals!AA185</f>
        <v>0</v>
      </c>
      <c r="AE49" s="121">
        <f>+Actuals!AB185</f>
        <v>0</v>
      </c>
      <c r="AF49" s="120">
        <f>+Actuals!AC185</f>
        <v>0</v>
      </c>
      <c r="AG49" s="121">
        <f>+Actuals!AD185</f>
        <v>0</v>
      </c>
      <c r="AH49" s="120">
        <f>+Actuals!AE185</f>
        <v>0</v>
      </c>
      <c r="AI49" s="121">
        <f>+Actuals!AF185</f>
        <v>0</v>
      </c>
      <c r="AJ49" s="120">
        <f>+Actuals!AG185</f>
        <v>0</v>
      </c>
      <c r="AK49" s="121">
        <f>+Actuals!AH185</f>
        <v>0</v>
      </c>
      <c r="AL49" s="120">
        <f>+Actuals!AI185</f>
        <v>0</v>
      </c>
      <c r="AM49" s="121">
        <f>+Actuals!AJ185</f>
        <v>0</v>
      </c>
      <c r="AN49" s="120">
        <f>+Actuals!AK185</f>
        <v>0</v>
      </c>
      <c r="AO49" s="121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-251673</v>
      </c>
      <c r="E51" s="38">
        <f>SUM(G51,I51,K51,M51,O51,Q51,S51,U51,W51,Y51,AA51,AC51,AE51)</f>
        <v>-536818.50699999998</v>
      </c>
      <c r="F51" s="60">
        <f>'TIE-OUT'!F51+RECLASS!F51</f>
        <v>0</v>
      </c>
      <c r="G51" s="38">
        <f>'TIE-OUT'!G51+RECLASS!G51</f>
        <v>0</v>
      </c>
      <c r="H51" s="120">
        <f>+Actuals!E186</f>
        <v>-585543</v>
      </c>
      <c r="I51" s="121">
        <f>+Actuals!F186</f>
        <v>-1248963.219</v>
      </c>
      <c r="J51" s="120">
        <f>+Actuals!G186</f>
        <v>-30368</v>
      </c>
      <c r="K51" s="121">
        <f>+Actuals!H186</f>
        <v>-64774.944000000003</v>
      </c>
      <c r="L51" s="120">
        <f>+Actuals!I186</f>
        <v>342</v>
      </c>
      <c r="M51" s="121">
        <f>+Actuals!J186</f>
        <v>729.48599999999999</v>
      </c>
      <c r="N51" s="120">
        <f>+Actuals!K186</f>
        <v>224609</v>
      </c>
      <c r="O51" s="121">
        <f>+Actuals!L186</f>
        <v>479091</v>
      </c>
      <c r="P51" s="120">
        <f>+Actuals!M186</f>
        <v>0</v>
      </c>
      <c r="Q51" s="121">
        <f>+Actuals!N186</f>
        <v>0</v>
      </c>
      <c r="R51" s="120">
        <f>+Actuals!O186</f>
        <v>0</v>
      </c>
      <c r="S51" s="121">
        <f>+Actuals!P186</f>
        <v>0</v>
      </c>
      <c r="T51" s="120">
        <f>+Actuals!Q186</f>
        <v>0</v>
      </c>
      <c r="U51" s="121">
        <f>+Actuals!R186</f>
        <v>0</v>
      </c>
      <c r="V51" s="120">
        <v>139287</v>
      </c>
      <c r="W51" s="121">
        <v>297099.17</v>
      </c>
      <c r="X51" s="120">
        <f>+Actuals!U186</f>
        <v>0</v>
      </c>
      <c r="Y51" s="121">
        <f>+Actuals!V186</f>
        <v>0</v>
      </c>
      <c r="Z51" s="120">
        <f>+Actuals!W186</f>
        <v>0</v>
      </c>
      <c r="AA51" s="121">
        <f>+Actuals!X186</f>
        <v>0</v>
      </c>
      <c r="AB51" s="120">
        <f>+Actuals!Y186</f>
        <v>0</v>
      </c>
      <c r="AC51" s="121">
        <f>+Actuals!Z186</f>
        <v>0</v>
      </c>
      <c r="AD51" s="120">
        <f>+Actuals!AA186</f>
        <v>0</v>
      </c>
      <c r="AE51" s="121">
        <f>+Actuals!AB186</f>
        <v>0</v>
      </c>
      <c r="AF51" s="120">
        <f>+Actuals!AC186</f>
        <v>0</v>
      </c>
      <c r="AG51" s="121">
        <f>+Actuals!AD186</f>
        <v>0</v>
      </c>
      <c r="AH51" s="120">
        <f>+Actuals!AE186</f>
        <v>0</v>
      </c>
      <c r="AI51" s="121">
        <f>+Actuals!AF186</f>
        <v>0</v>
      </c>
      <c r="AJ51" s="120">
        <f>+Actuals!AG186</f>
        <v>0</v>
      </c>
      <c r="AK51" s="121">
        <f>+Actuals!AH186</f>
        <v>0</v>
      </c>
      <c r="AL51" s="120">
        <f>+Actuals!AI186</f>
        <v>0</v>
      </c>
      <c r="AM51" s="121">
        <f>+Actuals!AJ186</f>
        <v>0</v>
      </c>
      <c r="AN51" s="120">
        <f>+Actuals!AK186</f>
        <v>0</v>
      </c>
      <c r="AO51" s="121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-37976267</v>
      </c>
      <c r="E54" s="38">
        <f>SUM(G54,I54,K54,M54,O54,Q54,S54,U54,W54,Y54,AA54,AC54,AE54)</f>
        <v>617063.47000000009</v>
      </c>
      <c r="F54" s="64">
        <f>'TIE-OUT'!F54+RECLASS!F54</f>
        <v>0</v>
      </c>
      <c r="G54" s="68">
        <f>'TIE-OUT'!G54+RECLASS!G54</f>
        <v>0</v>
      </c>
      <c r="H54" s="120">
        <f>+Actuals!E187</f>
        <v>-35887135</v>
      </c>
      <c r="I54" s="121">
        <f>+Actuals!F187</f>
        <v>-147818.85999999999</v>
      </c>
      <c r="J54" s="120">
        <f>+Actuals!G187</f>
        <v>-3315116</v>
      </c>
      <c r="K54" s="121">
        <f>+Actuals!H187</f>
        <v>-11217.96</v>
      </c>
      <c r="L54" s="120">
        <f>+Actuals!I187</f>
        <v>417123</v>
      </c>
      <c r="M54" s="121">
        <f>+Actuals!J187</f>
        <v>-6357.89</v>
      </c>
      <c r="N54" s="120">
        <f>+Actuals!K187</f>
        <v>0</v>
      </c>
      <c r="O54" s="121">
        <f>+Actuals!L187</f>
        <v>-688.95</v>
      </c>
      <c r="P54" s="120">
        <f>+Actuals!M187</f>
        <v>71634</v>
      </c>
      <c r="Q54" s="121">
        <f>+Actuals!N187</f>
        <v>9019.1200000000008</v>
      </c>
      <c r="R54" s="120">
        <f>+Actuals!O187</f>
        <v>-807322</v>
      </c>
      <c r="S54" s="121">
        <f>+Actuals!P187</f>
        <v>-9020.7099999999991</v>
      </c>
      <c r="T54" s="120">
        <f>+Actuals!Q187</f>
        <v>0</v>
      </c>
      <c r="U54" s="121">
        <f>+Actuals!R187</f>
        <v>793705.42</v>
      </c>
      <c r="V54" s="120">
        <f>+Actuals!S187</f>
        <v>0</v>
      </c>
      <c r="W54" s="121">
        <f>+Actuals!T187</f>
        <v>0</v>
      </c>
      <c r="X54" s="120">
        <v>16800</v>
      </c>
      <c r="Y54" s="121">
        <f>+Actuals!V187</f>
        <v>0</v>
      </c>
      <c r="Z54" s="120">
        <v>1527749</v>
      </c>
      <c r="AA54" s="121">
        <v>-10556.7</v>
      </c>
      <c r="AB54" s="120">
        <f>+Actuals!Y187</f>
        <v>0</v>
      </c>
      <c r="AC54" s="121">
        <f>+Actuals!Z187</f>
        <v>0</v>
      </c>
      <c r="AD54" s="120">
        <f>+Actuals!AA187</f>
        <v>0</v>
      </c>
      <c r="AE54" s="121">
        <f>+Actuals!AB187</f>
        <v>0</v>
      </c>
      <c r="AF54" s="120">
        <f>+Actuals!AC187</f>
        <v>0</v>
      </c>
      <c r="AG54" s="121">
        <f>+Actuals!AD187</f>
        <v>0</v>
      </c>
      <c r="AH54" s="120">
        <f>+Actuals!AE187</f>
        <v>0</v>
      </c>
      <c r="AI54" s="121">
        <f>+Actuals!AF187</f>
        <v>0</v>
      </c>
      <c r="AJ54" s="120">
        <f>+Actuals!AG187</f>
        <v>0</v>
      </c>
      <c r="AK54" s="121">
        <f>+Actuals!AH187</f>
        <v>0</v>
      </c>
      <c r="AL54" s="120">
        <f>+Actuals!AI187</f>
        <v>0</v>
      </c>
      <c r="AM54" s="121">
        <f>+Actuals!AJ187</f>
        <v>0</v>
      </c>
      <c r="AN54" s="120">
        <f>+Actuals!AK187</f>
        <v>0</v>
      </c>
      <c r="AO54" s="121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-2121128.4300000002</v>
      </c>
      <c r="F55" s="81">
        <f>'TIE-OUT'!F55+RECLASS!F55</f>
        <v>0</v>
      </c>
      <c r="G55" s="82">
        <f>'TIE-OUT'!G55+RECLASS!G55</f>
        <v>0</v>
      </c>
      <c r="H55" s="120">
        <f>+Actuals!E188</f>
        <v>0</v>
      </c>
      <c r="I55" s="121">
        <f>+Actuals!F188</f>
        <v>-2034880.84</v>
      </c>
      <c r="J55" s="120">
        <f>+Actuals!G188</f>
        <v>0</v>
      </c>
      <c r="K55" s="121">
        <f>+Actuals!H188</f>
        <v>-86247.59</v>
      </c>
      <c r="L55" s="120">
        <f>+Actuals!I188</f>
        <v>0</v>
      </c>
      <c r="M55" s="121">
        <f>+Actuals!J188</f>
        <v>0</v>
      </c>
      <c r="N55" s="120">
        <f>+Actuals!K188</f>
        <v>0</v>
      </c>
      <c r="O55" s="121">
        <f>+Actuals!L188</f>
        <v>0</v>
      </c>
      <c r="P55" s="120">
        <f>+Actuals!M188</f>
        <v>0</v>
      </c>
      <c r="Q55" s="121">
        <f>+Actuals!N188</f>
        <v>0</v>
      </c>
      <c r="R55" s="120">
        <f>+Actuals!O188</f>
        <v>0</v>
      </c>
      <c r="S55" s="121">
        <f>+Actuals!P188</f>
        <v>0</v>
      </c>
      <c r="T55" s="120">
        <f>+Actuals!Q188</f>
        <v>0</v>
      </c>
      <c r="U55" s="121">
        <f>+Actuals!R188</f>
        <v>0</v>
      </c>
      <c r="V55" s="120">
        <f>+Actuals!S188</f>
        <v>0</v>
      </c>
      <c r="W55" s="121">
        <f>+Actuals!T188</f>
        <v>0</v>
      </c>
      <c r="X55" s="120">
        <f>+Actuals!U188</f>
        <v>0</v>
      </c>
      <c r="Y55" s="121">
        <f>+Actuals!V188</f>
        <v>0</v>
      </c>
      <c r="Z55" s="120">
        <f>+Actuals!W188</f>
        <v>0</v>
      </c>
      <c r="AA55" s="121">
        <f>+Actuals!X188</f>
        <v>0</v>
      </c>
      <c r="AB55" s="120">
        <f>+Actuals!Y188</f>
        <v>0</v>
      </c>
      <c r="AC55" s="121">
        <f>+Actuals!Z188</f>
        <v>0</v>
      </c>
      <c r="AD55" s="120">
        <f>+Actuals!AA188</f>
        <v>0</v>
      </c>
      <c r="AE55" s="121">
        <f>+Actuals!AB188</f>
        <v>0</v>
      </c>
      <c r="AF55" s="120">
        <f>+Actuals!AC188</f>
        <v>0</v>
      </c>
      <c r="AG55" s="121">
        <f>+Actuals!AD188</f>
        <v>0</v>
      </c>
      <c r="AH55" s="120">
        <f>+Actuals!AE188</f>
        <v>0</v>
      </c>
      <c r="AI55" s="121">
        <f>+Actuals!AF188</f>
        <v>0</v>
      </c>
      <c r="AJ55" s="120">
        <f>+Actuals!AG188</f>
        <v>0</v>
      </c>
      <c r="AK55" s="121">
        <f>+Actuals!AH188</f>
        <v>0</v>
      </c>
      <c r="AL55" s="120">
        <f>+Actuals!AI188</f>
        <v>0</v>
      </c>
      <c r="AM55" s="121">
        <f>+Actuals!AJ188</f>
        <v>0</v>
      </c>
      <c r="AN55" s="120">
        <f>+Actuals!AK188</f>
        <v>0</v>
      </c>
      <c r="AO55" s="121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22">SUM(D54:D55)</f>
        <v>-37976267</v>
      </c>
      <c r="E56" s="39">
        <f t="shared" si="22"/>
        <v>-1504064.96</v>
      </c>
      <c r="F56" s="61">
        <f t="shared" si="22"/>
        <v>0</v>
      </c>
      <c r="G56" s="39">
        <f t="shared" si="22"/>
        <v>0</v>
      </c>
      <c r="H56" s="61">
        <f t="shared" si="22"/>
        <v>-35887135</v>
      </c>
      <c r="I56" s="39">
        <f t="shared" si="22"/>
        <v>-2182699.7000000002</v>
      </c>
      <c r="J56" s="61">
        <f t="shared" ref="J56:AO56" si="23">SUM(J54:J55)</f>
        <v>-3315116</v>
      </c>
      <c r="K56" s="39">
        <f t="shared" si="23"/>
        <v>-97465.549999999988</v>
      </c>
      <c r="L56" s="61">
        <f t="shared" si="23"/>
        <v>417123</v>
      </c>
      <c r="M56" s="39">
        <f t="shared" si="23"/>
        <v>-6357.89</v>
      </c>
      <c r="N56" s="61">
        <f t="shared" ref="N56:S56" si="24">SUM(N54:N55)</f>
        <v>0</v>
      </c>
      <c r="O56" s="39">
        <f t="shared" si="24"/>
        <v>-688.95</v>
      </c>
      <c r="P56" s="61">
        <f t="shared" si="24"/>
        <v>71634</v>
      </c>
      <c r="Q56" s="39">
        <f t="shared" si="24"/>
        <v>9019.1200000000008</v>
      </c>
      <c r="R56" s="61">
        <f t="shared" si="24"/>
        <v>-807322</v>
      </c>
      <c r="S56" s="39">
        <f t="shared" si="24"/>
        <v>-9020.7099999999991</v>
      </c>
      <c r="T56" s="61">
        <f t="shared" si="23"/>
        <v>0</v>
      </c>
      <c r="U56" s="39">
        <f t="shared" si="23"/>
        <v>793705.42</v>
      </c>
      <c r="V56" s="61">
        <f t="shared" si="23"/>
        <v>0</v>
      </c>
      <c r="W56" s="39">
        <f t="shared" si="23"/>
        <v>0</v>
      </c>
      <c r="X56" s="61">
        <f t="shared" si="23"/>
        <v>16800</v>
      </c>
      <c r="Y56" s="39">
        <f t="shared" si="23"/>
        <v>0</v>
      </c>
      <c r="Z56" s="61">
        <f t="shared" si="23"/>
        <v>1527749</v>
      </c>
      <c r="AA56" s="39">
        <f t="shared" si="23"/>
        <v>-10556.7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20">
        <f>+Actuals!E189</f>
        <v>0</v>
      </c>
      <c r="I59" s="121">
        <f>+Actuals!F189</f>
        <v>0</v>
      </c>
      <c r="J59" s="120">
        <f>+Actuals!G189</f>
        <v>0</v>
      </c>
      <c r="K59" s="121">
        <f>+Actuals!H189</f>
        <v>0</v>
      </c>
      <c r="L59" s="120">
        <f>+Actuals!I189</f>
        <v>0</v>
      </c>
      <c r="M59" s="121">
        <f>+Actuals!J189</f>
        <v>0</v>
      </c>
      <c r="N59" s="120">
        <f>+Actuals!K189</f>
        <v>0</v>
      </c>
      <c r="O59" s="121">
        <f>+Actuals!L189</f>
        <v>0</v>
      </c>
      <c r="P59" s="120">
        <f>+Actuals!M189</f>
        <v>0</v>
      </c>
      <c r="Q59" s="121">
        <f>+Actuals!N189</f>
        <v>0</v>
      </c>
      <c r="R59" s="120">
        <f>+Actuals!O189</f>
        <v>0</v>
      </c>
      <c r="S59" s="121">
        <f>+Actuals!P189</f>
        <v>0</v>
      </c>
      <c r="T59" s="120">
        <f>+Actuals!Q189</f>
        <v>0</v>
      </c>
      <c r="U59" s="121">
        <f>+Actuals!R189</f>
        <v>0</v>
      </c>
      <c r="V59" s="120">
        <f>+Actuals!S189</f>
        <v>0</v>
      </c>
      <c r="W59" s="121">
        <f>+Actuals!T189</f>
        <v>0</v>
      </c>
      <c r="X59" s="120">
        <f>+Actuals!U189</f>
        <v>0</v>
      </c>
      <c r="Y59" s="121">
        <f>+Actuals!V189</f>
        <v>0</v>
      </c>
      <c r="Z59" s="120">
        <f>+Actuals!W189</f>
        <v>0</v>
      </c>
      <c r="AA59" s="121">
        <f>+Actuals!X189</f>
        <v>0</v>
      </c>
      <c r="AB59" s="120">
        <f>+Actuals!Y189</f>
        <v>0</v>
      </c>
      <c r="AC59" s="121">
        <f>+Actuals!Z189</f>
        <v>0</v>
      </c>
      <c r="AD59" s="120">
        <f>+Actuals!AA189</f>
        <v>0</v>
      </c>
      <c r="AE59" s="121">
        <f>+Actuals!AB189</f>
        <v>0</v>
      </c>
      <c r="AF59" s="120">
        <f>+Actuals!AC189</f>
        <v>0</v>
      </c>
      <c r="AG59" s="121">
        <f>+Actuals!AD189</f>
        <v>0</v>
      </c>
      <c r="AH59" s="120">
        <f>+Actuals!AE189</f>
        <v>0</v>
      </c>
      <c r="AI59" s="121">
        <f>+Actuals!AF189</f>
        <v>0</v>
      </c>
      <c r="AJ59" s="120">
        <f>+Actuals!AG189</f>
        <v>0</v>
      </c>
      <c r="AK59" s="121">
        <f>+Actuals!AH189</f>
        <v>0</v>
      </c>
      <c r="AL59" s="120">
        <f>+Actuals!AI189</f>
        <v>0</v>
      </c>
      <c r="AM59" s="121">
        <f>+Actuals!AJ189</f>
        <v>0</v>
      </c>
      <c r="AN59" s="120">
        <f>+Actuals!AK189</f>
        <v>0</v>
      </c>
      <c r="AO59" s="121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20">
        <f>+Actuals!E190</f>
        <v>0</v>
      </c>
      <c r="I60" s="121">
        <f>+Actuals!F190</f>
        <v>0</v>
      </c>
      <c r="J60" s="120">
        <f>+Actuals!G190</f>
        <v>0</v>
      </c>
      <c r="K60" s="121">
        <f>+Actuals!H190</f>
        <v>0</v>
      </c>
      <c r="L60" s="120">
        <f>+Actuals!I190</f>
        <v>0</v>
      </c>
      <c r="M60" s="121">
        <f>+Actuals!J190</f>
        <v>0</v>
      </c>
      <c r="N60" s="120">
        <f>+Actuals!K190</f>
        <v>0</v>
      </c>
      <c r="O60" s="121">
        <f>+Actuals!L190</f>
        <v>0</v>
      </c>
      <c r="P60" s="120">
        <f>+Actuals!M190</f>
        <v>0</v>
      </c>
      <c r="Q60" s="121">
        <f>+Actuals!N190</f>
        <v>0</v>
      </c>
      <c r="R60" s="120">
        <f>+Actuals!O190</f>
        <v>0</v>
      </c>
      <c r="S60" s="121">
        <f>+Actuals!P190</f>
        <v>0</v>
      </c>
      <c r="T60" s="120">
        <f>+Actuals!Q190</f>
        <v>0</v>
      </c>
      <c r="U60" s="121">
        <f>+Actuals!R190</f>
        <v>0</v>
      </c>
      <c r="V60" s="120">
        <f>+Actuals!S190</f>
        <v>0</v>
      </c>
      <c r="W60" s="121">
        <f>+Actuals!T190</f>
        <v>0</v>
      </c>
      <c r="X60" s="120">
        <f>+Actuals!U190</f>
        <v>0</v>
      </c>
      <c r="Y60" s="121">
        <f>+Actuals!V190</f>
        <v>0</v>
      </c>
      <c r="Z60" s="120">
        <f>+Actuals!W190</f>
        <v>0</v>
      </c>
      <c r="AA60" s="121">
        <f>+Actuals!X190</f>
        <v>0</v>
      </c>
      <c r="AB60" s="120">
        <f>+Actuals!Y190</f>
        <v>0</v>
      </c>
      <c r="AC60" s="121">
        <f>+Actuals!Z190</f>
        <v>0</v>
      </c>
      <c r="AD60" s="120">
        <f>+Actuals!AA190</f>
        <v>0</v>
      </c>
      <c r="AE60" s="121">
        <f>+Actuals!AB190</f>
        <v>0</v>
      </c>
      <c r="AF60" s="120">
        <f>+Actuals!AC190</f>
        <v>0</v>
      </c>
      <c r="AG60" s="121">
        <f>+Actuals!AD190</f>
        <v>0</v>
      </c>
      <c r="AH60" s="120">
        <f>+Actuals!AE190</f>
        <v>0</v>
      </c>
      <c r="AI60" s="121">
        <f>+Actuals!AF190</f>
        <v>0</v>
      </c>
      <c r="AJ60" s="120">
        <f>+Actuals!AG190</f>
        <v>0</v>
      </c>
      <c r="AK60" s="121">
        <f>+Actuals!AH190</f>
        <v>0</v>
      </c>
      <c r="AL60" s="120">
        <f>+Actuals!AI190</f>
        <v>0</v>
      </c>
      <c r="AM60" s="121">
        <f>+Actuals!AJ190</f>
        <v>0</v>
      </c>
      <c r="AN60" s="120">
        <f>+Actuals!AK190</f>
        <v>0</v>
      </c>
      <c r="AO60" s="121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20">
        <f>+Actuals!E191</f>
        <v>0</v>
      </c>
      <c r="I64" s="121">
        <f>+Actuals!F191</f>
        <v>0</v>
      </c>
      <c r="J64" s="120">
        <f>+Actuals!G191</f>
        <v>0</v>
      </c>
      <c r="K64" s="121">
        <f>+Actuals!H191</f>
        <v>0</v>
      </c>
      <c r="L64" s="120">
        <f>+Actuals!I191</f>
        <v>0</v>
      </c>
      <c r="M64" s="121">
        <f>+Actuals!J191</f>
        <v>0</v>
      </c>
      <c r="N64" s="120">
        <f>+Actuals!K191</f>
        <v>0</v>
      </c>
      <c r="O64" s="121">
        <f>+Actuals!L191</f>
        <v>0</v>
      </c>
      <c r="P64" s="120">
        <f>+Actuals!M191</f>
        <v>0</v>
      </c>
      <c r="Q64" s="121">
        <f>+Actuals!N191</f>
        <v>0</v>
      </c>
      <c r="R64" s="120">
        <f>+Actuals!O191</f>
        <v>0</v>
      </c>
      <c r="S64" s="121">
        <f>+Actuals!P191</f>
        <v>0</v>
      </c>
      <c r="T64" s="120">
        <f>+Actuals!Q191</f>
        <v>0</v>
      </c>
      <c r="U64" s="121">
        <f>+Actuals!R191</f>
        <v>0</v>
      </c>
      <c r="V64" s="120">
        <f>+Actuals!S191</f>
        <v>0</v>
      </c>
      <c r="W64" s="121">
        <f>+Actuals!T191</f>
        <v>0</v>
      </c>
      <c r="X64" s="120">
        <f>+Actuals!U191</f>
        <v>0</v>
      </c>
      <c r="Y64" s="121">
        <f>+Actuals!V191</f>
        <v>0</v>
      </c>
      <c r="Z64" s="120">
        <f>+Actuals!W191</f>
        <v>0</v>
      </c>
      <c r="AA64" s="121">
        <f>+Actuals!X191</f>
        <v>0</v>
      </c>
      <c r="AB64" s="120">
        <f>+Actuals!Y191</f>
        <v>0</v>
      </c>
      <c r="AC64" s="121">
        <f>+Actuals!Z191</f>
        <v>0</v>
      </c>
      <c r="AD64" s="120">
        <f>+Actuals!AA191</f>
        <v>0</v>
      </c>
      <c r="AE64" s="121">
        <f>+Actuals!AB191</f>
        <v>0</v>
      </c>
      <c r="AF64" s="120">
        <f>+Actuals!AC191</f>
        <v>0</v>
      </c>
      <c r="AG64" s="121">
        <f>+Actuals!AD191</f>
        <v>0</v>
      </c>
      <c r="AH64" s="120">
        <f>+Actuals!AE191</f>
        <v>0</v>
      </c>
      <c r="AI64" s="121">
        <f>+Actuals!AF191</f>
        <v>0</v>
      </c>
      <c r="AJ64" s="120">
        <f>+Actuals!AG191</f>
        <v>0</v>
      </c>
      <c r="AK64" s="121">
        <f>+Actuals!AH191</f>
        <v>0</v>
      </c>
      <c r="AL64" s="120">
        <f>+Actuals!AI191</f>
        <v>0</v>
      </c>
      <c r="AM64" s="121">
        <f>+Actuals!AJ191</f>
        <v>0</v>
      </c>
      <c r="AN64" s="120">
        <f>+Actuals!AK191</f>
        <v>0</v>
      </c>
      <c r="AO64" s="121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20">
        <f>+Actuals!E192</f>
        <v>0</v>
      </c>
      <c r="I65" s="121">
        <f>+Actuals!F192</f>
        <v>0</v>
      </c>
      <c r="J65" s="120">
        <f>+Actuals!G192</f>
        <v>0</v>
      </c>
      <c r="K65" s="121">
        <f>+Actuals!H192</f>
        <v>0</v>
      </c>
      <c r="L65" s="120">
        <f>+Actuals!I192</f>
        <v>0</v>
      </c>
      <c r="M65" s="121">
        <f>+Actuals!J192</f>
        <v>0</v>
      </c>
      <c r="N65" s="120">
        <f>+Actuals!K192</f>
        <v>0</v>
      </c>
      <c r="O65" s="121">
        <f>+Actuals!L192</f>
        <v>0</v>
      </c>
      <c r="P65" s="120">
        <f>+Actuals!M192</f>
        <v>0</v>
      </c>
      <c r="Q65" s="121">
        <f>+Actuals!N192</f>
        <v>0</v>
      </c>
      <c r="R65" s="120">
        <f>+Actuals!O192</f>
        <v>0</v>
      </c>
      <c r="S65" s="121">
        <f>+Actuals!P192</f>
        <v>0</v>
      </c>
      <c r="T65" s="120">
        <f>+Actuals!Q192</f>
        <v>0</v>
      </c>
      <c r="U65" s="121">
        <f>+Actuals!R192</f>
        <v>0</v>
      </c>
      <c r="V65" s="120">
        <f>+Actuals!S192</f>
        <v>0</v>
      </c>
      <c r="W65" s="121">
        <f>+Actuals!T192</f>
        <v>0</v>
      </c>
      <c r="X65" s="120">
        <f>+Actuals!U192</f>
        <v>0</v>
      </c>
      <c r="Y65" s="121">
        <f>+Actuals!V192</f>
        <v>0</v>
      </c>
      <c r="Z65" s="120">
        <f>+Actuals!W192</f>
        <v>0</v>
      </c>
      <c r="AA65" s="121">
        <f>+Actuals!X192</f>
        <v>0</v>
      </c>
      <c r="AB65" s="120">
        <f>+Actuals!Y192</f>
        <v>0</v>
      </c>
      <c r="AC65" s="121">
        <f>+Actuals!Z192</f>
        <v>0</v>
      </c>
      <c r="AD65" s="120">
        <f>+Actuals!AA192</f>
        <v>0</v>
      </c>
      <c r="AE65" s="121">
        <f>+Actuals!AB192</f>
        <v>0</v>
      </c>
      <c r="AF65" s="120">
        <f>+Actuals!AC192</f>
        <v>0</v>
      </c>
      <c r="AG65" s="121">
        <f>+Actuals!AD192</f>
        <v>0</v>
      </c>
      <c r="AH65" s="120">
        <f>+Actuals!AE192</f>
        <v>0</v>
      </c>
      <c r="AI65" s="121">
        <f>+Actuals!AF192</f>
        <v>0</v>
      </c>
      <c r="AJ65" s="120">
        <f>+Actuals!AG192</f>
        <v>0</v>
      </c>
      <c r="AK65" s="121">
        <f>+Actuals!AH192</f>
        <v>0</v>
      </c>
      <c r="AL65" s="120">
        <f>+Actuals!AI192</f>
        <v>0</v>
      </c>
      <c r="AM65" s="121">
        <f>+Actuals!AJ192</f>
        <v>0</v>
      </c>
      <c r="AN65" s="120">
        <f>+Actuals!AK192</f>
        <v>0</v>
      </c>
      <c r="AO65" s="121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1768212</v>
      </c>
      <c r="F70" s="64">
        <f>'TIE-OUT'!F70+RECLASS!F70</f>
        <v>0</v>
      </c>
      <c r="G70" s="68">
        <f>'TIE-OUT'!G70+RECLASS!G70</f>
        <v>1768212</v>
      </c>
      <c r="H70" s="120">
        <f>+Actuals!E193</f>
        <v>0</v>
      </c>
      <c r="I70" s="121">
        <f>+Actuals!F193</f>
        <v>0</v>
      </c>
      <c r="J70" s="120">
        <f>+Actuals!G193</f>
        <v>0</v>
      </c>
      <c r="K70" s="121">
        <f>+Actuals!H193</f>
        <v>0</v>
      </c>
      <c r="L70" s="120">
        <f>+Actuals!I193</f>
        <v>0</v>
      </c>
      <c r="M70" s="121">
        <f>+Actuals!J193</f>
        <v>0</v>
      </c>
      <c r="N70" s="120">
        <f>+Actuals!K193</f>
        <v>0</v>
      </c>
      <c r="O70" s="121">
        <f>+Actuals!L193</f>
        <v>0</v>
      </c>
      <c r="P70" s="120">
        <f>+Actuals!M193</f>
        <v>0</v>
      </c>
      <c r="Q70" s="121">
        <f>+Actuals!N193</f>
        <v>0</v>
      </c>
      <c r="R70" s="120">
        <f>+Actuals!O193</f>
        <v>0</v>
      </c>
      <c r="S70" s="121">
        <f>+Actuals!P193</f>
        <v>0</v>
      </c>
      <c r="T70" s="120">
        <f>+Actuals!Q193</f>
        <v>0</v>
      </c>
      <c r="U70" s="121">
        <f>+Actuals!R193</f>
        <v>0</v>
      </c>
      <c r="V70" s="120">
        <f>+Actuals!S193</f>
        <v>0</v>
      </c>
      <c r="W70" s="121">
        <f>+Actuals!T193</f>
        <v>0</v>
      </c>
      <c r="X70" s="120">
        <f>+Actuals!U193</f>
        <v>0</v>
      </c>
      <c r="Y70" s="121">
        <f>+Actuals!V193</f>
        <v>0</v>
      </c>
      <c r="Z70" s="120">
        <f>+Actuals!W193</f>
        <v>0</v>
      </c>
      <c r="AA70" s="121">
        <f>+Actuals!X193</f>
        <v>0</v>
      </c>
      <c r="AB70" s="120">
        <f>+Actuals!Y193</f>
        <v>0</v>
      </c>
      <c r="AC70" s="121">
        <f>+Actuals!Z193</f>
        <v>0</v>
      </c>
      <c r="AD70" s="120">
        <f>+Actuals!AA193</f>
        <v>0</v>
      </c>
      <c r="AE70" s="121">
        <f>+Actuals!AB193</f>
        <v>0</v>
      </c>
      <c r="AF70" s="120">
        <f>+Actuals!AC193</f>
        <v>0</v>
      </c>
      <c r="AG70" s="121">
        <f>+Actuals!AD193</f>
        <v>0</v>
      </c>
      <c r="AH70" s="120">
        <f>+Actuals!AE193</f>
        <v>0</v>
      </c>
      <c r="AI70" s="121">
        <f>+Actuals!AF193</f>
        <v>0</v>
      </c>
      <c r="AJ70" s="120">
        <f>+Actuals!AG193</f>
        <v>0</v>
      </c>
      <c r="AK70" s="121">
        <f>+Actuals!AH193</f>
        <v>0</v>
      </c>
      <c r="AL70" s="120">
        <f>+Actuals!AI193</f>
        <v>0</v>
      </c>
      <c r="AM70" s="121">
        <f>+Actuals!AJ193</f>
        <v>0</v>
      </c>
      <c r="AN70" s="120">
        <f>+Actuals!AK193</f>
        <v>0</v>
      </c>
      <c r="AO70" s="121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2767229</v>
      </c>
      <c r="F71" s="81">
        <f>'TIE-OUT'!F71+RECLASS!F71</f>
        <v>0</v>
      </c>
      <c r="G71" s="82">
        <f>'TIE-OUT'!G71+RECLASS!G71</f>
        <v>2767229</v>
      </c>
      <c r="H71" s="120">
        <f>+Actuals!E194</f>
        <v>0</v>
      </c>
      <c r="I71" s="121">
        <f>+Actuals!F194</f>
        <v>0</v>
      </c>
      <c r="J71" s="120">
        <f>+Actuals!G194</f>
        <v>0</v>
      </c>
      <c r="K71" s="121">
        <f>+Actuals!H194</f>
        <v>0</v>
      </c>
      <c r="L71" s="120">
        <f>+Actuals!I194</f>
        <v>0</v>
      </c>
      <c r="M71" s="121">
        <f>+Actuals!J194</f>
        <v>0</v>
      </c>
      <c r="N71" s="120">
        <f>+Actuals!K194</f>
        <v>0</v>
      </c>
      <c r="O71" s="121">
        <f>+Actuals!L194</f>
        <v>0</v>
      </c>
      <c r="P71" s="120">
        <f>+Actuals!M194</f>
        <v>0</v>
      </c>
      <c r="Q71" s="121">
        <f>+Actuals!N194</f>
        <v>0</v>
      </c>
      <c r="R71" s="120">
        <f>+Actuals!O194</f>
        <v>0</v>
      </c>
      <c r="S71" s="121">
        <f>+Actuals!P194</f>
        <v>0</v>
      </c>
      <c r="T71" s="120">
        <f>+Actuals!Q194</f>
        <v>0</v>
      </c>
      <c r="U71" s="121">
        <f>+Actuals!R194</f>
        <v>0</v>
      </c>
      <c r="V71" s="120">
        <f>+Actuals!S194</f>
        <v>0</v>
      </c>
      <c r="W71" s="121">
        <f>+Actuals!T194</f>
        <v>0</v>
      </c>
      <c r="X71" s="120">
        <f>+Actuals!U194</f>
        <v>0</v>
      </c>
      <c r="Y71" s="121">
        <f>+Actuals!V194</f>
        <v>0</v>
      </c>
      <c r="Z71" s="120">
        <f>+Actuals!W194</f>
        <v>0</v>
      </c>
      <c r="AA71" s="121">
        <f>+Actuals!X194</f>
        <v>0</v>
      </c>
      <c r="AB71" s="120">
        <f>+Actuals!Y194</f>
        <v>0</v>
      </c>
      <c r="AC71" s="121">
        <f>+Actuals!Z194</f>
        <v>0</v>
      </c>
      <c r="AD71" s="120">
        <f>+Actuals!AA194</f>
        <v>0</v>
      </c>
      <c r="AE71" s="121">
        <f>+Actuals!AB194</f>
        <v>0</v>
      </c>
      <c r="AF71" s="120">
        <f>+Actuals!AC194</f>
        <v>0</v>
      </c>
      <c r="AG71" s="121">
        <f>+Actuals!AD194</f>
        <v>0</v>
      </c>
      <c r="AH71" s="120">
        <f>+Actuals!AE194</f>
        <v>0</v>
      </c>
      <c r="AI71" s="121">
        <f>+Actuals!AF194</f>
        <v>0</v>
      </c>
      <c r="AJ71" s="120">
        <f>+Actuals!AG194</f>
        <v>0</v>
      </c>
      <c r="AK71" s="121">
        <f>+Actuals!AH194</f>
        <v>0</v>
      </c>
      <c r="AL71" s="120">
        <f>+Actuals!AI194</f>
        <v>0</v>
      </c>
      <c r="AM71" s="121">
        <f>+Actuals!AJ194</f>
        <v>0</v>
      </c>
      <c r="AN71" s="120">
        <f>+Actuals!AK194</f>
        <v>0</v>
      </c>
      <c r="AO71" s="121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4535441</v>
      </c>
      <c r="F72" s="61">
        <f t="shared" si="31"/>
        <v>0</v>
      </c>
      <c r="G72" s="39">
        <f t="shared" si="31"/>
        <v>4535441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'TIE-OUT'!F73+RECLASS!F73</f>
        <v>0</v>
      </c>
      <c r="G73" s="60">
        <f>'TIE-OUT'!G73+RECLASS!G73</f>
        <v>0</v>
      </c>
      <c r="H73" s="120">
        <f>+Actuals!E195</f>
        <v>0</v>
      </c>
      <c r="I73" s="121">
        <f>+Actuals!F195</f>
        <v>0</v>
      </c>
      <c r="J73" s="120">
        <f>+Actuals!G195</f>
        <v>0</v>
      </c>
      <c r="K73" s="121">
        <f>+Actuals!H195</f>
        <v>0</v>
      </c>
      <c r="L73" s="120">
        <f>+Actuals!I195</f>
        <v>0</v>
      </c>
      <c r="M73" s="121">
        <f>+Actuals!J195</f>
        <v>0</v>
      </c>
      <c r="N73" s="120">
        <f>+Actuals!K195</f>
        <v>0</v>
      </c>
      <c r="O73" s="121">
        <f>+Actuals!L195</f>
        <v>0</v>
      </c>
      <c r="P73" s="120">
        <f>+Actuals!M195</f>
        <v>0</v>
      </c>
      <c r="Q73" s="121">
        <f>+Actuals!N195</f>
        <v>0</v>
      </c>
      <c r="R73" s="120">
        <f>+Actuals!O195</f>
        <v>0</v>
      </c>
      <c r="S73" s="121">
        <f>+Actuals!P195</f>
        <v>0</v>
      </c>
      <c r="T73" s="120">
        <f>+Actuals!Q195</f>
        <v>0</v>
      </c>
      <c r="U73" s="121">
        <f>+Actuals!R195</f>
        <v>0</v>
      </c>
      <c r="V73" s="120">
        <f>+Actuals!S195</f>
        <v>0</v>
      </c>
      <c r="W73" s="121">
        <f>+Actuals!T195</f>
        <v>0</v>
      </c>
      <c r="X73" s="120">
        <f>+Actuals!U195</f>
        <v>0</v>
      </c>
      <c r="Y73" s="121">
        <f>+Actuals!V195</f>
        <v>0</v>
      </c>
      <c r="Z73" s="120">
        <f>+Actuals!W195</f>
        <v>0</v>
      </c>
      <c r="AA73" s="121">
        <f>+Actuals!X195</f>
        <v>0</v>
      </c>
      <c r="AB73" s="120">
        <f>+Actuals!Y195</f>
        <v>0</v>
      </c>
      <c r="AC73" s="121">
        <f>+Actuals!Z195</f>
        <v>0</v>
      </c>
      <c r="AD73" s="120">
        <f>+Actuals!AA195</f>
        <v>0</v>
      </c>
      <c r="AE73" s="121">
        <f>+Actuals!AB195</f>
        <v>0</v>
      </c>
      <c r="AF73" s="120">
        <f>+Actuals!AC195</f>
        <v>0</v>
      </c>
      <c r="AG73" s="121">
        <f>+Actuals!AD195</f>
        <v>0</v>
      </c>
      <c r="AH73" s="120">
        <f>+Actuals!AE195</f>
        <v>0</v>
      </c>
      <c r="AI73" s="121">
        <f>+Actuals!AF195</f>
        <v>0</v>
      </c>
      <c r="AJ73" s="120">
        <f>+Actuals!AG195</f>
        <v>0</v>
      </c>
      <c r="AK73" s="121">
        <f>+Actuals!AH195</f>
        <v>0</v>
      </c>
      <c r="AL73" s="120">
        <f>+Actuals!AI195</f>
        <v>0</v>
      </c>
      <c r="AM73" s="121">
        <f>+Actuals!AJ195</f>
        <v>0</v>
      </c>
      <c r="AN73" s="120">
        <f>+Actuals!AK195</f>
        <v>0</v>
      </c>
      <c r="AO73" s="121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-6137125</v>
      </c>
      <c r="F74" s="60">
        <f>'TIE-OUT'!F74+RECLASS!F74</f>
        <v>0</v>
      </c>
      <c r="G74" s="60">
        <f>'TIE-OUT'!G74+RECLASS!G74</f>
        <v>-4957192</v>
      </c>
      <c r="H74" s="120">
        <f>+Actuals!E196</f>
        <v>0</v>
      </c>
      <c r="I74" s="121">
        <f>+Actuals!F196</f>
        <v>0</v>
      </c>
      <c r="J74" s="120">
        <f>+Actuals!G196</f>
        <v>0</v>
      </c>
      <c r="K74" s="121">
        <f>+Actuals!H196</f>
        <v>0</v>
      </c>
      <c r="L74" s="120">
        <f>+Actuals!I196</f>
        <v>0</v>
      </c>
      <c r="M74" s="121">
        <f>+Actuals!J196</f>
        <v>0</v>
      </c>
      <c r="N74" s="120">
        <f>+Actuals!K196</f>
        <v>0</v>
      </c>
      <c r="O74" s="141">
        <v>-1179933</v>
      </c>
      <c r="P74" s="120">
        <f>+Actuals!M196</f>
        <v>0</v>
      </c>
      <c r="Q74" s="121"/>
      <c r="R74" s="120">
        <f>+Actuals!O196</f>
        <v>0</v>
      </c>
      <c r="S74" s="121"/>
      <c r="T74" s="120">
        <f>+Actuals!Q196</f>
        <v>0</v>
      </c>
      <c r="U74" s="121">
        <f>+Actuals!R196</f>
        <v>0</v>
      </c>
      <c r="V74" s="120">
        <f>+Actuals!S196</f>
        <v>0</v>
      </c>
      <c r="W74" s="121">
        <f>+Actuals!T196</f>
        <v>0</v>
      </c>
      <c r="X74" s="120">
        <f>+Actuals!U196</f>
        <v>0</v>
      </c>
      <c r="Y74" s="121">
        <f>+Actuals!V196</f>
        <v>0</v>
      </c>
      <c r="Z74" s="120">
        <f>+Actuals!W196</f>
        <v>0</v>
      </c>
      <c r="AA74" s="121">
        <f>+Actuals!X196</f>
        <v>0</v>
      </c>
      <c r="AB74" s="120">
        <f>+Actuals!Y196</f>
        <v>0</v>
      </c>
      <c r="AC74" s="121">
        <f>+Actuals!Z196</f>
        <v>0</v>
      </c>
      <c r="AD74" s="120">
        <f>+Actuals!AA196</f>
        <v>0</v>
      </c>
      <c r="AE74" s="121">
        <f>+Actuals!AB196</f>
        <v>0</v>
      </c>
      <c r="AF74" s="120">
        <f>+Actuals!AC196</f>
        <v>0</v>
      </c>
      <c r="AG74" s="121">
        <f>+Actuals!AD196</f>
        <v>0</v>
      </c>
      <c r="AH74" s="120">
        <f>+Actuals!AE196</f>
        <v>0</v>
      </c>
      <c r="AI74" s="121">
        <f>+Actuals!AF196</f>
        <v>0</v>
      </c>
      <c r="AJ74" s="120">
        <f>+Actuals!AG196</f>
        <v>0</v>
      </c>
      <c r="AK74" s="121">
        <f>+Actuals!AH196</f>
        <v>0</v>
      </c>
      <c r="AL74" s="120">
        <f>+Actuals!AI196</f>
        <v>0</v>
      </c>
      <c r="AM74" s="121">
        <f>+Actuals!AJ196</f>
        <v>0</v>
      </c>
      <c r="AN74" s="120">
        <f>+Actuals!AK196</f>
        <v>0</v>
      </c>
      <c r="AO74" s="121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7500</v>
      </c>
      <c r="F75" s="60">
        <f>'TIE-OUT'!F75+RECLASS!F75</f>
        <v>0</v>
      </c>
      <c r="G75" s="60">
        <f>'TIE-OUT'!G75+RECLASS!G75</f>
        <v>7500</v>
      </c>
      <c r="H75" s="120">
        <f>+Actuals!E197</f>
        <v>0</v>
      </c>
      <c r="I75" s="121">
        <f>+Actuals!F197</f>
        <v>0</v>
      </c>
      <c r="J75" s="120">
        <f>+Actuals!G197</f>
        <v>0</v>
      </c>
      <c r="K75" s="121">
        <f>+Actuals!H197</f>
        <v>0</v>
      </c>
      <c r="L75" s="120">
        <f>+Actuals!I197</f>
        <v>0</v>
      </c>
      <c r="M75" s="121">
        <f>+Actuals!J197</f>
        <v>0</v>
      </c>
      <c r="N75" s="120">
        <f>+Actuals!K197</f>
        <v>0</v>
      </c>
      <c r="O75" s="121">
        <f>+Actuals!L197</f>
        <v>0</v>
      </c>
      <c r="P75" s="120">
        <f>+Actuals!M197</f>
        <v>0</v>
      </c>
      <c r="Q75" s="121">
        <f>+Actuals!N197</f>
        <v>0</v>
      </c>
      <c r="R75" s="120">
        <f>+Actuals!O197</f>
        <v>0</v>
      </c>
      <c r="S75" s="121">
        <f>+Actuals!P197</f>
        <v>0</v>
      </c>
      <c r="T75" s="120">
        <f>+Actuals!Q197</f>
        <v>0</v>
      </c>
      <c r="U75" s="121">
        <f>+Actuals!R197</f>
        <v>0</v>
      </c>
      <c r="V75" s="120">
        <f>+Actuals!S197</f>
        <v>0</v>
      </c>
      <c r="W75" s="121">
        <f>+Actuals!T197</f>
        <v>0</v>
      </c>
      <c r="X75" s="120">
        <f>+Actuals!U197</f>
        <v>0</v>
      </c>
      <c r="Y75" s="121">
        <f>+Actuals!V197</f>
        <v>0</v>
      </c>
      <c r="Z75" s="120">
        <f>+Actuals!W197</f>
        <v>0</v>
      </c>
      <c r="AA75" s="121">
        <f>+Actuals!X197</f>
        <v>0</v>
      </c>
      <c r="AB75" s="120">
        <f>+Actuals!Y197</f>
        <v>0</v>
      </c>
      <c r="AC75" s="121">
        <f>+Actuals!Z197</f>
        <v>0</v>
      </c>
      <c r="AD75" s="120">
        <f>+Actuals!AA197</f>
        <v>0</v>
      </c>
      <c r="AE75" s="121">
        <f>+Actuals!AB197</f>
        <v>0</v>
      </c>
      <c r="AF75" s="120">
        <f>+Actuals!AC197</f>
        <v>0</v>
      </c>
      <c r="AG75" s="121">
        <f>+Actuals!AD197</f>
        <v>0</v>
      </c>
      <c r="AH75" s="120">
        <f>+Actuals!AE197</f>
        <v>0</v>
      </c>
      <c r="AI75" s="121">
        <f>+Actuals!AF197</f>
        <v>0</v>
      </c>
      <c r="AJ75" s="120">
        <f>+Actuals!AG197</f>
        <v>0</v>
      </c>
      <c r="AK75" s="121">
        <f>+Actuals!AH197</f>
        <v>0</v>
      </c>
      <c r="AL75" s="120">
        <f>+Actuals!AI197</f>
        <v>0</v>
      </c>
      <c r="AM75" s="121">
        <f>+Actuals!AJ197</f>
        <v>0</v>
      </c>
      <c r="AN75" s="120">
        <f>+Actuals!AK197</f>
        <v>0</v>
      </c>
      <c r="AO75" s="121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-17214.57</v>
      </c>
      <c r="F76" s="60">
        <f>'TIE-OUT'!F76+RECLASS!F76</f>
        <v>0</v>
      </c>
      <c r="G76" s="60">
        <f>'TIE-OUT'!G76+RECLASS!G76</f>
        <v>0</v>
      </c>
      <c r="H76" s="120">
        <f>+Actuals!E198</f>
        <v>0</v>
      </c>
      <c r="I76" s="121">
        <f>+Actuals!F198</f>
        <v>-15001.18</v>
      </c>
      <c r="J76" s="120">
        <f>+Actuals!G198</f>
        <v>0</v>
      </c>
      <c r="K76" s="121">
        <f>+Actuals!H198</f>
        <v>-2213.39</v>
      </c>
      <c r="L76" s="120">
        <f>+Actuals!I198</f>
        <v>0</v>
      </c>
      <c r="M76" s="121">
        <f>+Actuals!J198</f>
        <v>0</v>
      </c>
      <c r="N76" s="120">
        <f>+Actuals!K198</f>
        <v>0</v>
      </c>
      <c r="O76" s="121">
        <f>+Actuals!L198</f>
        <v>0</v>
      </c>
      <c r="P76" s="120">
        <f>+Actuals!M198</f>
        <v>0</v>
      </c>
      <c r="Q76" s="121">
        <f>+Actuals!N198</f>
        <v>0</v>
      </c>
      <c r="R76" s="120">
        <f>+Actuals!O198</f>
        <v>0</v>
      </c>
      <c r="S76" s="121">
        <f>+Actuals!P198</f>
        <v>0</v>
      </c>
      <c r="T76" s="120">
        <f>+Actuals!Q198</f>
        <v>0</v>
      </c>
      <c r="U76" s="121">
        <f>+Actuals!R198</f>
        <v>0</v>
      </c>
      <c r="V76" s="120">
        <f>+Actuals!S198</f>
        <v>0</v>
      </c>
      <c r="W76" s="121">
        <f>+Actuals!T198</f>
        <v>0</v>
      </c>
      <c r="X76" s="120">
        <f>+Actuals!U198</f>
        <v>0</v>
      </c>
      <c r="Y76" s="121">
        <f>+Actuals!V198</f>
        <v>0</v>
      </c>
      <c r="Z76" s="120">
        <f>+Actuals!W198</f>
        <v>0</v>
      </c>
      <c r="AA76" s="121">
        <f>+Actuals!X198</f>
        <v>0</v>
      </c>
      <c r="AB76" s="120">
        <f>+Actuals!Y198</f>
        <v>0</v>
      </c>
      <c r="AC76" s="121">
        <f>+Actuals!Z198</f>
        <v>0</v>
      </c>
      <c r="AD76" s="120">
        <f>+Actuals!AA198</f>
        <v>0</v>
      </c>
      <c r="AE76" s="121">
        <f>+Actuals!AB198</f>
        <v>0</v>
      </c>
      <c r="AF76" s="120">
        <f>+Actuals!AC198</f>
        <v>0</v>
      </c>
      <c r="AG76" s="121">
        <f>+Actuals!AD198</f>
        <v>0</v>
      </c>
      <c r="AH76" s="120">
        <f>+Actuals!AE198</f>
        <v>0</v>
      </c>
      <c r="AI76" s="121">
        <f>+Actuals!AF198</f>
        <v>0</v>
      </c>
      <c r="AJ76" s="120">
        <f>+Actuals!AG198</f>
        <v>0</v>
      </c>
      <c r="AK76" s="121">
        <f>+Actuals!AH198</f>
        <v>0</v>
      </c>
      <c r="AL76" s="120">
        <f>+Actuals!AI198</f>
        <v>0</v>
      </c>
      <c r="AM76" s="121">
        <f>+Actuals!AJ198</f>
        <v>0</v>
      </c>
      <c r="AN76" s="120">
        <f>+Actuals!AK198</f>
        <v>0</v>
      </c>
      <c r="AO76" s="121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'TIE-OUT'!F77+RECLASS!F77</f>
        <v>0</v>
      </c>
      <c r="G77" s="60">
        <f>'TIE-OUT'!G77+RECLASS!G77</f>
        <v>0</v>
      </c>
      <c r="H77" s="120">
        <f>+Actuals!E199</f>
        <v>0</v>
      </c>
      <c r="I77" s="121">
        <f>+Actuals!F199</f>
        <v>0</v>
      </c>
      <c r="J77" s="120">
        <f>+Actuals!G199</f>
        <v>0</v>
      </c>
      <c r="K77" s="121">
        <f>+Actuals!H199</f>
        <v>0</v>
      </c>
      <c r="L77" s="120">
        <f>+Actuals!I199</f>
        <v>0</v>
      </c>
      <c r="M77" s="121">
        <f>+Actuals!J199</f>
        <v>0</v>
      </c>
      <c r="N77" s="120">
        <f>+Actuals!K199</f>
        <v>0</v>
      </c>
      <c r="O77" s="121">
        <f>+Actuals!L199</f>
        <v>0</v>
      </c>
      <c r="P77" s="120">
        <f>+Actuals!M199</f>
        <v>0</v>
      </c>
      <c r="Q77" s="121">
        <f>+Actuals!N199</f>
        <v>0</v>
      </c>
      <c r="R77" s="120">
        <f>+Actuals!O199</f>
        <v>0</v>
      </c>
      <c r="S77" s="121">
        <f>+Actuals!P199</f>
        <v>0</v>
      </c>
      <c r="T77" s="120">
        <f>+Actuals!Q199</f>
        <v>0</v>
      </c>
      <c r="U77" s="121">
        <f>+Actuals!R199</f>
        <v>0</v>
      </c>
      <c r="V77" s="120">
        <f>+Actuals!S199</f>
        <v>0</v>
      </c>
      <c r="W77" s="121">
        <f>+Actuals!T199</f>
        <v>0</v>
      </c>
      <c r="X77" s="120">
        <f>+Actuals!U199</f>
        <v>0</v>
      </c>
      <c r="Y77" s="121">
        <f>+Actuals!V199</f>
        <v>0</v>
      </c>
      <c r="Z77" s="120">
        <f>+Actuals!W199</f>
        <v>0</v>
      </c>
      <c r="AA77" s="121">
        <f>+Actuals!X199</f>
        <v>0</v>
      </c>
      <c r="AB77" s="120">
        <f>+Actuals!Y199</f>
        <v>0</v>
      </c>
      <c r="AC77" s="121">
        <f>+Actuals!Z199</f>
        <v>0</v>
      </c>
      <c r="AD77" s="120">
        <f>+Actuals!AA199</f>
        <v>0</v>
      </c>
      <c r="AE77" s="121">
        <f>+Actuals!AB199</f>
        <v>0</v>
      </c>
      <c r="AF77" s="120">
        <f>+Actuals!AC199</f>
        <v>0</v>
      </c>
      <c r="AG77" s="121">
        <f>+Actuals!AD199</f>
        <v>0</v>
      </c>
      <c r="AH77" s="120">
        <f>+Actuals!AE199</f>
        <v>0</v>
      </c>
      <c r="AI77" s="121">
        <f>+Actuals!AF199</f>
        <v>0</v>
      </c>
      <c r="AJ77" s="120">
        <f>+Actuals!AG199</f>
        <v>0</v>
      </c>
      <c r="AK77" s="121">
        <f>+Actuals!AH199</f>
        <v>0</v>
      </c>
      <c r="AL77" s="120">
        <f>+Actuals!AI199</f>
        <v>0</v>
      </c>
      <c r="AM77" s="121">
        <f>+Actuals!AJ199</f>
        <v>0</v>
      </c>
      <c r="AN77" s="120">
        <f>+Actuals!AK199</f>
        <v>0</v>
      </c>
      <c r="AO77" s="121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'TIE-OUT'!F78+RECLASS!F78</f>
        <v>0</v>
      </c>
      <c r="G78" s="60">
        <f>'TIE-OUT'!G78+RECLASS!G78</f>
        <v>0</v>
      </c>
      <c r="H78" s="120">
        <f>+Actuals!E200</f>
        <v>0</v>
      </c>
      <c r="I78" s="121">
        <f>+Actuals!F200</f>
        <v>0</v>
      </c>
      <c r="J78" s="120">
        <f>+Actuals!G200</f>
        <v>0</v>
      </c>
      <c r="K78" s="121">
        <f>+Actuals!H200</f>
        <v>0</v>
      </c>
      <c r="L78" s="120">
        <f>+Actuals!I200</f>
        <v>0</v>
      </c>
      <c r="M78" s="121">
        <f>+Actuals!J200</f>
        <v>0</v>
      </c>
      <c r="N78" s="120">
        <f>+Actuals!K200</f>
        <v>0</v>
      </c>
      <c r="O78" s="121">
        <f>+Actuals!L200</f>
        <v>0</v>
      </c>
      <c r="P78" s="120">
        <f>+Actuals!M200</f>
        <v>0</v>
      </c>
      <c r="Q78" s="121">
        <f>+Actuals!N200</f>
        <v>0</v>
      </c>
      <c r="R78" s="120">
        <f>+Actuals!O200</f>
        <v>0</v>
      </c>
      <c r="S78" s="121">
        <f>+Actuals!P200</f>
        <v>0</v>
      </c>
      <c r="T78" s="120">
        <f>+Actuals!Q200</f>
        <v>0</v>
      </c>
      <c r="U78" s="121">
        <f>+Actuals!R200</f>
        <v>0</v>
      </c>
      <c r="V78" s="120">
        <f>+Actuals!S200</f>
        <v>0</v>
      </c>
      <c r="W78" s="121">
        <f>+Actuals!T200</f>
        <v>0</v>
      </c>
      <c r="X78" s="120">
        <f>+Actuals!U200</f>
        <v>0</v>
      </c>
      <c r="Y78" s="121">
        <f>+Actuals!V200</f>
        <v>0</v>
      </c>
      <c r="Z78" s="120">
        <f>+Actuals!W200</f>
        <v>0</v>
      </c>
      <c r="AA78" s="121">
        <f>+Actuals!X200</f>
        <v>0</v>
      </c>
      <c r="AB78" s="120">
        <f>+Actuals!Y200</f>
        <v>0</v>
      </c>
      <c r="AC78" s="121">
        <f>+Actuals!Z200</f>
        <v>0</v>
      </c>
      <c r="AD78" s="120">
        <f>+Actuals!AA200</f>
        <v>0</v>
      </c>
      <c r="AE78" s="121">
        <f>+Actuals!AB200</f>
        <v>0</v>
      </c>
      <c r="AF78" s="120">
        <f>+Actuals!AC200</f>
        <v>0</v>
      </c>
      <c r="AG78" s="121">
        <f>+Actuals!AD200</f>
        <v>0</v>
      </c>
      <c r="AH78" s="120">
        <f>+Actuals!AE200</f>
        <v>0</v>
      </c>
      <c r="AI78" s="121">
        <f>+Actuals!AF200</f>
        <v>0</v>
      </c>
      <c r="AJ78" s="120">
        <f>+Actuals!AG200</f>
        <v>0</v>
      </c>
      <c r="AK78" s="121">
        <f>+Actuals!AH200</f>
        <v>0</v>
      </c>
      <c r="AL78" s="120">
        <f>+Actuals!AI200</f>
        <v>0</v>
      </c>
      <c r="AM78" s="121">
        <f>+Actuals!AJ200</f>
        <v>0</v>
      </c>
      <c r="AN78" s="120">
        <f>+Actuals!AK200</f>
        <v>0</v>
      </c>
      <c r="AO78" s="121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'TIE-OUT'!F79+RECLASS!F79</f>
        <v>0</v>
      </c>
      <c r="G79" s="60">
        <f>'TIE-OUT'!G79+RECLASS!G79</f>
        <v>0</v>
      </c>
      <c r="H79" s="120">
        <f>+Actuals!E201</f>
        <v>0</v>
      </c>
      <c r="I79" s="121">
        <f>+Actuals!F201</f>
        <v>0</v>
      </c>
      <c r="J79" s="120">
        <f>+Actuals!G201</f>
        <v>0</v>
      </c>
      <c r="K79" s="121">
        <f>+Actuals!H201</f>
        <v>0</v>
      </c>
      <c r="L79" s="120">
        <f>+Actuals!I201</f>
        <v>0</v>
      </c>
      <c r="M79" s="121">
        <f>+Actuals!J201</f>
        <v>0</v>
      </c>
      <c r="N79" s="120">
        <f>+Actuals!K201</f>
        <v>0</v>
      </c>
      <c r="O79" s="121">
        <f>+Actuals!L201</f>
        <v>0</v>
      </c>
      <c r="P79" s="120">
        <f>+Actuals!M201</f>
        <v>0</v>
      </c>
      <c r="Q79" s="121">
        <f>+Actuals!N201</f>
        <v>0</v>
      </c>
      <c r="R79" s="120">
        <f>+Actuals!O201</f>
        <v>0</v>
      </c>
      <c r="S79" s="121">
        <f>+Actuals!P201</f>
        <v>0</v>
      </c>
      <c r="T79" s="120">
        <f>+Actuals!Q201</f>
        <v>0</v>
      </c>
      <c r="U79" s="121">
        <f>+Actuals!R201</f>
        <v>0</v>
      </c>
      <c r="V79" s="120">
        <f>+Actuals!S201</f>
        <v>0</v>
      </c>
      <c r="W79" s="121">
        <f>+Actuals!T201</f>
        <v>0</v>
      </c>
      <c r="X79" s="120">
        <f>+Actuals!U201</f>
        <v>0</v>
      </c>
      <c r="Y79" s="121">
        <f>+Actuals!V201</f>
        <v>0</v>
      </c>
      <c r="Z79" s="120">
        <f>+Actuals!W201</f>
        <v>0</v>
      </c>
      <c r="AA79" s="121">
        <f>+Actuals!X201</f>
        <v>0</v>
      </c>
      <c r="AB79" s="120">
        <f>+Actuals!Y201</f>
        <v>0</v>
      </c>
      <c r="AC79" s="121">
        <f>+Actuals!Z201</f>
        <v>0</v>
      </c>
      <c r="AD79" s="120">
        <f>+Actuals!AA201</f>
        <v>0</v>
      </c>
      <c r="AE79" s="121">
        <f>+Actuals!AB201</f>
        <v>0</v>
      </c>
      <c r="AF79" s="120">
        <f>+Actuals!AC201</f>
        <v>0</v>
      </c>
      <c r="AG79" s="121">
        <f>+Actuals!AD201</f>
        <v>0</v>
      </c>
      <c r="AH79" s="120">
        <f>+Actuals!AE201</f>
        <v>0</v>
      </c>
      <c r="AI79" s="121">
        <f>+Actuals!AF201</f>
        <v>0</v>
      </c>
      <c r="AJ79" s="120">
        <f>+Actuals!AG201</f>
        <v>0</v>
      </c>
      <c r="AK79" s="121">
        <f>+Actuals!AH201</f>
        <v>0</v>
      </c>
      <c r="AL79" s="120">
        <f>+Actuals!AI201</f>
        <v>0</v>
      </c>
      <c r="AM79" s="121">
        <f>+Actuals!AJ201</f>
        <v>0</v>
      </c>
      <c r="AN79" s="120">
        <f>+Actuals!AK201</f>
        <v>0</v>
      </c>
      <c r="AO79" s="121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'TIE-OUT'!F80+RECLASS!F80</f>
        <v>0</v>
      </c>
      <c r="G80" s="60">
        <f>'TIE-OUT'!G80+RECLASS!G80</f>
        <v>0</v>
      </c>
      <c r="H80" s="120">
        <f>+Actuals!E202</f>
        <v>0</v>
      </c>
      <c r="I80" s="121">
        <f>+Actuals!F202</f>
        <v>0</v>
      </c>
      <c r="J80" s="120">
        <f>+Actuals!G202</f>
        <v>0</v>
      </c>
      <c r="K80" s="121">
        <f>+Actuals!H202</f>
        <v>0</v>
      </c>
      <c r="L80" s="120">
        <f>+Actuals!I202</f>
        <v>0</v>
      </c>
      <c r="M80" s="121">
        <f>+Actuals!J202</f>
        <v>0</v>
      </c>
      <c r="N80" s="120">
        <f>+Actuals!K202</f>
        <v>0</v>
      </c>
      <c r="O80" s="121">
        <f>+Actuals!L202</f>
        <v>0</v>
      </c>
      <c r="P80" s="120">
        <f>+Actuals!M202</f>
        <v>0</v>
      </c>
      <c r="Q80" s="121">
        <f>+Actuals!N202</f>
        <v>0</v>
      </c>
      <c r="R80" s="120">
        <f>+Actuals!O202</f>
        <v>0</v>
      </c>
      <c r="S80" s="121">
        <f>+Actuals!P202</f>
        <v>0</v>
      </c>
      <c r="T80" s="120">
        <f>+Actuals!Q202</f>
        <v>0</v>
      </c>
      <c r="U80" s="121">
        <f>+Actuals!R202</f>
        <v>0</v>
      </c>
      <c r="V80" s="120">
        <f>+Actuals!S202</f>
        <v>0</v>
      </c>
      <c r="W80" s="121">
        <f>+Actuals!T202</f>
        <v>0</v>
      </c>
      <c r="X80" s="120">
        <f>+Actuals!U202</f>
        <v>0</v>
      </c>
      <c r="Y80" s="121">
        <f>+Actuals!V202</f>
        <v>0</v>
      </c>
      <c r="Z80" s="120">
        <f>+Actuals!W202</f>
        <v>0</v>
      </c>
      <c r="AA80" s="121">
        <f>+Actuals!X202</f>
        <v>0</v>
      </c>
      <c r="AB80" s="120">
        <f>+Actuals!Y202</f>
        <v>0</v>
      </c>
      <c r="AC80" s="121">
        <f>+Actuals!Z202</f>
        <v>0</v>
      </c>
      <c r="AD80" s="120">
        <f>+Actuals!AA202</f>
        <v>0</v>
      </c>
      <c r="AE80" s="121">
        <f>+Actuals!AB202</f>
        <v>0</v>
      </c>
      <c r="AF80" s="120">
        <f>+Actuals!AC202</f>
        <v>0</v>
      </c>
      <c r="AG80" s="121">
        <f>+Actuals!AD202</f>
        <v>0</v>
      </c>
      <c r="AH80" s="120">
        <f>+Actuals!AE202</f>
        <v>0</v>
      </c>
      <c r="AI80" s="121">
        <f>+Actuals!AF202</f>
        <v>0</v>
      </c>
      <c r="AJ80" s="120">
        <f>+Actuals!AG202</f>
        <v>0</v>
      </c>
      <c r="AK80" s="121">
        <f>+Actuals!AH202</f>
        <v>0</v>
      </c>
      <c r="AL80" s="120">
        <f>+Actuals!AI202</f>
        <v>0</v>
      </c>
      <c r="AM80" s="121">
        <f>+Actuals!AJ202</f>
        <v>0</v>
      </c>
      <c r="AN80" s="120">
        <f>+Actuals!AK202</f>
        <v>0</v>
      </c>
      <c r="AO80" s="121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60">
        <f>'TIE-OUT'!F81+RECLASS!F81</f>
        <v>0</v>
      </c>
      <c r="G81" s="60">
        <f>'TIE-OUT'!G81+RECLASS!G81</f>
        <v>0</v>
      </c>
      <c r="H81" s="120">
        <f>+Actuals!E203</f>
        <v>0</v>
      </c>
      <c r="I81" s="121">
        <f>+Actuals!F203</f>
        <v>0</v>
      </c>
      <c r="J81" s="120">
        <f>+Actuals!G203</f>
        <v>0</v>
      </c>
      <c r="K81" s="121">
        <f>+Actuals!H203</f>
        <v>0</v>
      </c>
      <c r="L81" s="120">
        <f>+Actuals!I203</f>
        <v>0</v>
      </c>
      <c r="M81" s="121">
        <f>+Actuals!J203</f>
        <v>0</v>
      </c>
      <c r="N81" s="120">
        <f>+Actuals!K203</f>
        <v>0</v>
      </c>
      <c r="O81" s="121">
        <f>+Actuals!L203</f>
        <v>0</v>
      </c>
      <c r="P81" s="120">
        <f>+Actuals!M203</f>
        <v>0</v>
      </c>
      <c r="Q81" s="121">
        <f>+Actuals!N203</f>
        <v>0</v>
      </c>
      <c r="R81" s="120">
        <f>+Actuals!O203</f>
        <v>0</v>
      </c>
      <c r="S81" s="121">
        <f>+Actuals!P203</f>
        <v>0</v>
      </c>
      <c r="T81" s="120">
        <f>+Actuals!Q203</f>
        <v>0</v>
      </c>
      <c r="U81" s="121">
        <f>+Actuals!R203</f>
        <v>0</v>
      </c>
      <c r="V81" s="120">
        <f>+Actuals!S203</f>
        <v>0</v>
      </c>
      <c r="W81" s="121">
        <f>+Actuals!T203</f>
        <v>0</v>
      </c>
      <c r="X81" s="120">
        <f>+Actuals!U203</f>
        <v>0</v>
      </c>
      <c r="Y81" s="121">
        <f>+Actuals!V203</f>
        <v>0</v>
      </c>
      <c r="Z81" s="120">
        <f>+Actuals!W203</f>
        <v>0</v>
      </c>
      <c r="AA81" s="121">
        <f>+Actuals!X203</f>
        <v>0</v>
      </c>
      <c r="AB81" s="120">
        <f>+Actuals!Y203</f>
        <v>0</v>
      </c>
      <c r="AC81" s="121">
        <f>+Actuals!Z203</f>
        <v>0</v>
      </c>
      <c r="AD81" s="120">
        <f>+Actuals!AA203</f>
        <v>0</v>
      </c>
      <c r="AE81" s="121">
        <f>+Actuals!AB203</f>
        <v>0</v>
      </c>
      <c r="AF81" s="120">
        <f>+Actuals!AC203</f>
        <v>0</v>
      </c>
      <c r="AG81" s="121">
        <f>+Actuals!AD203</f>
        <v>0</v>
      </c>
      <c r="AH81" s="120">
        <f>+Actuals!AE203</f>
        <v>0</v>
      </c>
      <c r="AI81" s="121">
        <f>+Actuals!AF203</f>
        <v>0</v>
      </c>
      <c r="AJ81" s="120">
        <f>+Actuals!AG203</f>
        <v>0</v>
      </c>
      <c r="AK81" s="121">
        <f>+Actuals!AH203</f>
        <v>0</v>
      </c>
      <c r="AL81" s="120">
        <f>+Actuals!AI203</f>
        <v>0</v>
      </c>
      <c r="AM81" s="121">
        <f>+Actuals!AJ203</f>
        <v>0</v>
      </c>
      <c r="AN81" s="120">
        <f>+Actuals!AK203</f>
        <v>0</v>
      </c>
      <c r="AO81" s="121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846745.02100002766</v>
      </c>
      <c r="F82" s="91">
        <f>F16+F24+F29+F36+F43+F45+F47+F49</f>
        <v>0</v>
      </c>
      <c r="G82" s="92">
        <f>SUM(G72:G81)+G16+G24+G29+G36+G43+G45+G47+G49+G51+G56+G61+G66</f>
        <v>3361820.5000000005</v>
      </c>
      <c r="H82" s="91">
        <f>H16+H24+H29+H36+H43+H45+H47+H49</f>
        <v>0</v>
      </c>
      <c r="I82" s="139">
        <f>SUM(I72:I81)+I16+I24+I29+I36+I43+I45+I47+I49+I51+I56+I61+I66</f>
        <v>-4330694.4859999847</v>
      </c>
      <c r="J82" s="91">
        <f>J16+J24+J29+J36+J43+J45+J47+J49</f>
        <v>0</v>
      </c>
      <c r="K82" s="139">
        <f>SUM(K72:K81)+K16+K24+K29+K36+K43+K45+K47+K49+K51+K56+K61+K66</f>
        <v>4760962.0539999967</v>
      </c>
      <c r="L82" s="91">
        <f>L16+L24+L29+L36+L43+L45+L47+L49</f>
        <v>0</v>
      </c>
      <c r="M82" s="92">
        <f>SUM(M72:M81)+M16+M24+M29+M36+M43+M45+M47+M49+M51+M56+M61+M66</f>
        <v>-122586.2980000002</v>
      </c>
      <c r="N82" s="91">
        <f>N16+N24+N29+N36+N43+N45+N47+N49</f>
        <v>0</v>
      </c>
      <c r="O82" s="92">
        <f>SUM(O72:O81)+O16+O24+O29+O36+O43+O45+O47+O49+O51+O56+O61+O66</f>
        <v>-631256.88699999964</v>
      </c>
      <c r="P82" s="91">
        <f>P16+P24+P29+P36+P43+P45+P47+P49</f>
        <v>0</v>
      </c>
      <c r="Q82" s="92">
        <f>SUM(Q72:Q81)+Q16+Q24+Q29+Q36+Q43+Q45+Q47+Q49+Q51+Q56+Q61+Q66</f>
        <v>-416219.05400000012</v>
      </c>
      <c r="R82" s="91">
        <f>R16+R24+R29+R36+R43+R45+R47+R49</f>
        <v>0</v>
      </c>
      <c r="S82" s="92">
        <f>SUM(S72:S81)+S16+S24+S29+S36+S43+S45+S47+S49+S51+S56+S61+S66</f>
        <v>-268242.85200000001</v>
      </c>
      <c r="T82" s="91">
        <f>T16+T24+T29+T36+T43+T45+T47+T49</f>
        <v>0</v>
      </c>
      <c r="U82" s="92">
        <f>SUM(U72:U81)+U16+U24+U29+U36+U43+U45+U47+U49+U51+U56+U61+U66</f>
        <v>240501.53399999894</v>
      </c>
      <c r="V82" s="91">
        <f>V16+V24+V29+V36+V43+V45+V47+V49</f>
        <v>0</v>
      </c>
      <c r="W82" s="92">
        <f>SUM(W72:W81)+W16+W24+W29+W36+W43+W45+W47+W49+W51+W56+W61+W66</f>
        <v>-1737202.4800000002</v>
      </c>
      <c r="X82" s="91">
        <f>X16+X24+X29+X36+X43+X45+X47+X49</f>
        <v>0</v>
      </c>
      <c r="Y82" s="92">
        <f>SUM(Y72:Y81)+Y16+Y24+Y29+Y36+Y43+Y45+Y47+Y49+Y51+Y56+Y61+Y66</f>
        <v>-2102764.8899999997</v>
      </c>
      <c r="Z82" s="91">
        <f>Z16+Z24+Z29+Z36+Z43+Z45+Z47+Z49</f>
        <v>0</v>
      </c>
      <c r="AA82" s="92">
        <f>SUM(AA72:AA81)+AA16+AA24+AA29+AA36+AA43+AA45+AA47+AA49+AA51+AA56+AA61+AA66</f>
        <v>2092427.8800000001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V179"/>
  <sheetViews>
    <sheetView zoomScale="75" workbookViewId="0">
      <pane xSplit="3" ySplit="9" topLeftCell="S56" activePane="bottomRight" state="frozen"/>
      <selection activeCell="Z9" sqref="Z9"/>
      <selection pane="topRight" activeCell="Z9" sqref="Z9"/>
      <selection pane="bottomLeft" activeCell="Z9" sqref="Z9"/>
      <selection pane="bottomRight" activeCell="AA88" sqref="AA8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5374611</v>
      </c>
      <c r="E11" s="38">
        <f>SUM(G11,I11,K11,M11,O11,Q11,S11,U11,W11,Y11,AA11,AC11,AE11)</f>
        <v>17033526.460000001</v>
      </c>
      <c r="F11" s="60">
        <f>'TIE-OUT'!AD11+RECLASS!AD11</f>
        <v>0</v>
      </c>
      <c r="G11" s="38">
        <f>'TIE-OUT'!AE11+RECLASS!AE11</f>
        <v>0</v>
      </c>
      <c r="H11" s="120">
        <f>+Actuals!E404</f>
        <v>5376098</v>
      </c>
      <c r="I11" s="120">
        <f>+Actuals!F404</f>
        <v>14363329.58</v>
      </c>
      <c r="J11" s="120">
        <f>+Actuals!G404</f>
        <v>18283</v>
      </c>
      <c r="K11" s="120">
        <f>+Actuals!H404</f>
        <v>2304980.7400000002</v>
      </c>
      <c r="L11" s="120">
        <f>+Actuals!I404</f>
        <v>0</v>
      </c>
      <c r="M11" s="120">
        <f>+Actuals!J404</f>
        <v>0</v>
      </c>
      <c r="N11" s="120">
        <f>+Actuals!K404</f>
        <v>-19770</v>
      </c>
      <c r="O11" s="120">
        <f>+Actuals!L404</f>
        <v>-45826.86</v>
      </c>
      <c r="P11" s="120">
        <f>+Actuals!M404</f>
        <v>0</v>
      </c>
      <c r="Q11" s="120">
        <f>+Actuals!N404</f>
        <v>0</v>
      </c>
      <c r="R11" s="120">
        <f>+Actuals!O404</f>
        <v>0</v>
      </c>
      <c r="S11" s="120">
        <f>+Actuals!P404</f>
        <v>271644</v>
      </c>
      <c r="T11" s="120">
        <f>+Actuals!Q404</f>
        <v>0</v>
      </c>
      <c r="U11" s="120">
        <f>+Actuals!R404</f>
        <v>0</v>
      </c>
      <c r="V11" s="120">
        <f>+Actuals!S404</f>
        <v>0</v>
      </c>
      <c r="W11" s="120">
        <f>+Actuals!T404</f>
        <v>0</v>
      </c>
      <c r="X11" s="120">
        <f>+Actuals!U404</f>
        <v>0</v>
      </c>
      <c r="Y11" s="120">
        <f>+Actuals!V404</f>
        <v>0</v>
      </c>
      <c r="Z11" s="120">
        <f>+Actuals!W404</f>
        <v>0</v>
      </c>
      <c r="AA11" s="120">
        <v>139399</v>
      </c>
      <c r="AB11" s="120">
        <f>+Actuals!Y404</f>
        <v>0</v>
      </c>
      <c r="AC11" s="120">
        <f>+Actuals!Z404</f>
        <v>0</v>
      </c>
      <c r="AD11" s="120">
        <f>+Actuals!AA404</f>
        <v>0</v>
      </c>
      <c r="AE11" s="120">
        <f>+Actuals!AB404</f>
        <v>0</v>
      </c>
      <c r="AF11" s="120">
        <f>+Actuals!AC404</f>
        <v>0</v>
      </c>
      <c r="AG11" s="120">
        <f>+Actuals!AD404</f>
        <v>0</v>
      </c>
      <c r="AH11" s="120">
        <f>+Actuals!AE404</f>
        <v>0</v>
      </c>
      <c r="AI11" s="120">
        <f>+Actuals!AF404</f>
        <v>0</v>
      </c>
      <c r="AJ11" s="120">
        <f>+Actuals!AG404</f>
        <v>0</v>
      </c>
      <c r="AK11" s="120">
        <f>+Actuals!AH404</f>
        <v>0</v>
      </c>
      <c r="AL11" s="120">
        <f>+Actuals!AI404</f>
        <v>0</v>
      </c>
      <c r="AM11" s="120">
        <f>+Actuals!AJ404</f>
        <v>0</v>
      </c>
      <c r="AN11" s="120">
        <f>+Actuals!AK404</f>
        <v>0</v>
      </c>
      <c r="AO11" s="120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-5288275.82</v>
      </c>
      <c r="F12" s="60">
        <f>'TIE-OUT'!AD12+RECLASS!AD12</f>
        <v>0</v>
      </c>
      <c r="G12" s="38">
        <f>'TIE-OUT'!AE12+RECLASS!AE12</f>
        <v>-5277775.82</v>
      </c>
      <c r="H12" s="120">
        <f>+Actuals!E405</f>
        <v>0</v>
      </c>
      <c r="I12" s="120">
        <f>+Actuals!F405</f>
        <v>0</v>
      </c>
      <c r="J12" s="120">
        <f>+Actuals!G405</f>
        <v>0</v>
      </c>
      <c r="K12" s="220">
        <v>-10500</v>
      </c>
      <c r="L12" s="120">
        <f>+Actuals!I405</f>
        <v>0</v>
      </c>
      <c r="M12" s="120">
        <f>+Actuals!J405</f>
        <v>0</v>
      </c>
      <c r="N12" s="120">
        <f>+Actuals!K405</f>
        <v>0</v>
      </c>
      <c r="O12" s="120">
        <f>+Actuals!L405</f>
        <v>0</v>
      </c>
      <c r="P12" s="120">
        <f>+Actuals!M405</f>
        <v>0</v>
      </c>
      <c r="Q12" s="120">
        <f>+Actuals!N405</f>
        <v>0</v>
      </c>
      <c r="R12" s="120">
        <f>+Actuals!O405</f>
        <v>0</v>
      </c>
      <c r="S12" s="120">
        <f>+Actuals!P405</f>
        <v>0</v>
      </c>
      <c r="T12" s="120">
        <f>+Actuals!Q405</f>
        <v>0</v>
      </c>
      <c r="U12" s="120">
        <f>+Actuals!R405</f>
        <v>0</v>
      </c>
      <c r="V12" s="120">
        <f>+Actuals!S405</f>
        <v>0</v>
      </c>
      <c r="W12" s="120">
        <f>+Actuals!T405</f>
        <v>0</v>
      </c>
      <c r="X12" s="120">
        <f>+Actuals!U405</f>
        <v>0</v>
      </c>
      <c r="Y12" s="120">
        <f>+Actuals!V405</f>
        <v>0</v>
      </c>
      <c r="Z12" s="120">
        <f>+Actuals!W405</f>
        <v>0</v>
      </c>
      <c r="AA12" s="120">
        <f>+Actuals!X405</f>
        <v>0</v>
      </c>
      <c r="AB12" s="120">
        <f>+Actuals!Y405</f>
        <v>0</v>
      </c>
      <c r="AC12" s="120">
        <f>+Actuals!Z405</f>
        <v>0</v>
      </c>
      <c r="AD12" s="120">
        <f>+Actuals!AA405</f>
        <v>0</v>
      </c>
      <c r="AE12" s="120">
        <f>+Actuals!AB405</f>
        <v>0</v>
      </c>
      <c r="AF12" s="120">
        <f>+Actuals!AC405</f>
        <v>0</v>
      </c>
      <c r="AG12" s="120">
        <f>+Actuals!AD405</f>
        <v>0</v>
      </c>
      <c r="AH12" s="120">
        <f>+Actuals!AE405</f>
        <v>0</v>
      </c>
      <c r="AI12" s="120">
        <f>+Actuals!AF405</f>
        <v>0</v>
      </c>
      <c r="AJ12" s="120">
        <f>+Actuals!AG405</f>
        <v>0</v>
      </c>
      <c r="AK12" s="120">
        <f>+Actuals!AH405</f>
        <v>0</v>
      </c>
      <c r="AL12" s="120">
        <f>+Actuals!AI405</f>
        <v>0</v>
      </c>
      <c r="AM12" s="120">
        <f>+Actuals!AJ405</f>
        <v>0</v>
      </c>
      <c r="AN12" s="120">
        <f>+Actuals!AK405</f>
        <v>0</v>
      </c>
      <c r="AO12" s="120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6498714</v>
      </c>
      <c r="E13" s="38">
        <f t="shared" si="0"/>
        <v>15325359</v>
      </c>
      <c r="F13" s="60">
        <f>'TIE-OUT'!AD13+RECLASS!AD13</f>
        <v>0</v>
      </c>
      <c r="G13" s="38">
        <f>'TIE-OUT'!AE13+RECLASS!AE13</f>
        <v>0</v>
      </c>
      <c r="H13" s="120">
        <f>+Actuals!E406</f>
        <v>4948714</v>
      </c>
      <c r="I13" s="120">
        <f>+Actuals!F406</f>
        <v>11845609</v>
      </c>
      <c r="J13" s="120">
        <f>+Actuals!G406</f>
        <v>-4806553</v>
      </c>
      <c r="K13" s="120">
        <f>+Actuals!H406</f>
        <v>-11490953</v>
      </c>
      <c r="L13" s="120">
        <f>+Actuals!I406</f>
        <v>88292</v>
      </c>
      <c r="M13" s="120">
        <f>+Actuals!J406</f>
        <v>222750</v>
      </c>
      <c r="N13" s="120">
        <f>+Actuals!K406</f>
        <v>0</v>
      </c>
      <c r="O13" s="120">
        <f>+Actuals!L406</f>
        <v>0</v>
      </c>
      <c r="P13" s="120">
        <f>+Actuals!M406</f>
        <v>0</v>
      </c>
      <c r="Q13" s="120">
        <f>+Actuals!N406</f>
        <v>0</v>
      </c>
      <c r="R13" s="120">
        <f>+Actuals!O406</f>
        <v>0</v>
      </c>
      <c r="S13" s="120">
        <f>+Actuals!P406</f>
        <v>0</v>
      </c>
      <c r="T13" s="120">
        <f>+Actuals!Q406</f>
        <v>6268261</v>
      </c>
      <c r="U13" s="120">
        <f>+Actuals!R406</f>
        <v>14747953</v>
      </c>
      <c r="V13" s="120">
        <f>+Actuals!S406</f>
        <v>0</v>
      </c>
      <c r="W13" s="120">
        <f>+Actuals!T406</f>
        <v>0</v>
      </c>
      <c r="X13" s="120">
        <f>+Actuals!U406</f>
        <v>0</v>
      </c>
      <c r="Y13" s="120">
        <f>+Actuals!V406</f>
        <v>0</v>
      </c>
      <c r="Z13" s="120">
        <f>+Actuals!W406</f>
        <v>0</v>
      </c>
      <c r="AA13" s="120">
        <f>+Actuals!X406</f>
        <v>0</v>
      </c>
      <c r="AB13" s="120">
        <f>+Actuals!Y406</f>
        <v>0</v>
      </c>
      <c r="AC13" s="120">
        <f>+Actuals!Z406</f>
        <v>0</v>
      </c>
      <c r="AD13" s="120">
        <f>+Actuals!AA406</f>
        <v>0</v>
      </c>
      <c r="AE13" s="120">
        <f>+Actuals!AB406</f>
        <v>0</v>
      </c>
      <c r="AF13" s="120">
        <f>+Actuals!AC406</f>
        <v>0</v>
      </c>
      <c r="AG13" s="120">
        <f>+Actuals!AD406</f>
        <v>0</v>
      </c>
      <c r="AH13" s="120">
        <f>+Actuals!AE406</f>
        <v>0</v>
      </c>
      <c r="AI13" s="120">
        <f>+Actuals!AF406</f>
        <v>0</v>
      </c>
      <c r="AJ13" s="120">
        <f>+Actuals!AG406</f>
        <v>0</v>
      </c>
      <c r="AK13" s="120">
        <f>+Actuals!AH406</f>
        <v>0</v>
      </c>
      <c r="AL13" s="120">
        <f>+Actuals!AI406</f>
        <v>0</v>
      </c>
      <c r="AM13" s="120">
        <f>+Actuals!AJ406</f>
        <v>0</v>
      </c>
      <c r="AN13" s="120">
        <f>+Actuals!AK406</f>
        <v>0</v>
      </c>
      <c r="AO13" s="120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20">
        <f>+Actuals!E407</f>
        <v>0</v>
      </c>
      <c r="I14" s="120">
        <f>+Actuals!F407</f>
        <v>0</v>
      </c>
      <c r="J14" s="120">
        <f>+Actuals!G407</f>
        <v>0</v>
      </c>
      <c r="K14" s="120">
        <f>+Actuals!H407</f>
        <v>0</v>
      </c>
      <c r="L14" s="120">
        <f>+Actuals!I407</f>
        <v>0</v>
      </c>
      <c r="M14" s="120">
        <f>+Actuals!J407</f>
        <v>0</v>
      </c>
      <c r="N14" s="120">
        <f>+Actuals!K407</f>
        <v>0</v>
      </c>
      <c r="O14" s="120">
        <f>+Actuals!L407</f>
        <v>0</v>
      </c>
      <c r="P14" s="120">
        <f>+Actuals!M407</f>
        <v>0</v>
      </c>
      <c r="Q14" s="120">
        <f>+Actuals!N407</f>
        <v>0</v>
      </c>
      <c r="R14" s="120">
        <f>+Actuals!O407</f>
        <v>0</v>
      </c>
      <c r="S14" s="120">
        <f>+Actuals!P407</f>
        <v>0</v>
      </c>
      <c r="T14" s="120">
        <f>+Actuals!Q407</f>
        <v>0</v>
      </c>
      <c r="U14" s="120">
        <f>+Actuals!R407</f>
        <v>0</v>
      </c>
      <c r="V14" s="120">
        <f>+Actuals!S407</f>
        <v>0</v>
      </c>
      <c r="W14" s="120">
        <f>+Actuals!T407</f>
        <v>0</v>
      </c>
      <c r="X14" s="120">
        <f>+Actuals!U407</f>
        <v>0</v>
      </c>
      <c r="Y14" s="120">
        <f>+Actuals!V407</f>
        <v>0</v>
      </c>
      <c r="Z14" s="120">
        <f>+Actuals!W407</f>
        <v>0</v>
      </c>
      <c r="AA14" s="120">
        <f>+Actuals!X407</f>
        <v>0</v>
      </c>
      <c r="AB14" s="120">
        <f>+Actuals!Y407</f>
        <v>0</v>
      </c>
      <c r="AC14" s="120">
        <f>+Actuals!Z407</f>
        <v>0</v>
      </c>
      <c r="AD14" s="120">
        <f>+Actuals!AA407</f>
        <v>0</v>
      </c>
      <c r="AE14" s="120">
        <f>+Actuals!AB407</f>
        <v>0</v>
      </c>
      <c r="AF14" s="120">
        <f>+Actuals!AC407</f>
        <v>0</v>
      </c>
      <c r="AG14" s="120">
        <f>+Actuals!AD407</f>
        <v>0</v>
      </c>
      <c r="AH14" s="120">
        <f>+Actuals!AE407</f>
        <v>0</v>
      </c>
      <c r="AI14" s="120">
        <f>+Actuals!AF407</f>
        <v>0</v>
      </c>
      <c r="AJ14" s="120">
        <f>+Actuals!AG407</f>
        <v>0</v>
      </c>
      <c r="AK14" s="120">
        <f>+Actuals!AH407</f>
        <v>0</v>
      </c>
      <c r="AL14" s="120">
        <f>+Actuals!AI407</f>
        <v>0</v>
      </c>
      <c r="AM14" s="120">
        <f>+Actuals!AJ407</f>
        <v>0</v>
      </c>
      <c r="AN14" s="120">
        <f>+Actuals!AK407</f>
        <v>0</v>
      </c>
      <c r="AO14" s="120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20">
        <f>+Actuals!E408</f>
        <v>0</v>
      </c>
      <c r="I15" s="120">
        <f>+Actuals!F408</f>
        <v>0</v>
      </c>
      <c r="J15" s="120">
        <f>+Actuals!G408</f>
        <v>0</v>
      </c>
      <c r="K15" s="120">
        <f>+Actuals!H408</f>
        <v>0</v>
      </c>
      <c r="L15" s="120">
        <f>+Actuals!I408</f>
        <v>0</v>
      </c>
      <c r="M15" s="120">
        <f>+Actuals!J408</f>
        <v>0</v>
      </c>
      <c r="N15" s="120">
        <f>+Actuals!K408</f>
        <v>0</v>
      </c>
      <c r="O15" s="120">
        <f>+Actuals!L408</f>
        <v>0</v>
      </c>
      <c r="P15" s="120">
        <f>+Actuals!M408</f>
        <v>0</v>
      </c>
      <c r="Q15" s="120">
        <f>+Actuals!N408</f>
        <v>0</v>
      </c>
      <c r="R15" s="120">
        <f>+Actuals!O408</f>
        <v>0</v>
      </c>
      <c r="S15" s="120">
        <f>+Actuals!P408</f>
        <v>0</v>
      </c>
      <c r="T15" s="120">
        <f>+Actuals!Q408</f>
        <v>0</v>
      </c>
      <c r="U15" s="120">
        <f>+Actuals!R408</f>
        <v>0</v>
      </c>
      <c r="V15" s="120">
        <f>+Actuals!S408</f>
        <v>0</v>
      </c>
      <c r="W15" s="120">
        <f>+Actuals!T408</f>
        <v>0</v>
      </c>
      <c r="X15" s="120">
        <f>+Actuals!U408</f>
        <v>0</v>
      </c>
      <c r="Y15" s="120">
        <f>+Actuals!V408</f>
        <v>0</v>
      </c>
      <c r="Z15" s="120">
        <f>+Actuals!W408</f>
        <v>0</v>
      </c>
      <c r="AA15" s="120">
        <f>+Actuals!X408</f>
        <v>0</v>
      </c>
      <c r="AB15" s="120">
        <f>+Actuals!Y408</f>
        <v>0</v>
      </c>
      <c r="AC15" s="120">
        <f>+Actuals!Z408</f>
        <v>0</v>
      </c>
      <c r="AD15" s="120">
        <f>+Actuals!AA408</f>
        <v>0</v>
      </c>
      <c r="AE15" s="120">
        <f>+Actuals!AB408</f>
        <v>0</v>
      </c>
      <c r="AF15" s="120">
        <f>+Actuals!AC408</f>
        <v>0</v>
      </c>
      <c r="AG15" s="120">
        <f>+Actuals!AD408</f>
        <v>0</v>
      </c>
      <c r="AH15" s="120">
        <f>+Actuals!AE408</f>
        <v>0</v>
      </c>
      <c r="AI15" s="120">
        <f>+Actuals!AF408</f>
        <v>0</v>
      </c>
      <c r="AJ15" s="120">
        <f>+Actuals!AG408</f>
        <v>0</v>
      </c>
      <c r="AK15" s="120">
        <f>+Actuals!AH408</f>
        <v>0</v>
      </c>
      <c r="AL15" s="120">
        <f>+Actuals!AI408</f>
        <v>0</v>
      </c>
      <c r="AM15" s="120">
        <f>+Actuals!AJ408</f>
        <v>0</v>
      </c>
      <c r="AN15" s="120">
        <f>+Actuals!AK408</f>
        <v>0</v>
      </c>
      <c r="AO15" s="120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11873325</v>
      </c>
      <c r="E16" s="39">
        <f t="shared" si="1"/>
        <v>27070609.640000001</v>
      </c>
      <c r="F16" s="61">
        <f t="shared" si="1"/>
        <v>0</v>
      </c>
      <c r="G16" s="39">
        <f t="shared" si="1"/>
        <v>-5277775.82</v>
      </c>
      <c r="H16" s="61">
        <f t="shared" si="1"/>
        <v>10324812</v>
      </c>
      <c r="I16" s="61">
        <f t="shared" si="1"/>
        <v>26208938.579999998</v>
      </c>
      <c r="J16" s="61">
        <f t="shared" si="1"/>
        <v>-4788270</v>
      </c>
      <c r="K16" s="61">
        <f t="shared" si="1"/>
        <v>-9196472.2599999998</v>
      </c>
      <c r="L16" s="61">
        <f t="shared" si="1"/>
        <v>88292</v>
      </c>
      <c r="M16" s="61">
        <f t="shared" si="1"/>
        <v>222750</v>
      </c>
      <c r="N16" s="61">
        <f t="shared" ref="N16:S16" si="2">SUM(N11:N15)</f>
        <v>-19770</v>
      </c>
      <c r="O16" s="61">
        <f t="shared" si="2"/>
        <v>-45826.86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271644</v>
      </c>
      <c r="T16" s="61">
        <f t="shared" si="1"/>
        <v>6268261</v>
      </c>
      <c r="U16" s="61">
        <f t="shared" si="1"/>
        <v>14747953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139399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-900491</v>
      </c>
      <c r="E19" s="38">
        <f t="shared" si="3"/>
        <v>-1741936.5400000005</v>
      </c>
      <c r="F19" s="64">
        <f>'TIE-OUT'!AD19+RECLASS!AD19</f>
        <v>0</v>
      </c>
      <c r="G19" s="68">
        <f>'TIE-OUT'!AE19+RECLASS!AE19</f>
        <v>0</v>
      </c>
      <c r="H19" s="120">
        <f>+Actuals!E409</f>
        <v>-900491</v>
      </c>
      <c r="I19" s="120">
        <f>+Actuals!F409</f>
        <v>-2557817.9900000002</v>
      </c>
      <c r="J19" s="120">
        <f>+Actuals!G409</f>
        <v>0</v>
      </c>
      <c r="K19" s="120">
        <f>+Actuals!H409</f>
        <v>185134.36</v>
      </c>
      <c r="L19" s="120">
        <f>+Actuals!I409</f>
        <v>0</v>
      </c>
      <c r="M19" s="120">
        <f>+Actuals!J409</f>
        <v>0</v>
      </c>
      <c r="N19" s="120">
        <f>+Actuals!K409</f>
        <v>0</v>
      </c>
      <c r="O19" s="120">
        <f>+Actuals!L409</f>
        <v>0</v>
      </c>
      <c r="P19" s="120">
        <f>+Actuals!M409</f>
        <v>-20091</v>
      </c>
      <c r="Q19" s="120">
        <f>+Actuals!N409</f>
        <v>-47073.21</v>
      </c>
      <c r="R19" s="120">
        <f>+Actuals!O409</f>
        <v>20091</v>
      </c>
      <c r="S19" s="120">
        <f>+Actuals!P409</f>
        <v>46570.94</v>
      </c>
      <c r="T19" s="120">
        <f>+Actuals!Q409</f>
        <v>0</v>
      </c>
      <c r="U19" s="120">
        <f>+Actuals!R409</f>
        <v>631249.36</v>
      </c>
      <c r="V19" s="120">
        <f>+Actuals!S409</f>
        <v>0</v>
      </c>
      <c r="W19" s="120">
        <f>+Actuals!T409</f>
        <v>0</v>
      </c>
      <c r="X19" s="120">
        <f>+Actuals!U409</f>
        <v>0</v>
      </c>
      <c r="Y19" s="120">
        <f>+Actuals!V409</f>
        <v>0</v>
      </c>
      <c r="Z19" s="120">
        <f>+Actuals!W409</f>
        <v>0</v>
      </c>
      <c r="AA19" s="120">
        <f>+Actuals!X409</f>
        <v>0</v>
      </c>
      <c r="AB19" s="120">
        <f>+Actuals!Y409</f>
        <v>0</v>
      </c>
      <c r="AC19" s="120">
        <f>+Actuals!Z409</f>
        <v>0</v>
      </c>
      <c r="AD19" s="120">
        <f>+Actuals!AA409</f>
        <v>0</v>
      </c>
      <c r="AE19" s="120">
        <f>+Actuals!AB409</f>
        <v>0</v>
      </c>
      <c r="AF19" s="120">
        <f>+Actuals!AC409</f>
        <v>0</v>
      </c>
      <c r="AG19" s="120">
        <f>+Actuals!AD409</f>
        <v>0</v>
      </c>
      <c r="AH19" s="120">
        <f>+Actuals!AE409</f>
        <v>0</v>
      </c>
      <c r="AI19" s="120">
        <f>+Actuals!AF409</f>
        <v>0</v>
      </c>
      <c r="AJ19" s="120">
        <f>+Actuals!AG409</f>
        <v>0</v>
      </c>
      <c r="AK19" s="120">
        <f>+Actuals!AH409</f>
        <v>0</v>
      </c>
      <c r="AL19" s="120">
        <f>+Actuals!AI409</f>
        <v>0</v>
      </c>
      <c r="AM19" s="120">
        <f>+Actuals!AJ409</f>
        <v>0</v>
      </c>
      <c r="AN19" s="120">
        <f>+Actuals!AK409</f>
        <v>0</v>
      </c>
      <c r="AO19" s="120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'TIE-OUT'!AD20+RECLASS!AD20</f>
        <v>0</v>
      </c>
      <c r="G20" s="38">
        <f>'TIE-OUT'!AE20+RECLASS!AE20</f>
        <v>0</v>
      </c>
      <c r="H20" s="120">
        <f>+Actuals!E410</f>
        <v>0</v>
      </c>
      <c r="I20" s="120">
        <f>+Actuals!F410</f>
        <v>0</v>
      </c>
      <c r="J20" s="120">
        <f>+Actuals!G410</f>
        <v>0</v>
      </c>
      <c r="K20" s="120">
        <f>+Actuals!H410</f>
        <v>0</v>
      </c>
      <c r="L20" s="120">
        <f>+Actuals!I410</f>
        <v>0</v>
      </c>
      <c r="M20" s="120">
        <f>+Actuals!J410</f>
        <v>0</v>
      </c>
      <c r="N20" s="120">
        <f>+Actuals!K410</f>
        <v>0</v>
      </c>
      <c r="O20" s="120">
        <f>+Actuals!L410</f>
        <v>0</v>
      </c>
      <c r="P20" s="120">
        <f>+Actuals!M410</f>
        <v>0</v>
      </c>
      <c r="Q20" s="120">
        <f>+Actuals!N410</f>
        <v>0</v>
      </c>
      <c r="R20" s="120">
        <f>+Actuals!O410</f>
        <v>0</v>
      </c>
      <c r="S20" s="120">
        <f>+Actuals!P410</f>
        <v>0</v>
      </c>
      <c r="T20" s="120">
        <f>+Actuals!Q410</f>
        <v>0</v>
      </c>
      <c r="U20" s="120">
        <f>+Actuals!R410</f>
        <v>0</v>
      </c>
      <c r="V20" s="120">
        <f>+Actuals!S410</f>
        <v>0</v>
      </c>
      <c r="W20" s="120">
        <f>+Actuals!T410</f>
        <v>0</v>
      </c>
      <c r="X20" s="120">
        <f>+Actuals!U410</f>
        <v>0</v>
      </c>
      <c r="Y20" s="120">
        <f>+Actuals!V410</f>
        <v>0</v>
      </c>
      <c r="Z20" s="120">
        <f>+Actuals!W410</f>
        <v>0</v>
      </c>
      <c r="AA20" s="120">
        <f>+Actuals!X410</f>
        <v>0</v>
      </c>
      <c r="AB20" s="120">
        <f>+Actuals!Y410</f>
        <v>0</v>
      </c>
      <c r="AC20" s="120">
        <f>+Actuals!Z410</f>
        <v>0</v>
      </c>
      <c r="AD20" s="120">
        <f>+Actuals!AA410</f>
        <v>0</v>
      </c>
      <c r="AE20" s="120">
        <f>+Actuals!AB410</f>
        <v>0</v>
      </c>
      <c r="AF20" s="120">
        <f>+Actuals!AC410</f>
        <v>0</v>
      </c>
      <c r="AG20" s="120">
        <f>+Actuals!AD410</f>
        <v>0</v>
      </c>
      <c r="AH20" s="120">
        <f>+Actuals!AE410</f>
        <v>0</v>
      </c>
      <c r="AI20" s="120">
        <f>+Actuals!AF410</f>
        <v>0</v>
      </c>
      <c r="AJ20" s="120">
        <f>+Actuals!AG410</f>
        <v>0</v>
      </c>
      <c r="AK20" s="120">
        <f>+Actuals!AH410</f>
        <v>0</v>
      </c>
      <c r="AL20" s="120">
        <f>+Actuals!AI410</f>
        <v>0</v>
      </c>
      <c r="AM20" s="120">
        <f>+Actuals!AJ410</f>
        <v>0</v>
      </c>
      <c r="AN20" s="120">
        <f>+Actuals!AK410</f>
        <v>0</v>
      </c>
      <c r="AO20" s="120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-11013410</v>
      </c>
      <c r="E21" s="38">
        <f t="shared" si="3"/>
        <v>-24731462</v>
      </c>
      <c r="F21" s="60">
        <f>'TIE-OUT'!AD21+RECLASS!AD21</f>
        <v>0</v>
      </c>
      <c r="G21" s="38">
        <f>'TIE-OUT'!AE21+RECLASS!AE21</f>
        <v>0</v>
      </c>
      <c r="H21" s="120">
        <f>+Actuals!E411</f>
        <v>-9463410</v>
      </c>
      <c r="I21" s="120">
        <f>+Actuals!F411</f>
        <v>-21200562</v>
      </c>
      <c r="J21" s="120">
        <f>+Actuals!G411</f>
        <v>5977527</v>
      </c>
      <c r="K21" s="120">
        <f>+Actuals!H411</f>
        <v>13091624</v>
      </c>
      <c r="L21" s="120">
        <f>+Actuals!I411</f>
        <v>1540</v>
      </c>
      <c r="M21" s="120">
        <f>+Actuals!J411</f>
        <v>3192</v>
      </c>
      <c r="N21" s="120">
        <f>+Actuals!K411</f>
        <v>0</v>
      </c>
      <c r="O21" s="120">
        <f>+Actuals!L411</f>
        <v>0</v>
      </c>
      <c r="P21" s="120">
        <f>+Actuals!M411</f>
        <v>0</v>
      </c>
      <c r="Q21" s="120">
        <f>+Actuals!N411</f>
        <v>0</v>
      </c>
      <c r="R21" s="120">
        <f>+Actuals!O411</f>
        <v>0</v>
      </c>
      <c r="S21" s="120">
        <f>+Actuals!P411</f>
        <v>0</v>
      </c>
      <c r="T21" s="120">
        <f>+Actuals!Q411</f>
        <v>-7529067</v>
      </c>
      <c r="U21" s="120">
        <f>+Actuals!R411</f>
        <v>-16625716</v>
      </c>
      <c r="V21" s="120">
        <f>+Actuals!S411</f>
        <v>0</v>
      </c>
      <c r="W21" s="120">
        <f>+Actuals!T411</f>
        <v>0</v>
      </c>
      <c r="X21" s="120">
        <f>+Actuals!U411</f>
        <v>0</v>
      </c>
      <c r="Y21" s="120">
        <f>+Actuals!V411</f>
        <v>0</v>
      </c>
      <c r="Z21" s="120">
        <f>+Actuals!W411</f>
        <v>0</v>
      </c>
      <c r="AA21" s="120">
        <f>+Actuals!X411</f>
        <v>0</v>
      </c>
      <c r="AB21" s="120">
        <f>+Actuals!Y411</f>
        <v>0</v>
      </c>
      <c r="AC21" s="120">
        <f>+Actuals!Z411</f>
        <v>0</v>
      </c>
      <c r="AD21" s="120">
        <f>+Actuals!AA411</f>
        <v>0</v>
      </c>
      <c r="AE21" s="120">
        <f>+Actuals!AB411</f>
        <v>0</v>
      </c>
      <c r="AF21" s="120">
        <f>+Actuals!AC411</f>
        <v>0</v>
      </c>
      <c r="AG21" s="120">
        <f>+Actuals!AD411</f>
        <v>0</v>
      </c>
      <c r="AH21" s="120">
        <f>+Actuals!AE411</f>
        <v>0</v>
      </c>
      <c r="AI21" s="120">
        <f>+Actuals!AF411</f>
        <v>0</v>
      </c>
      <c r="AJ21" s="120">
        <f>+Actuals!AG411</f>
        <v>0</v>
      </c>
      <c r="AK21" s="120">
        <f>+Actuals!AH411</f>
        <v>0</v>
      </c>
      <c r="AL21" s="120">
        <f>+Actuals!AI411</f>
        <v>0</v>
      </c>
      <c r="AM21" s="120">
        <f>+Actuals!AJ411</f>
        <v>0</v>
      </c>
      <c r="AN21" s="120">
        <f>+Actuals!AK411</f>
        <v>0</v>
      </c>
      <c r="AO21" s="120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'TIE-OUT'!AD22+RECLASS!AD22</f>
        <v>0</v>
      </c>
      <c r="G22" s="38">
        <f>'TIE-OUT'!AE22+RECLASS!AE22</f>
        <v>0</v>
      </c>
      <c r="H22" s="120">
        <f>+Actuals!E412</f>
        <v>0</v>
      </c>
      <c r="I22" s="120">
        <f>+Actuals!F412</f>
        <v>0</v>
      </c>
      <c r="J22" s="120">
        <f>+Actuals!G412</f>
        <v>0</v>
      </c>
      <c r="K22" s="120">
        <f>+Actuals!H412</f>
        <v>0</v>
      </c>
      <c r="L22" s="120">
        <f>+Actuals!I412</f>
        <v>0</v>
      </c>
      <c r="M22" s="120">
        <f>+Actuals!J412</f>
        <v>0</v>
      </c>
      <c r="N22" s="120">
        <f>+Actuals!K412</f>
        <v>0</v>
      </c>
      <c r="O22" s="120">
        <f>+Actuals!L412</f>
        <v>0</v>
      </c>
      <c r="P22" s="120">
        <f>+Actuals!M412</f>
        <v>0</v>
      </c>
      <c r="Q22" s="120">
        <f>+Actuals!N412</f>
        <v>0</v>
      </c>
      <c r="R22" s="120">
        <f>+Actuals!O412</f>
        <v>0</v>
      </c>
      <c r="S22" s="120">
        <f>+Actuals!P412</f>
        <v>0</v>
      </c>
      <c r="T22" s="120">
        <f>+Actuals!Q412</f>
        <v>0</v>
      </c>
      <c r="U22" s="120">
        <f>+Actuals!R412</f>
        <v>0</v>
      </c>
      <c r="V22" s="120">
        <f>+Actuals!S412</f>
        <v>0</v>
      </c>
      <c r="W22" s="120">
        <f>+Actuals!T412</f>
        <v>0</v>
      </c>
      <c r="X22" s="120">
        <f>+Actuals!U412</f>
        <v>0</v>
      </c>
      <c r="Y22" s="120">
        <f>+Actuals!V412</f>
        <v>0</v>
      </c>
      <c r="Z22" s="120">
        <f>+Actuals!W412</f>
        <v>0</v>
      </c>
      <c r="AA22" s="120">
        <f>+Actuals!X412</f>
        <v>0</v>
      </c>
      <c r="AB22" s="120">
        <f>+Actuals!Y412</f>
        <v>0</v>
      </c>
      <c r="AC22" s="120">
        <f>+Actuals!Z412</f>
        <v>0</v>
      </c>
      <c r="AD22" s="120">
        <f>+Actuals!AA412</f>
        <v>0</v>
      </c>
      <c r="AE22" s="120">
        <f>+Actuals!AB412</f>
        <v>0</v>
      </c>
      <c r="AF22" s="120">
        <f>+Actuals!AC412</f>
        <v>0</v>
      </c>
      <c r="AG22" s="120">
        <f>+Actuals!AD412</f>
        <v>0</v>
      </c>
      <c r="AH22" s="120">
        <f>+Actuals!AE412</f>
        <v>0</v>
      </c>
      <c r="AI22" s="120">
        <f>+Actuals!AF412</f>
        <v>0</v>
      </c>
      <c r="AJ22" s="120">
        <f>+Actuals!AG412</f>
        <v>0</v>
      </c>
      <c r="AK22" s="120">
        <f>+Actuals!AH412</f>
        <v>0</v>
      </c>
      <c r="AL22" s="120">
        <f>+Actuals!AI412</f>
        <v>0</v>
      </c>
      <c r="AM22" s="120">
        <f>+Actuals!AJ412</f>
        <v>0</v>
      </c>
      <c r="AN22" s="120">
        <f>+Actuals!AK412</f>
        <v>0</v>
      </c>
      <c r="AO22" s="120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'TIE-OUT'!AD23+RECLASS!AD23</f>
        <v>0</v>
      </c>
      <c r="G23" s="82">
        <f>'TIE-OUT'!AE23+RECLASS!AE23</f>
        <v>0</v>
      </c>
      <c r="H23" s="120">
        <f>+Actuals!E413</f>
        <v>0</v>
      </c>
      <c r="I23" s="120">
        <f>+Actuals!F413</f>
        <v>0</v>
      </c>
      <c r="J23" s="120">
        <f>+Actuals!G413</f>
        <v>0</v>
      </c>
      <c r="K23" s="120">
        <f>+Actuals!H413</f>
        <v>0</v>
      </c>
      <c r="L23" s="120">
        <f>+Actuals!I413</f>
        <v>0</v>
      </c>
      <c r="M23" s="120">
        <f>+Actuals!J413</f>
        <v>0</v>
      </c>
      <c r="N23" s="120">
        <f>+Actuals!K413</f>
        <v>0</v>
      </c>
      <c r="O23" s="120">
        <f>+Actuals!L413</f>
        <v>0</v>
      </c>
      <c r="P23" s="120">
        <f>+Actuals!M413</f>
        <v>0</v>
      </c>
      <c r="Q23" s="120">
        <f>+Actuals!N413</f>
        <v>0</v>
      </c>
      <c r="R23" s="120">
        <f>+Actuals!O413</f>
        <v>0</v>
      </c>
      <c r="S23" s="120">
        <f>+Actuals!P413</f>
        <v>0</v>
      </c>
      <c r="T23" s="120">
        <f>+Actuals!Q413</f>
        <v>0</v>
      </c>
      <c r="U23" s="120">
        <f>+Actuals!R413</f>
        <v>0</v>
      </c>
      <c r="V23" s="120">
        <f>+Actuals!S413</f>
        <v>0</v>
      </c>
      <c r="W23" s="120">
        <f>+Actuals!T413</f>
        <v>0</v>
      </c>
      <c r="X23" s="120">
        <f>+Actuals!U413</f>
        <v>0</v>
      </c>
      <c r="Y23" s="120">
        <f>+Actuals!V413</f>
        <v>0</v>
      </c>
      <c r="Z23" s="120">
        <f>+Actuals!W413</f>
        <v>0</v>
      </c>
      <c r="AA23" s="120">
        <f>+Actuals!X413</f>
        <v>0</v>
      </c>
      <c r="AB23" s="120">
        <f>+Actuals!Y413</f>
        <v>0</v>
      </c>
      <c r="AC23" s="120">
        <f>+Actuals!Z413</f>
        <v>0</v>
      </c>
      <c r="AD23" s="120">
        <f>+Actuals!AA413</f>
        <v>0</v>
      </c>
      <c r="AE23" s="120">
        <f>+Actuals!AB413</f>
        <v>0</v>
      </c>
      <c r="AF23" s="120">
        <f>+Actuals!AC413</f>
        <v>0</v>
      </c>
      <c r="AG23" s="120">
        <f>+Actuals!AD413</f>
        <v>0</v>
      </c>
      <c r="AH23" s="120">
        <f>+Actuals!AE413</f>
        <v>0</v>
      </c>
      <c r="AI23" s="120">
        <f>+Actuals!AF413</f>
        <v>0</v>
      </c>
      <c r="AJ23" s="120">
        <f>+Actuals!AG413</f>
        <v>0</v>
      </c>
      <c r="AK23" s="120">
        <f>+Actuals!AH413</f>
        <v>0</v>
      </c>
      <c r="AL23" s="120">
        <f>+Actuals!AI413</f>
        <v>0</v>
      </c>
      <c r="AM23" s="120">
        <f>+Actuals!AJ413</f>
        <v>0</v>
      </c>
      <c r="AN23" s="120">
        <f>+Actuals!AK413</f>
        <v>0</v>
      </c>
      <c r="AO23" s="120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4">SUM(D19:D23)</f>
        <v>-11913901</v>
      </c>
      <c r="E24" s="39">
        <f t="shared" si="4"/>
        <v>-26473398.539999999</v>
      </c>
      <c r="F24" s="61">
        <f t="shared" si="4"/>
        <v>0</v>
      </c>
      <c r="G24" s="39">
        <f t="shared" si="4"/>
        <v>0</v>
      </c>
      <c r="H24" s="61">
        <f t="shared" si="4"/>
        <v>-10363901</v>
      </c>
      <c r="I24" s="61">
        <f t="shared" si="4"/>
        <v>-23758379.990000002</v>
      </c>
      <c r="J24" s="61">
        <f t="shared" si="4"/>
        <v>5977527</v>
      </c>
      <c r="K24" s="61">
        <f t="shared" si="4"/>
        <v>13276758.359999999</v>
      </c>
      <c r="L24" s="61">
        <f t="shared" si="4"/>
        <v>1540</v>
      </c>
      <c r="M24" s="61">
        <f t="shared" si="4"/>
        <v>3192</v>
      </c>
      <c r="N24" s="61">
        <f t="shared" ref="N24:S24" si="5">SUM(N19:N23)</f>
        <v>0</v>
      </c>
      <c r="O24" s="61">
        <f t="shared" si="5"/>
        <v>0</v>
      </c>
      <c r="P24" s="61">
        <f t="shared" si="5"/>
        <v>-20091</v>
      </c>
      <c r="Q24" s="61">
        <f t="shared" si="5"/>
        <v>-47073.21</v>
      </c>
      <c r="R24" s="61">
        <f t="shared" si="5"/>
        <v>20091</v>
      </c>
      <c r="S24" s="61">
        <f t="shared" si="5"/>
        <v>46570.94</v>
      </c>
      <c r="T24" s="61">
        <f t="shared" si="4"/>
        <v>-7529067</v>
      </c>
      <c r="U24" s="61">
        <f t="shared" si="4"/>
        <v>-15994466.640000001</v>
      </c>
      <c r="V24" s="61">
        <f t="shared" si="4"/>
        <v>0</v>
      </c>
      <c r="W24" s="61">
        <f t="shared" si="4"/>
        <v>0</v>
      </c>
      <c r="X24" s="61">
        <f t="shared" si="4"/>
        <v>0</v>
      </c>
      <c r="Y24" s="61">
        <f t="shared" si="4"/>
        <v>0</v>
      </c>
      <c r="Z24" s="61">
        <f t="shared" si="4"/>
        <v>0</v>
      </c>
      <c r="AA24" s="61">
        <f t="shared" si="4"/>
        <v>0</v>
      </c>
      <c r="AB24" s="61">
        <f t="shared" si="4"/>
        <v>0</v>
      </c>
      <c r="AC24" s="61">
        <f t="shared" si="4"/>
        <v>0</v>
      </c>
      <c r="AD24" s="61">
        <f t="shared" si="4"/>
        <v>0</v>
      </c>
      <c r="AE24" s="61">
        <f t="shared" si="4"/>
        <v>0</v>
      </c>
      <c r="AF24" s="61">
        <f t="shared" si="4"/>
        <v>0</v>
      </c>
      <c r="AG24" s="61">
        <f t="shared" si="4"/>
        <v>0</v>
      </c>
      <c r="AH24" s="61">
        <f t="shared" si="4"/>
        <v>0</v>
      </c>
      <c r="AI24" s="61">
        <f t="shared" si="4"/>
        <v>0</v>
      </c>
      <c r="AJ24" s="61">
        <f t="shared" si="4"/>
        <v>0</v>
      </c>
      <c r="AK24" s="61">
        <f t="shared" si="4"/>
        <v>0</v>
      </c>
      <c r="AL24" s="61">
        <f t="shared" si="4"/>
        <v>0</v>
      </c>
      <c r="AM24" s="61">
        <f t="shared" si="4"/>
        <v>0</v>
      </c>
      <c r="AN24" s="61">
        <f t="shared" si="4"/>
        <v>0</v>
      </c>
      <c r="AO24" s="61">
        <f t="shared" si="4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20">
        <f>+Actuals!E414</f>
        <v>0</v>
      </c>
      <c r="I27" s="120">
        <f>+Actuals!F414</f>
        <v>0</v>
      </c>
      <c r="J27" s="120">
        <f>+Actuals!G414</f>
        <v>0</v>
      </c>
      <c r="K27" s="120">
        <f>+Actuals!H414</f>
        <v>0</v>
      </c>
      <c r="L27" s="120">
        <f>+Actuals!I414</f>
        <v>0</v>
      </c>
      <c r="M27" s="120">
        <f>+Actuals!J414</f>
        <v>0</v>
      </c>
      <c r="N27" s="120">
        <f>+Actuals!K414</f>
        <v>0</v>
      </c>
      <c r="O27" s="120">
        <f>+Actuals!L414</f>
        <v>0</v>
      </c>
      <c r="P27" s="120">
        <f>+Actuals!M414</f>
        <v>0</v>
      </c>
      <c r="Q27" s="120">
        <f>+Actuals!N414</f>
        <v>0</v>
      </c>
      <c r="R27" s="120">
        <f>+Actuals!O414</f>
        <v>0</v>
      </c>
      <c r="S27" s="120">
        <f>+Actuals!P414</f>
        <v>0</v>
      </c>
      <c r="T27" s="120">
        <f>+Actuals!Q414</f>
        <v>0</v>
      </c>
      <c r="U27" s="120">
        <f>+Actuals!R414</f>
        <v>0</v>
      </c>
      <c r="V27" s="120">
        <f>+Actuals!S414</f>
        <v>0</v>
      </c>
      <c r="W27" s="120">
        <f>+Actuals!T414</f>
        <v>0</v>
      </c>
      <c r="X27" s="120">
        <f>+Actuals!U414</f>
        <v>0</v>
      </c>
      <c r="Y27" s="120">
        <f>+Actuals!V414</f>
        <v>0</v>
      </c>
      <c r="Z27" s="120">
        <f>+Actuals!W414</f>
        <v>0</v>
      </c>
      <c r="AA27" s="120">
        <f>+Actuals!X414</f>
        <v>0</v>
      </c>
      <c r="AB27" s="120">
        <f>+Actuals!Y414</f>
        <v>0</v>
      </c>
      <c r="AC27" s="120">
        <f>+Actuals!Z414</f>
        <v>0</v>
      </c>
      <c r="AD27" s="120">
        <f>+Actuals!AA414</f>
        <v>0</v>
      </c>
      <c r="AE27" s="120">
        <f>+Actuals!AB414</f>
        <v>0</v>
      </c>
      <c r="AF27" s="120">
        <f>+Actuals!AC414</f>
        <v>0</v>
      </c>
      <c r="AG27" s="120">
        <f>+Actuals!AD414</f>
        <v>0</v>
      </c>
      <c r="AH27" s="120">
        <f>+Actuals!AE414</f>
        <v>0</v>
      </c>
      <c r="AI27" s="120">
        <f>+Actuals!AF414</f>
        <v>0</v>
      </c>
      <c r="AJ27" s="120">
        <f>+Actuals!AG414</f>
        <v>0</v>
      </c>
      <c r="AK27" s="120">
        <f>+Actuals!AH414</f>
        <v>0</v>
      </c>
      <c r="AL27" s="120">
        <f>+Actuals!AI414</f>
        <v>0</v>
      </c>
      <c r="AM27" s="120">
        <f>+Actuals!AJ414</f>
        <v>0</v>
      </c>
      <c r="AN27" s="120">
        <f>+Actuals!AK414</f>
        <v>0</v>
      </c>
      <c r="AO27" s="120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20">
        <f>+Actuals!E415</f>
        <v>0</v>
      </c>
      <c r="I28" s="120">
        <f>+Actuals!F415</f>
        <v>0</v>
      </c>
      <c r="J28" s="120">
        <f>+Actuals!G415</f>
        <v>0</v>
      </c>
      <c r="K28" s="120">
        <f>+Actuals!H415</f>
        <v>0</v>
      </c>
      <c r="L28" s="120">
        <f>+Actuals!I415</f>
        <v>0</v>
      </c>
      <c r="M28" s="120">
        <f>+Actuals!J415</f>
        <v>0</v>
      </c>
      <c r="N28" s="120">
        <f>+Actuals!K415</f>
        <v>0</v>
      </c>
      <c r="O28" s="120">
        <f>+Actuals!L415</f>
        <v>0</v>
      </c>
      <c r="P28" s="120">
        <f>+Actuals!M415</f>
        <v>0</v>
      </c>
      <c r="Q28" s="120">
        <f>+Actuals!N415</f>
        <v>0</v>
      </c>
      <c r="R28" s="120">
        <f>+Actuals!O415</f>
        <v>0</v>
      </c>
      <c r="S28" s="120">
        <f>+Actuals!P415</f>
        <v>0</v>
      </c>
      <c r="T28" s="120">
        <f>+Actuals!Q415</f>
        <v>0</v>
      </c>
      <c r="U28" s="120">
        <f>+Actuals!R415</f>
        <v>0</v>
      </c>
      <c r="V28" s="120">
        <f>+Actuals!S415</f>
        <v>0</v>
      </c>
      <c r="W28" s="120">
        <f>+Actuals!T415</f>
        <v>0</v>
      </c>
      <c r="X28" s="120">
        <f>+Actuals!U415</f>
        <v>0</v>
      </c>
      <c r="Y28" s="120">
        <f>+Actuals!V415</f>
        <v>0</v>
      </c>
      <c r="Z28" s="120">
        <f>+Actuals!W415</f>
        <v>0</v>
      </c>
      <c r="AA28" s="120">
        <f>+Actuals!X415</f>
        <v>0</v>
      </c>
      <c r="AB28" s="120">
        <f>+Actuals!Y415</f>
        <v>0</v>
      </c>
      <c r="AC28" s="120">
        <f>+Actuals!Z415</f>
        <v>0</v>
      </c>
      <c r="AD28" s="120">
        <f>+Actuals!AA415</f>
        <v>0</v>
      </c>
      <c r="AE28" s="120">
        <f>+Actuals!AB415</f>
        <v>0</v>
      </c>
      <c r="AF28" s="120">
        <f>+Actuals!AC415</f>
        <v>0</v>
      </c>
      <c r="AG28" s="120">
        <f>+Actuals!AD415</f>
        <v>0</v>
      </c>
      <c r="AH28" s="120">
        <f>+Actuals!AE415</f>
        <v>0</v>
      </c>
      <c r="AI28" s="120">
        <f>+Actuals!AF415</f>
        <v>0</v>
      </c>
      <c r="AJ28" s="120">
        <f>+Actuals!AG415</f>
        <v>0</v>
      </c>
      <c r="AK28" s="120">
        <f>+Actuals!AH415</f>
        <v>0</v>
      </c>
      <c r="AL28" s="120">
        <f>+Actuals!AI415</f>
        <v>0</v>
      </c>
      <c r="AM28" s="120">
        <f>+Actuals!AJ415</f>
        <v>0</v>
      </c>
      <c r="AN28" s="120">
        <f>+Actuals!AK415</f>
        <v>0</v>
      </c>
      <c r="AO28" s="120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si="6"/>
        <v>0</v>
      </c>
      <c r="K29" s="61">
        <f t="shared" si="6"/>
        <v>0</v>
      </c>
      <c r="L29" s="61">
        <f t="shared" si="6"/>
        <v>0</v>
      </c>
      <c r="M29" s="61">
        <f t="shared" si="6"/>
        <v>0</v>
      </c>
      <c r="N29" s="61">
        <f t="shared" ref="N29:S29" si="7">SUM(N27:N28)</f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6"/>
        <v>0</v>
      </c>
      <c r="U29" s="61">
        <f t="shared" si="6"/>
        <v>0</v>
      </c>
      <c r="V29" s="61">
        <f t="shared" si="6"/>
        <v>0</v>
      </c>
      <c r="W29" s="61">
        <f t="shared" si="6"/>
        <v>0</v>
      </c>
      <c r="X29" s="61">
        <f t="shared" si="6"/>
        <v>0</v>
      </c>
      <c r="Y29" s="61">
        <f t="shared" si="6"/>
        <v>0</v>
      </c>
      <c r="Z29" s="61">
        <f t="shared" si="6"/>
        <v>0</v>
      </c>
      <c r="AA29" s="61">
        <f t="shared" si="6"/>
        <v>0</v>
      </c>
      <c r="AB29" s="61">
        <f t="shared" si="6"/>
        <v>0</v>
      </c>
      <c r="AC29" s="61">
        <f t="shared" si="6"/>
        <v>0</v>
      </c>
      <c r="AD29" s="61">
        <f t="shared" si="6"/>
        <v>0</v>
      </c>
      <c r="AE29" s="61">
        <f t="shared" si="6"/>
        <v>0</v>
      </c>
      <c r="AF29" s="61">
        <f t="shared" si="6"/>
        <v>0</v>
      </c>
      <c r="AG29" s="61">
        <f t="shared" si="6"/>
        <v>0</v>
      </c>
      <c r="AH29" s="61">
        <f t="shared" si="6"/>
        <v>0</v>
      </c>
      <c r="AI29" s="61">
        <f t="shared" si="6"/>
        <v>0</v>
      </c>
      <c r="AJ29" s="61">
        <f t="shared" si="6"/>
        <v>0</v>
      </c>
      <c r="AK29" s="61">
        <f t="shared" si="6"/>
        <v>0</v>
      </c>
      <c r="AL29" s="61">
        <f t="shared" si="6"/>
        <v>0</v>
      </c>
      <c r="AM29" s="61">
        <f t="shared" si="6"/>
        <v>0</v>
      </c>
      <c r="AN29" s="61">
        <f t="shared" si="6"/>
        <v>0</v>
      </c>
      <c r="AO29" s="61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'TIE-OUT'!AD32+RECLASS!AD32</f>
        <v>0</v>
      </c>
      <c r="G32" s="68">
        <f>'TIE-OUT'!AE32+RECLASS!AE32</f>
        <v>0</v>
      </c>
      <c r="H32" s="120">
        <f>+Actuals!E416</f>
        <v>0</v>
      </c>
      <c r="I32" s="120">
        <f>+Actuals!F416</f>
        <v>0</v>
      </c>
      <c r="J32" s="120">
        <f>+Actuals!G416</f>
        <v>0</v>
      </c>
      <c r="K32" s="120">
        <f>+Actuals!H416</f>
        <v>0</v>
      </c>
      <c r="L32" s="120">
        <f>+Actuals!I416</f>
        <v>0</v>
      </c>
      <c r="M32" s="120">
        <f>+Actuals!J416</f>
        <v>0</v>
      </c>
      <c r="N32" s="120">
        <f>+Actuals!K416</f>
        <v>0</v>
      </c>
      <c r="O32" s="120">
        <f>+Actuals!L416</f>
        <v>0</v>
      </c>
      <c r="P32" s="120">
        <f>+Actuals!M416</f>
        <v>0</v>
      </c>
      <c r="Q32" s="120">
        <f>+Actuals!N416</f>
        <v>0</v>
      </c>
      <c r="R32" s="120">
        <f>+Actuals!O416</f>
        <v>0</v>
      </c>
      <c r="S32" s="120">
        <f>+Actuals!P416</f>
        <v>0</v>
      </c>
      <c r="T32" s="120">
        <f>+Actuals!Q416</f>
        <v>0</v>
      </c>
      <c r="U32" s="120">
        <f>+Actuals!R416</f>
        <v>0</v>
      </c>
      <c r="V32" s="120">
        <f>+Actuals!S416</f>
        <v>0</v>
      </c>
      <c r="W32" s="120">
        <f>+Actuals!T416</f>
        <v>0</v>
      </c>
      <c r="X32" s="120">
        <f>+Actuals!U416</f>
        <v>0</v>
      </c>
      <c r="Y32" s="120">
        <f>+Actuals!V416</f>
        <v>0</v>
      </c>
      <c r="Z32" s="120">
        <f>+Actuals!W416</f>
        <v>0</v>
      </c>
      <c r="AA32" s="120">
        <f>+Actuals!X416</f>
        <v>0</v>
      </c>
      <c r="AB32" s="120">
        <f>+Actuals!Y416</f>
        <v>0</v>
      </c>
      <c r="AC32" s="120">
        <f>+Actuals!Z416</f>
        <v>0</v>
      </c>
      <c r="AD32" s="120">
        <f>+Actuals!AA416</f>
        <v>0</v>
      </c>
      <c r="AE32" s="120">
        <f>+Actuals!AB416</f>
        <v>0</v>
      </c>
      <c r="AF32" s="120">
        <f>+Actuals!AC416</f>
        <v>0</v>
      </c>
      <c r="AG32" s="120">
        <f>+Actuals!AD416</f>
        <v>0</v>
      </c>
      <c r="AH32" s="120">
        <f>+Actuals!AE416</f>
        <v>0</v>
      </c>
      <c r="AI32" s="120">
        <f>+Actuals!AF416</f>
        <v>0</v>
      </c>
      <c r="AJ32" s="120">
        <f>+Actuals!AG416</f>
        <v>0</v>
      </c>
      <c r="AK32" s="120">
        <f>+Actuals!AH416</f>
        <v>0</v>
      </c>
      <c r="AL32" s="120">
        <f>+Actuals!AI416</f>
        <v>0</v>
      </c>
      <c r="AM32" s="120">
        <f>+Actuals!AJ416</f>
        <v>0</v>
      </c>
      <c r="AN32" s="120">
        <f>+Actuals!AK416</f>
        <v>0</v>
      </c>
      <c r="AO32" s="120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'TIE-OUT'!AD33+RECLASS!AD33</f>
        <v>0</v>
      </c>
      <c r="G33" s="38">
        <f>'TIE-OUT'!AE33+RECLASS!AE33</f>
        <v>0</v>
      </c>
      <c r="H33" s="120">
        <f>+Actuals!E417</f>
        <v>0</v>
      </c>
      <c r="I33" s="120">
        <f>+Actuals!F417</f>
        <v>0</v>
      </c>
      <c r="J33" s="120">
        <f>+Actuals!G417</f>
        <v>0</v>
      </c>
      <c r="K33" s="120">
        <f>+Actuals!H417</f>
        <v>0</v>
      </c>
      <c r="L33" s="120">
        <f>+Actuals!I417</f>
        <v>0</v>
      </c>
      <c r="M33" s="120">
        <f>+Actuals!J417</f>
        <v>0</v>
      </c>
      <c r="N33" s="120">
        <f>+Actuals!K417</f>
        <v>0</v>
      </c>
      <c r="O33" s="120">
        <f>+Actuals!L417</f>
        <v>0</v>
      </c>
      <c r="P33" s="120">
        <f>+Actuals!M417</f>
        <v>0</v>
      </c>
      <c r="Q33" s="120">
        <f>+Actuals!N417</f>
        <v>0</v>
      </c>
      <c r="R33" s="120">
        <f>+Actuals!O417</f>
        <v>0</v>
      </c>
      <c r="S33" s="120">
        <f>+Actuals!P417</f>
        <v>0</v>
      </c>
      <c r="T33" s="120">
        <f>+Actuals!Q417</f>
        <v>0</v>
      </c>
      <c r="U33" s="120">
        <f>+Actuals!R417</f>
        <v>0</v>
      </c>
      <c r="V33" s="120">
        <f>+Actuals!S417</f>
        <v>0</v>
      </c>
      <c r="W33" s="120">
        <f>+Actuals!T417</f>
        <v>0</v>
      </c>
      <c r="X33" s="120">
        <f>+Actuals!U417</f>
        <v>0</v>
      </c>
      <c r="Y33" s="120">
        <f>+Actuals!V417</f>
        <v>0</v>
      </c>
      <c r="Z33" s="120">
        <f>+Actuals!W417</f>
        <v>0</v>
      </c>
      <c r="AA33" s="120">
        <f>+Actuals!X417</f>
        <v>0</v>
      </c>
      <c r="AB33" s="120">
        <f>+Actuals!Y417</f>
        <v>0</v>
      </c>
      <c r="AC33" s="120">
        <f>+Actuals!Z417</f>
        <v>0</v>
      </c>
      <c r="AD33" s="120">
        <f>+Actuals!AA417</f>
        <v>0</v>
      </c>
      <c r="AE33" s="120">
        <f>+Actuals!AB417</f>
        <v>0</v>
      </c>
      <c r="AF33" s="120">
        <f>+Actuals!AC417</f>
        <v>0</v>
      </c>
      <c r="AG33" s="120">
        <f>+Actuals!AD417</f>
        <v>0</v>
      </c>
      <c r="AH33" s="120">
        <f>+Actuals!AE417</f>
        <v>0</v>
      </c>
      <c r="AI33" s="120">
        <f>+Actuals!AF417</f>
        <v>0</v>
      </c>
      <c r="AJ33" s="120">
        <f>+Actuals!AG417</f>
        <v>0</v>
      </c>
      <c r="AK33" s="120">
        <f>+Actuals!AH417</f>
        <v>0</v>
      </c>
      <c r="AL33" s="120">
        <f>+Actuals!AI417</f>
        <v>0</v>
      </c>
      <c r="AM33" s="120">
        <f>+Actuals!AJ417</f>
        <v>0</v>
      </c>
      <c r="AN33" s="120">
        <f>+Actuals!AK417</f>
        <v>0</v>
      </c>
      <c r="AO33" s="120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'TIE-OUT'!AD34+RECLASS!AD34</f>
        <v>0</v>
      </c>
      <c r="G34" s="38">
        <f>'TIE-OUT'!AE34+RECLASS!AE34</f>
        <v>0</v>
      </c>
      <c r="H34" s="120">
        <f>+Actuals!E418</f>
        <v>0</v>
      </c>
      <c r="I34" s="120">
        <f>+Actuals!F418</f>
        <v>0</v>
      </c>
      <c r="J34" s="120">
        <f>+Actuals!G418</f>
        <v>0</v>
      </c>
      <c r="K34" s="120">
        <f>+Actuals!H418</f>
        <v>0</v>
      </c>
      <c r="L34" s="120">
        <f>+Actuals!I418</f>
        <v>0</v>
      </c>
      <c r="M34" s="120">
        <f>+Actuals!J418</f>
        <v>0</v>
      </c>
      <c r="N34" s="120">
        <f>+Actuals!K418</f>
        <v>0</v>
      </c>
      <c r="O34" s="120">
        <f>+Actuals!L418</f>
        <v>0</v>
      </c>
      <c r="P34" s="120">
        <f>+Actuals!M418</f>
        <v>0</v>
      </c>
      <c r="Q34" s="120">
        <f>+Actuals!N418</f>
        <v>0</v>
      </c>
      <c r="R34" s="120">
        <f>+Actuals!O418</f>
        <v>0</v>
      </c>
      <c r="S34" s="120">
        <f>+Actuals!P418</f>
        <v>0</v>
      </c>
      <c r="T34" s="120">
        <f>+Actuals!Q418</f>
        <v>0</v>
      </c>
      <c r="U34" s="120">
        <f>+Actuals!R418</f>
        <v>0</v>
      </c>
      <c r="V34" s="120">
        <f>+Actuals!S418</f>
        <v>0</v>
      </c>
      <c r="W34" s="120">
        <f>+Actuals!T418</f>
        <v>0</v>
      </c>
      <c r="X34" s="120">
        <f>+Actuals!U418</f>
        <v>0</v>
      </c>
      <c r="Y34" s="120">
        <f>+Actuals!V418</f>
        <v>0</v>
      </c>
      <c r="Z34" s="120">
        <f>+Actuals!W418</f>
        <v>0</v>
      </c>
      <c r="AA34" s="120">
        <f>+Actuals!X418</f>
        <v>0</v>
      </c>
      <c r="AB34" s="120">
        <f>+Actuals!Y418</f>
        <v>0</v>
      </c>
      <c r="AC34" s="120">
        <f>+Actuals!Z418</f>
        <v>0</v>
      </c>
      <c r="AD34" s="120">
        <f>+Actuals!AA418</f>
        <v>0</v>
      </c>
      <c r="AE34" s="120">
        <f>+Actuals!AB418</f>
        <v>0</v>
      </c>
      <c r="AF34" s="120">
        <f>+Actuals!AC418</f>
        <v>0</v>
      </c>
      <c r="AG34" s="120">
        <f>+Actuals!AD418</f>
        <v>0</v>
      </c>
      <c r="AH34" s="120">
        <f>+Actuals!AE418</f>
        <v>0</v>
      </c>
      <c r="AI34" s="120">
        <f>+Actuals!AF418</f>
        <v>0</v>
      </c>
      <c r="AJ34" s="120">
        <f>+Actuals!AG418</f>
        <v>0</v>
      </c>
      <c r="AK34" s="120">
        <f>+Actuals!AH418</f>
        <v>0</v>
      </c>
      <c r="AL34" s="120">
        <f>+Actuals!AI418</f>
        <v>0</v>
      </c>
      <c r="AM34" s="120">
        <f>+Actuals!AJ418</f>
        <v>0</v>
      </c>
      <c r="AN34" s="120">
        <f>+Actuals!AK418</f>
        <v>0</v>
      </c>
      <c r="AO34" s="120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'TIE-OUT'!AD35+RECLASS!AD35</f>
        <v>0</v>
      </c>
      <c r="G35" s="82">
        <f>'TIE-OUT'!AE35+RECLASS!AE35</f>
        <v>0</v>
      </c>
      <c r="H35" s="120">
        <f>+Actuals!E419</f>
        <v>0</v>
      </c>
      <c r="I35" s="120">
        <f>+Actuals!F419</f>
        <v>0</v>
      </c>
      <c r="J35" s="120">
        <f>+Actuals!G419</f>
        <v>0</v>
      </c>
      <c r="K35" s="120">
        <f>+Actuals!H419</f>
        <v>0</v>
      </c>
      <c r="L35" s="120">
        <f>+Actuals!I419</f>
        <v>0</v>
      </c>
      <c r="M35" s="120">
        <f>+Actuals!J419</f>
        <v>0</v>
      </c>
      <c r="N35" s="120">
        <f>+Actuals!K419</f>
        <v>0</v>
      </c>
      <c r="O35" s="120">
        <f>+Actuals!L419</f>
        <v>0</v>
      </c>
      <c r="P35" s="120">
        <f>+Actuals!M419</f>
        <v>0</v>
      </c>
      <c r="Q35" s="120">
        <f>+Actuals!N419</f>
        <v>0</v>
      </c>
      <c r="R35" s="120">
        <f>+Actuals!O419</f>
        <v>0</v>
      </c>
      <c r="S35" s="120">
        <f>+Actuals!P419</f>
        <v>0</v>
      </c>
      <c r="T35" s="120">
        <f>+Actuals!Q419</f>
        <v>0</v>
      </c>
      <c r="U35" s="120">
        <f>+Actuals!R419</f>
        <v>0</v>
      </c>
      <c r="V35" s="120">
        <f>+Actuals!S419</f>
        <v>0</v>
      </c>
      <c r="W35" s="120">
        <f>+Actuals!T419</f>
        <v>0</v>
      </c>
      <c r="X35" s="120">
        <f>+Actuals!U419</f>
        <v>0</v>
      </c>
      <c r="Y35" s="120">
        <f>+Actuals!V419</f>
        <v>0</v>
      </c>
      <c r="Z35" s="120">
        <f>+Actuals!W419</f>
        <v>0</v>
      </c>
      <c r="AA35" s="120">
        <f>+Actuals!X419</f>
        <v>0</v>
      </c>
      <c r="AB35" s="120">
        <f>+Actuals!Y419</f>
        <v>0</v>
      </c>
      <c r="AC35" s="120">
        <f>+Actuals!Z419</f>
        <v>0</v>
      </c>
      <c r="AD35" s="120">
        <f>+Actuals!AA419</f>
        <v>0</v>
      </c>
      <c r="AE35" s="120">
        <f>+Actuals!AB419</f>
        <v>0</v>
      </c>
      <c r="AF35" s="120">
        <f>+Actuals!AC419</f>
        <v>0</v>
      </c>
      <c r="AG35" s="120">
        <f>+Actuals!AD419</f>
        <v>0</v>
      </c>
      <c r="AH35" s="120">
        <f>+Actuals!AE419</f>
        <v>0</v>
      </c>
      <c r="AI35" s="120">
        <f>+Actuals!AF419</f>
        <v>0</v>
      </c>
      <c r="AJ35" s="120">
        <f>+Actuals!AG419</f>
        <v>0</v>
      </c>
      <c r="AK35" s="120">
        <f>+Actuals!AH419</f>
        <v>0</v>
      </c>
      <c r="AL35" s="120">
        <f>+Actuals!AI419</f>
        <v>0</v>
      </c>
      <c r="AM35" s="120">
        <f>+Actuals!AJ419</f>
        <v>0</v>
      </c>
      <c r="AN35" s="120">
        <f>+Actuals!AK419</f>
        <v>0</v>
      </c>
      <c r="AO35" s="120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si="9"/>
        <v>0</v>
      </c>
      <c r="K36" s="61">
        <f t="shared" si="9"/>
        <v>0</v>
      </c>
      <c r="L36" s="61">
        <f t="shared" si="9"/>
        <v>0</v>
      </c>
      <c r="M36" s="61">
        <f t="shared" si="9"/>
        <v>0</v>
      </c>
      <c r="N36" s="61">
        <f t="shared" ref="N36:S36" si="10">SUM(N32:N35)</f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9"/>
        <v>0</v>
      </c>
      <c r="U36" s="61">
        <f t="shared" si="9"/>
        <v>0</v>
      </c>
      <c r="V36" s="61">
        <f t="shared" si="9"/>
        <v>0</v>
      </c>
      <c r="W36" s="61">
        <f t="shared" si="9"/>
        <v>0</v>
      </c>
      <c r="X36" s="61">
        <f t="shared" si="9"/>
        <v>0</v>
      </c>
      <c r="Y36" s="61">
        <f t="shared" si="9"/>
        <v>0</v>
      </c>
      <c r="Z36" s="61">
        <f t="shared" si="9"/>
        <v>0</v>
      </c>
      <c r="AA36" s="61">
        <f t="shared" si="9"/>
        <v>0</v>
      </c>
      <c r="AB36" s="61">
        <f t="shared" si="9"/>
        <v>0</v>
      </c>
      <c r="AC36" s="61">
        <f t="shared" si="9"/>
        <v>0</v>
      </c>
      <c r="AD36" s="61">
        <f t="shared" si="9"/>
        <v>0</v>
      </c>
      <c r="AE36" s="61">
        <f t="shared" si="9"/>
        <v>0</v>
      </c>
      <c r="AF36" s="61">
        <f t="shared" si="9"/>
        <v>0</v>
      </c>
      <c r="AG36" s="61">
        <f t="shared" si="9"/>
        <v>0</v>
      </c>
      <c r="AH36" s="61">
        <f t="shared" si="9"/>
        <v>0</v>
      </c>
      <c r="AI36" s="61">
        <f t="shared" si="9"/>
        <v>0</v>
      </c>
      <c r="AJ36" s="61">
        <f t="shared" si="9"/>
        <v>0</v>
      </c>
      <c r="AK36" s="61">
        <f t="shared" si="9"/>
        <v>0</v>
      </c>
      <c r="AL36" s="61">
        <f t="shared" si="9"/>
        <v>0</v>
      </c>
      <c r="AM36" s="61">
        <f t="shared" si="9"/>
        <v>0</v>
      </c>
      <c r="AN36" s="61">
        <f t="shared" si="9"/>
        <v>0</v>
      </c>
      <c r="AO36" s="61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117507</v>
      </c>
      <c r="E39" s="38">
        <f t="shared" si="11"/>
        <v>272381.23</v>
      </c>
      <c r="F39" s="64">
        <f>'TIE-OUT'!AD39+RECLASS!AD39</f>
        <v>0</v>
      </c>
      <c r="G39" s="68">
        <f>'TIE-OUT'!AE39+RECLASS!AE39</f>
        <v>0</v>
      </c>
      <c r="H39" s="120">
        <f>+Actuals!E420</f>
        <v>0</v>
      </c>
      <c r="I39" s="120">
        <f>+Actuals!F420</f>
        <v>0</v>
      </c>
      <c r="J39" s="120">
        <f>+Actuals!G420</f>
        <v>0</v>
      </c>
      <c r="K39" s="120">
        <f>+Actuals!H420</f>
        <v>0</v>
      </c>
      <c r="L39" s="120">
        <f>+Actuals!I420</f>
        <v>0</v>
      </c>
      <c r="M39" s="120">
        <f>+Actuals!J420</f>
        <v>0</v>
      </c>
      <c r="N39" s="120">
        <f>+Actuals!K420</f>
        <v>0</v>
      </c>
      <c r="O39" s="120">
        <f>+Actuals!L420</f>
        <v>0</v>
      </c>
      <c r="P39" s="120">
        <f>+Actuals!M420</f>
        <v>0</v>
      </c>
      <c r="Q39" s="120">
        <f>+Actuals!N420</f>
        <v>0</v>
      </c>
      <c r="R39" s="120">
        <f>+Actuals!O420</f>
        <v>0</v>
      </c>
      <c r="S39" s="120">
        <f>+Actuals!P420</f>
        <v>0</v>
      </c>
      <c r="T39" s="120">
        <f>+Actuals!Q420</f>
        <v>0</v>
      </c>
      <c r="U39" s="120">
        <f>+Actuals!R420</f>
        <v>0</v>
      </c>
      <c r="V39" s="120">
        <f>+Actuals!S420</f>
        <v>0</v>
      </c>
      <c r="W39" s="120">
        <f>+Actuals!T420</f>
        <v>0</v>
      </c>
      <c r="X39" s="120">
        <f>+Actuals!U420</f>
        <v>0</v>
      </c>
      <c r="Y39" s="120">
        <f>+Actuals!V420</f>
        <v>0</v>
      </c>
      <c r="Z39" s="120">
        <v>117507</v>
      </c>
      <c r="AA39" s="120">
        <v>272381.23</v>
      </c>
      <c r="AB39" s="120">
        <f>+Actuals!Y420</f>
        <v>0</v>
      </c>
      <c r="AC39" s="120">
        <f>+Actuals!Z420</f>
        <v>0</v>
      </c>
      <c r="AD39" s="120">
        <f>+Actuals!AA420</f>
        <v>0</v>
      </c>
      <c r="AE39" s="120">
        <f>+Actuals!AB420</f>
        <v>0</v>
      </c>
      <c r="AF39" s="120">
        <f>+Actuals!AC420</f>
        <v>0</v>
      </c>
      <c r="AG39" s="120">
        <f>+Actuals!AD420</f>
        <v>0</v>
      </c>
      <c r="AH39" s="120">
        <f>+Actuals!AE420</f>
        <v>0</v>
      </c>
      <c r="AI39" s="120">
        <f>+Actuals!AF420</f>
        <v>0</v>
      </c>
      <c r="AJ39" s="120">
        <f>+Actuals!AG420</f>
        <v>0</v>
      </c>
      <c r="AK39" s="120">
        <f>+Actuals!AH420</f>
        <v>0</v>
      </c>
      <c r="AL39" s="120">
        <f>+Actuals!AI420</f>
        <v>0</v>
      </c>
      <c r="AM39" s="120">
        <f>+Actuals!AJ420</f>
        <v>0</v>
      </c>
      <c r="AN39" s="120">
        <f>+Actuals!AK420</f>
        <v>0</v>
      </c>
      <c r="AO39" s="120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'TIE-OUT'!AD40+RECLASS!AD40</f>
        <v>0</v>
      </c>
      <c r="G40" s="38">
        <f>'TIE-OUT'!AE40+RECLASS!AE40</f>
        <v>0</v>
      </c>
      <c r="H40" s="120">
        <f>+Actuals!E421</f>
        <v>0</v>
      </c>
      <c r="I40" s="120">
        <f>+Actuals!F421</f>
        <v>0</v>
      </c>
      <c r="J40" s="120">
        <f>+Actuals!G421</f>
        <v>0</v>
      </c>
      <c r="K40" s="120">
        <f>+Actuals!H421</f>
        <v>0</v>
      </c>
      <c r="L40" s="120">
        <f>+Actuals!I421</f>
        <v>0</v>
      </c>
      <c r="M40" s="120">
        <f>+Actuals!J421</f>
        <v>0</v>
      </c>
      <c r="N40" s="120">
        <f>+Actuals!K421</f>
        <v>0</v>
      </c>
      <c r="O40" s="120">
        <f>+Actuals!L421</f>
        <v>0</v>
      </c>
      <c r="P40" s="120">
        <f>+Actuals!M421</f>
        <v>0</v>
      </c>
      <c r="Q40" s="120">
        <f>+Actuals!N421</f>
        <v>0</v>
      </c>
      <c r="R40" s="120">
        <f>+Actuals!O421</f>
        <v>0</v>
      </c>
      <c r="S40" s="120">
        <f>+Actuals!P421</f>
        <v>0</v>
      </c>
      <c r="T40" s="120">
        <f>+Actuals!Q421</f>
        <v>0</v>
      </c>
      <c r="U40" s="120">
        <f>+Actuals!R421</f>
        <v>0</v>
      </c>
      <c r="V40" s="120">
        <f>+Actuals!S421</f>
        <v>0</v>
      </c>
      <c r="W40" s="120">
        <f>+Actuals!T421</f>
        <v>0</v>
      </c>
      <c r="X40" s="120">
        <f>+Actuals!U421</f>
        <v>0</v>
      </c>
      <c r="Y40" s="120">
        <f>+Actuals!V421</f>
        <v>0</v>
      </c>
      <c r="Z40" s="120">
        <f>+Actuals!W421</f>
        <v>0</v>
      </c>
      <c r="AA40" s="120">
        <f>+Actuals!X421</f>
        <v>0</v>
      </c>
      <c r="AB40" s="120">
        <f>+Actuals!Y421</f>
        <v>0</v>
      </c>
      <c r="AC40" s="120">
        <f>+Actuals!Z421</f>
        <v>0</v>
      </c>
      <c r="AD40" s="120">
        <f>+Actuals!AA421</f>
        <v>0</v>
      </c>
      <c r="AE40" s="120">
        <f>+Actuals!AB421</f>
        <v>0</v>
      </c>
      <c r="AF40" s="120">
        <f>+Actuals!AC421</f>
        <v>0</v>
      </c>
      <c r="AG40" s="120">
        <f>+Actuals!AD421</f>
        <v>0</v>
      </c>
      <c r="AH40" s="120">
        <f>+Actuals!AE421</f>
        <v>0</v>
      </c>
      <c r="AI40" s="120">
        <f>+Actuals!AF421</f>
        <v>0</v>
      </c>
      <c r="AJ40" s="120">
        <f>+Actuals!AG421</f>
        <v>0</v>
      </c>
      <c r="AK40" s="120">
        <f>+Actuals!AH421</f>
        <v>0</v>
      </c>
      <c r="AL40" s="120">
        <f>+Actuals!AI421</f>
        <v>0</v>
      </c>
      <c r="AM40" s="120">
        <f>+Actuals!AJ421</f>
        <v>0</v>
      </c>
      <c r="AN40" s="120">
        <f>+Actuals!AK421</f>
        <v>0</v>
      </c>
      <c r="AO40" s="120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'TIE-OUT'!AD41+RECLASS!AD41</f>
        <v>0</v>
      </c>
      <c r="G41" s="82">
        <f>'TIE-OUT'!AE41+RECLASS!AE41</f>
        <v>0</v>
      </c>
      <c r="H41" s="120">
        <f>+Actuals!E422</f>
        <v>0</v>
      </c>
      <c r="I41" s="120">
        <f>+Actuals!F422</f>
        <v>0</v>
      </c>
      <c r="J41" s="120">
        <f>+Actuals!G422</f>
        <v>0</v>
      </c>
      <c r="K41" s="120">
        <f>+Actuals!H422</f>
        <v>0</v>
      </c>
      <c r="L41" s="120">
        <f>+Actuals!I422</f>
        <v>0</v>
      </c>
      <c r="M41" s="120">
        <f>+Actuals!J422</f>
        <v>0</v>
      </c>
      <c r="N41" s="120">
        <f>+Actuals!K422</f>
        <v>0</v>
      </c>
      <c r="O41" s="120">
        <f>+Actuals!L422</f>
        <v>0</v>
      </c>
      <c r="P41" s="120">
        <f>+Actuals!M422</f>
        <v>0</v>
      </c>
      <c r="Q41" s="120">
        <f>+Actuals!N422</f>
        <v>0</v>
      </c>
      <c r="R41" s="120">
        <f>+Actuals!O422</f>
        <v>0</v>
      </c>
      <c r="S41" s="120">
        <f>+Actuals!P422</f>
        <v>0</v>
      </c>
      <c r="T41" s="120">
        <f>+Actuals!Q422</f>
        <v>0</v>
      </c>
      <c r="U41" s="120">
        <f>+Actuals!R422</f>
        <v>0</v>
      </c>
      <c r="V41" s="120">
        <f>+Actuals!S422</f>
        <v>0</v>
      </c>
      <c r="W41" s="120">
        <f>+Actuals!T422</f>
        <v>0</v>
      </c>
      <c r="X41" s="120">
        <f>+Actuals!U422</f>
        <v>0</v>
      </c>
      <c r="Y41" s="120">
        <f>+Actuals!V422</f>
        <v>0</v>
      </c>
      <c r="Z41" s="120">
        <f>+Actuals!W422</f>
        <v>0</v>
      </c>
      <c r="AA41" s="120">
        <f>+Actuals!X422</f>
        <v>0</v>
      </c>
      <c r="AB41" s="120">
        <f>+Actuals!Y422</f>
        <v>0</v>
      </c>
      <c r="AC41" s="120">
        <f>+Actuals!Z422</f>
        <v>0</v>
      </c>
      <c r="AD41" s="120">
        <f>+Actuals!AA422</f>
        <v>0</v>
      </c>
      <c r="AE41" s="120">
        <f>+Actuals!AB422</f>
        <v>0</v>
      </c>
      <c r="AF41" s="120">
        <f>+Actuals!AC422</f>
        <v>0</v>
      </c>
      <c r="AG41" s="120">
        <f>+Actuals!AD422</f>
        <v>0</v>
      </c>
      <c r="AH41" s="120">
        <f>+Actuals!AE422</f>
        <v>0</v>
      </c>
      <c r="AI41" s="120">
        <f>+Actuals!AF422</f>
        <v>0</v>
      </c>
      <c r="AJ41" s="120">
        <f>+Actuals!AG422</f>
        <v>0</v>
      </c>
      <c r="AK41" s="120">
        <f>+Actuals!AH422</f>
        <v>0</v>
      </c>
      <c r="AL41" s="120">
        <f>+Actuals!AI422</f>
        <v>0</v>
      </c>
      <c r="AM41" s="120">
        <f>+Actuals!AJ422</f>
        <v>0</v>
      </c>
      <c r="AN41" s="120">
        <f>+Actuals!AK422</f>
        <v>0</v>
      </c>
      <c r="AO41" s="120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si="12"/>
        <v>0</v>
      </c>
      <c r="K42" s="61">
        <f t="shared" si="12"/>
        <v>0</v>
      </c>
      <c r="L42" s="61">
        <f t="shared" si="12"/>
        <v>0</v>
      </c>
      <c r="M42" s="61">
        <f t="shared" si="12"/>
        <v>0</v>
      </c>
      <c r="N42" s="61">
        <f t="shared" ref="N42:S42" si="13">SUM(N40:N41)</f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2"/>
        <v>0</v>
      </c>
      <c r="U42" s="61">
        <f t="shared" si="12"/>
        <v>0</v>
      </c>
      <c r="V42" s="61">
        <f t="shared" si="12"/>
        <v>0</v>
      </c>
      <c r="W42" s="61">
        <f t="shared" si="12"/>
        <v>0</v>
      </c>
      <c r="X42" s="61">
        <f t="shared" si="12"/>
        <v>0</v>
      </c>
      <c r="Y42" s="61">
        <f t="shared" si="12"/>
        <v>0</v>
      </c>
      <c r="Z42" s="61">
        <f t="shared" si="12"/>
        <v>0</v>
      </c>
      <c r="AA42" s="61">
        <f t="shared" si="12"/>
        <v>0</v>
      </c>
      <c r="AB42" s="61">
        <f t="shared" si="12"/>
        <v>0</v>
      </c>
      <c r="AC42" s="61">
        <f t="shared" si="12"/>
        <v>0</v>
      </c>
      <c r="AD42" s="61">
        <f t="shared" si="12"/>
        <v>0</v>
      </c>
      <c r="AE42" s="61">
        <f t="shared" si="12"/>
        <v>0</v>
      </c>
      <c r="AF42" s="61">
        <f t="shared" si="12"/>
        <v>0</v>
      </c>
      <c r="AG42" s="61">
        <f t="shared" si="12"/>
        <v>0</v>
      </c>
      <c r="AH42" s="61">
        <f t="shared" si="12"/>
        <v>0</v>
      </c>
      <c r="AI42" s="61">
        <f t="shared" si="12"/>
        <v>0</v>
      </c>
      <c r="AJ42" s="61">
        <f t="shared" si="12"/>
        <v>0</v>
      </c>
      <c r="AK42" s="61">
        <f t="shared" si="12"/>
        <v>0</v>
      </c>
      <c r="AL42" s="61">
        <f t="shared" si="12"/>
        <v>0</v>
      </c>
      <c r="AM42" s="61">
        <f t="shared" si="12"/>
        <v>0</v>
      </c>
      <c r="AN42" s="61">
        <f t="shared" si="12"/>
        <v>0</v>
      </c>
      <c r="AO42" s="61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117507</v>
      </c>
      <c r="E43" s="39">
        <f>E42+E39</f>
        <v>272381.23</v>
      </c>
      <c r="F43" s="61">
        <f>AB42+AB39</f>
        <v>0</v>
      </c>
      <c r="G43" s="39">
        <f>AC42+AC39</f>
        <v>0</v>
      </c>
      <c r="H43" s="61">
        <f t="shared" ref="H43:AO43" si="14">H42+H39</f>
        <v>0</v>
      </c>
      <c r="I43" s="61">
        <f t="shared" si="14"/>
        <v>0</v>
      </c>
      <c r="J43" s="61">
        <f t="shared" si="14"/>
        <v>0</v>
      </c>
      <c r="K43" s="61">
        <f t="shared" si="14"/>
        <v>0</v>
      </c>
      <c r="L43" s="61">
        <f t="shared" si="14"/>
        <v>0</v>
      </c>
      <c r="M43" s="61">
        <f t="shared" si="14"/>
        <v>0</v>
      </c>
      <c r="N43" s="61">
        <f t="shared" ref="N43:S43" si="15">N42+N39</f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4"/>
        <v>0</v>
      </c>
      <c r="U43" s="61">
        <f t="shared" si="14"/>
        <v>0</v>
      </c>
      <c r="V43" s="61">
        <f t="shared" si="14"/>
        <v>0</v>
      </c>
      <c r="W43" s="61">
        <f t="shared" si="14"/>
        <v>0</v>
      </c>
      <c r="X43" s="61">
        <f t="shared" si="14"/>
        <v>0</v>
      </c>
      <c r="Y43" s="61">
        <f t="shared" si="14"/>
        <v>0</v>
      </c>
      <c r="Z43" s="61">
        <f t="shared" si="14"/>
        <v>117507</v>
      </c>
      <c r="AA43" s="61">
        <f t="shared" si="14"/>
        <v>272381.23</v>
      </c>
      <c r="AB43" s="61">
        <f t="shared" si="14"/>
        <v>0</v>
      </c>
      <c r="AC43" s="61">
        <f t="shared" si="14"/>
        <v>0</v>
      </c>
      <c r="AD43" s="61">
        <f t="shared" si="14"/>
        <v>0</v>
      </c>
      <c r="AE43" s="61">
        <f t="shared" si="14"/>
        <v>0</v>
      </c>
      <c r="AF43" s="61">
        <f t="shared" si="14"/>
        <v>0</v>
      </c>
      <c r="AG43" s="61">
        <f t="shared" si="14"/>
        <v>0</v>
      </c>
      <c r="AH43" s="61">
        <f t="shared" si="14"/>
        <v>0</v>
      </c>
      <c r="AI43" s="61">
        <f t="shared" si="14"/>
        <v>0</v>
      </c>
      <c r="AJ43" s="61">
        <f t="shared" si="14"/>
        <v>0</v>
      </c>
      <c r="AK43" s="61">
        <f t="shared" si="14"/>
        <v>0</v>
      </c>
      <c r="AL43" s="61">
        <f t="shared" si="14"/>
        <v>0</v>
      </c>
      <c r="AM43" s="61">
        <f t="shared" si="14"/>
        <v>0</v>
      </c>
      <c r="AN43" s="61">
        <f t="shared" si="14"/>
        <v>0</v>
      </c>
      <c r="AO43" s="61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20">
        <f>+Actuals!E423</f>
        <v>0</v>
      </c>
      <c r="I45" s="120">
        <f>+Actuals!F423</f>
        <v>0</v>
      </c>
      <c r="J45" s="120">
        <f>+Actuals!G423</f>
        <v>0</v>
      </c>
      <c r="K45" s="120">
        <f>+Actuals!H423</f>
        <v>0</v>
      </c>
      <c r="L45" s="120">
        <f>+Actuals!I423</f>
        <v>0</v>
      </c>
      <c r="M45" s="120">
        <f>+Actuals!J423</f>
        <v>0</v>
      </c>
      <c r="N45" s="120">
        <f>+Actuals!K423</f>
        <v>0</v>
      </c>
      <c r="O45" s="120">
        <f>+Actuals!L423</f>
        <v>0</v>
      </c>
      <c r="P45" s="120">
        <f>+Actuals!M423</f>
        <v>0</v>
      </c>
      <c r="Q45" s="120">
        <f>+Actuals!N423</f>
        <v>0</v>
      </c>
      <c r="R45" s="120">
        <f>+Actuals!O423</f>
        <v>0</v>
      </c>
      <c r="S45" s="120">
        <f>+Actuals!P423</f>
        <v>0</v>
      </c>
      <c r="T45" s="120">
        <f>+Actuals!Q423</f>
        <v>0</v>
      </c>
      <c r="U45" s="120">
        <f>+Actuals!R423</f>
        <v>0</v>
      </c>
      <c r="V45" s="120">
        <f>+Actuals!S423</f>
        <v>0</v>
      </c>
      <c r="W45" s="120">
        <f>+Actuals!T423</f>
        <v>0</v>
      </c>
      <c r="X45" s="120">
        <f>+Actuals!U423</f>
        <v>0</v>
      </c>
      <c r="Y45" s="120">
        <f>+Actuals!V423</f>
        <v>0</v>
      </c>
      <c r="Z45" s="120">
        <f>+Actuals!W423</f>
        <v>0</v>
      </c>
      <c r="AA45" s="120">
        <f>+Actuals!X423</f>
        <v>0</v>
      </c>
      <c r="AB45" s="120">
        <f>+Actuals!Y423</f>
        <v>0</v>
      </c>
      <c r="AC45" s="120">
        <f>+Actuals!Z423</f>
        <v>0</v>
      </c>
      <c r="AD45" s="120">
        <f>+Actuals!AA423</f>
        <v>0</v>
      </c>
      <c r="AE45" s="120">
        <f>+Actuals!AB423</f>
        <v>0</v>
      </c>
      <c r="AF45" s="120">
        <f>+Actuals!AC423</f>
        <v>0</v>
      </c>
      <c r="AG45" s="120">
        <f>+Actuals!AD423</f>
        <v>0</v>
      </c>
      <c r="AH45" s="120">
        <f>+Actuals!AE423</f>
        <v>0</v>
      </c>
      <c r="AI45" s="120">
        <f>+Actuals!AF423</f>
        <v>0</v>
      </c>
      <c r="AJ45" s="120">
        <f>+Actuals!AG423</f>
        <v>0</v>
      </c>
      <c r="AK45" s="120">
        <f>+Actuals!AH423</f>
        <v>0</v>
      </c>
      <c r="AL45" s="120">
        <f>+Actuals!AI423</f>
        <v>0</v>
      </c>
      <c r="AM45" s="120">
        <f>+Actuals!AJ423</f>
        <v>0</v>
      </c>
      <c r="AN45" s="120">
        <f>+Actuals!AK423</f>
        <v>0</v>
      </c>
      <c r="AO45" s="120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20">
        <f>+Actuals!E424</f>
        <v>0</v>
      </c>
      <c r="I47" s="120">
        <f>+Actuals!F424</f>
        <v>0</v>
      </c>
      <c r="J47" s="120">
        <f>+Actuals!G424</f>
        <v>0</v>
      </c>
      <c r="K47" s="120">
        <f>+Actuals!H424</f>
        <v>0</v>
      </c>
      <c r="L47" s="120">
        <f>+Actuals!I424</f>
        <v>0</v>
      </c>
      <c r="M47" s="120">
        <f>+Actuals!J424</f>
        <v>0</v>
      </c>
      <c r="N47" s="120">
        <f>+Actuals!K424</f>
        <v>0</v>
      </c>
      <c r="O47" s="120">
        <f>+Actuals!L424</f>
        <v>0</v>
      </c>
      <c r="P47" s="120">
        <f>+Actuals!M424</f>
        <v>0</v>
      </c>
      <c r="Q47" s="120">
        <f>+Actuals!N424</f>
        <v>0</v>
      </c>
      <c r="R47" s="120">
        <f>+Actuals!O424</f>
        <v>0</v>
      </c>
      <c r="S47" s="120">
        <f>+Actuals!P424</f>
        <v>0</v>
      </c>
      <c r="T47" s="120">
        <f>+Actuals!Q424</f>
        <v>0</v>
      </c>
      <c r="U47" s="120">
        <f>+Actuals!R424</f>
        <v>0</v>
      </c>
      <c r="V47" s="120">
        <f>+Actuals!S424</f>
        <v>0</v>
      </c>
      <c r="W47" s="120">
        <f>+Actuals!T424</f>
        <v>0</v>
      </c>
      <c r="X47" s="120">
        <f>+Actuals!U424</f>
        <v>0</v>
      </c>
      <c r="Y47" s="120">
        <f>+Actuals!V424</f>
        <v>0</v>
      </c>
      <c r="Z47" s="120">
        <f>+Actuals!W424</f>
        <v>0</v>
      </c>
      <c r="AA47" s="120">
        <f>+Actuals!X424</f>
        <v>0</v>
      </c>
      <c r="AB47" s="120">
        <f>+Actuals!Y424</f>
        <v>0</v>
      </c>
      <c r="AC47" s="120">
        <f>+Actuals!Z424</f>
        <v>0</v>
      </c>
      <c r="AD47" s="120">
        <f>+Actuals!AA424</f>
        <v>0</v>
      </c>
      <c r="AE47" s="120">
        <f>+Actuals!AB424</f>
        <v>0</v>
      </c>
      <c r="AF47" s="120">
        <f>+Actuals!AC424</f>
        <v>0</v>
      </c>
      <c r="AG47" s="120">
        <f>+Actuals!AD424</f>
        <v>0</v>
      </c>
      <c r="AH47" s="120">
        <f>+Actuals!AE424</f>
        <v>0</v>
      </c>
      <c r="AI47" s="120">
        <f>+Actuals!AF424</f>
        <v>0</v>
      </c>
      <c r="AJ47" s="120">
        <f>+Actuals!AG424</f>
        <v>0</v>
      </c>
      <c r="AK47" s="120">
        <f>+Actuals!AH424</f>
        <v>0</v>
      </c>
      <c r="AL47" s="120">
        <f>+Actuals!AI424</f>
        <v>0</v>
      </c>
      <c r="AM47" s="120">
        <f>+Actuals!AJ424</f>
        <v>0</v>
      </c>
      <c r="AN47" s="120">
        <f>+Actuals!AK424</f>
        <v>0</v>
      </c>
      <c r="AO47" s="120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-76931</v>
      </c>
      <c r="E49" s="38">
        <f>SUM(G49,I49,K49,M49,O49,Q49,S49,U49,W49,Y49,AA49,AC49,AE49)</f>
        <v>-178326.06199999992</v>
      </c>
      <c r="F49" s="60">
        <f>'TIE-OUT'!AD49+RECLASS!AD49</f>
        <v>0</v>
      </c>
      <c r="G49" s="38">
        <f>'TIE-OUT'!AE49+RECLASS!AE49</f>
        <v>0</v>
      </c>
      <c r="H49" s="120">
        <f>+Actuals!E425</f>
        <v>39089</v>
      </c>
      <c r="I49" s="120">
        <f>+Actuals!F425</f>
        <v>90608.301999999996</v>
      </c>
      <c r="J49" s="120">
        <f>+Actuals!G425</f>
        <v>-1189257</v>
      </c>
      <c r="K49" s="120">
        <f>+Actuals!H425</f>
        <v>-2756697.7260000003</v>
      </c>
      <c r="L49" s="120">
        <f>+Actuals!I425</f>
        <v>-89832</v>
      </c>
      <c r="M49" s="120">
        <f>+Actuals!J425</f>
        <v>-208230.576</v>
      </c>
      <c r="N49" s="120">
        <f>+Actuals!K425</f>
        <v>19770</v>
      </c>
      <c r="O49" s="120">
        <f>+Actuals!L425</f>
        <v>45826.86</v>
      </c>
      <c r="P49" s="120">
        <f>+Actuals!M425</f>
        <v>20091</v>
      </c>
      <c r="Q49" s="120">
        <f>+Actuals!N425</f>
        <v>46570.938000000002</v>
      </c>
      <c r="R49" s="120">
        <f>+Actuals!O425</f>
        <v>-20091</v>
      </c>
      <c r="S49" s="120">
        <f>+Actuals!P425</f>
        <v>-46570.938000000002</v>
      </c>
      <c r="T49" s="120">
        <f>+Actuals!Q425</f>
        <v>1260806</v>
      </c>
      <c r="U49" s="120">
        <f>+Actuals!R425</f>
        <v>2922548.3080000002</v>
      </c>
      <c r="V49" s="120">
        <f>+Actuals!S424</f>
        <v>0</v>
      </c>
      <c r="W49" s="120">
        <f>+Actuals!T424</f>
        <v>0</v>
      </c>
      <c r="X49" s="120">
        <f>+Actuals!U425</f>
        <v>0</v>
      </c>
      <c r="Y49" s="120">
        <f>+Actuals!V425</f>
        <v>0</v>
      </c>
      <c r="Z49" s="120">
        <v>-117507</v>
      </c>
      <c r="AA49" s="120">
        <v>-272381.23</v>
      </c>
      <c r="AB49" s="120">
        <f>+Actuals!Y425</f>
        <v>0</v>
      </c>
      <c r="AC49" s="120">
        <f>+Actuals!Z425</f>
        <v>0</v>
      </c>
      <c r="AD49" s="120">
        <f>+Actuals!AA425</f>
        <v>0</v>
      </c>
      <c r="AE49" s="120">
        <f>+Actuals!AB425</f>
        <v>0</v>
      </c>
      <c r="AF49" s="120">
        <f>+Actuals!AC425</f>
        <v>0</v>
      </c>
      <c r="AG49" s="120">
        <f>+Actuals!AD425</f>
        <v>0</v>
      </c>
      <c r="AH49" s="120">
        <f>+Actuals!AE425</f>
        <v>0</v>
      </c>
      <c r="AI49" s="120">
        <f>+Actuals!AF425</f>
        <v>0</v>
      </c>
      <c r="AJ49" s="120">
        <f>+Actuals!AG425</f>
        <v>0</v>
      </c>
      <c r="AK49" s="120">
        <f>+Actuals!AH425</f>
        <v>0</v>
      </c>
      <c r="AL49" s="120">
        <f>+Actuals!AI425</f>
        <v>0</v>
      </c>
      <c r="AM49" s="120">
        <f>+Actuals!AJ425</f>
        <v>0</v>
      </c>
      <c r="AN49" s="120">
        <f>+Actuals!AK425</f>
        <v>0</v>
      </c>
      <c r="AO49" s="120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20">
        <f>+Actuals!E426</f>
        <v>0</v>
      </c>
      <c r="I51" s="120">
        <f>+Actuals!F426</f>
        <v>0</v>
      </c>
      <c r="J51" s="120">
        <f>+Actuals!G426</f>
        <v>0</v>
      </c>
      <c r="K51" s="120">
        <f>+Actuals!H426</f>
        <v>0</v>
      </c>
      <c r="L51" s="120">
        <f>+Actuals!I426</f>
        <v>0</v>
      </c>
      <c r="M51" s="120">
        <f>+Actuals!J426</f>
        <v>0</v>
      </c>
      <c r="N51" s="120">
        <f>+Actuals!K426</f>
        <v>0</v>
      </c>
      <c r="O51" s="120">
        <f>+Actuals!L426</f>
        <v>0</v>
      </c>
      <c r="P51" s="120">
        <f>+Actuals!M426</f>
        <v>0</v>
      </c>
      <c r="Q51" s="120">
        <f>+Actuals!N426</f>
        <v>0</v>
      </c>
      <c r="R51" s="120">
        <f>+Actuals!O426</f>
        <v>0</v>
      </c>
      <c r="S51" s="120">
        <f>+Actuals!P426</f>
        <v>0</v>
      </c>
      <c r="T51" s="120">
        <f>+Actuals!Q426</f>
        <v>0</v>
      </c>
      <c r="U51" s="120">
        <f>+Actuals!R426</f>
        <v>0</v>
      </c>
      <c r="V51" s="120">
        <f>+Actuals!S426</f>
        <v>0</v>
      </c>
      <c r="W51" s="120">
        <f>+Actuals!T426</f>
        <v>0</v>
      </c>
      <c r="X51" s="120">
        <f>+Actuals!U426</f>
        <v>0</v>
      </c>
      <c r="Y51" s="120">
        <f>+Actuals!V426</f>
        <v>0</v>
      </c>
      <c r="Z51" s="120">
        <f>+Actuals!W426</f>
        <v>0</v>
      </c>
      <c r="AA51" s="120">
        <f>+Actuals!X426</f>
        <v>0</v>
      </c>
      <c r="AB51" s="120">
        <f>+Actuals!Y426</f>
        <v>0</v>
      </c>
      <c r="AC51" s="120">
        <f>+Actuals!Z426</f>
        <v>0</v>
      </c>
      <c r="AD51" s="120">
        <f>+Actuals!AA426</f>
        <v>0</v>
      </c>
      <c r="AE51" s="120">
        <f>+Actuals!AB426</f>
        <v>0</v>
      </c>
      <c r="AF51" s="120">
        <f>+Actuals!AC426</f>
        <v>0</v>
      </c>
      <c r="AG51" s="120">
        <f>+Actuals!AD426</f>
        <v>0</v>
      </c>
      <c r="AH51" s="120">
        <f>+Actuals!AE426</f>
        <v>0</v>
      </c>
      <c r="AI51" s="120">
        <f>+Actuals!AF426</f>
        <v>0</v>
      </c>
      <c r="AJ51" s="120">
        <f>+Actuals!AG426</f>
        <v>0</v>
      </c>
      <c r="AK51" s="120">
        <f>+Actuals!AH426</f>
        <v>0</v>
      </c>
      <c r="AL51" s="120">
        <f>+Actuals!AI426</f>
        <v>0</v>
      </c>
      <c r="AM51" s="120">
        <f>+Actuals!AJ426</f>
        <v>0</v>
      </c>
      <c r="AN51" s="120">
        <f>+Actuals!AK426</f>
        <v>0</v>
      </c>
      <c r="AO51" s="120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-122243.13</v>
      </c>
      <c r="E54" s="38">
        <f>SUM(G54,I54,K54,M54,O54,Q54,S54,U54,W54,Y54,AA54,AC54,AE54)</f>
        <v>-642084.04999999993</v>
      </c>
      <c r="F54" s="64">
        <f>'TIE-OUT'!AD54+RECLASS!AD54</f>
        <v>0</v>
      </c>
      <c r="G54" s="68">
        <f>'TIE-OUT'!AE54+RECLASS!AE54</f>
        <v>0</v>
      </c>
      <c r="H54" s="120">
        <f>+Actuals!E427</f>
        <v>0</v>
      </c>
      <c r="I54" s="120">
        <f>+Actuals!F427</f>
        <v>0</v>
      </c>
      <c r="J54" s="120">
        <f>+Actuals!G427</f>
        <v>0</v>
      </c>
      <c r="K54" s="120">
        <f>+Actuals!H427</f>
        <v>0</v>
      </c>
      <c r="L54" s="120">
        <f>+Actuals!I427</f>
        <v>0</v>
      </c>
      <c r="M54" s="120">
        <f>+Actuals!J427</f>
        <v>0</v>
      </c>
      <c r="N54" s="120">
        <f>+Actuals!K427</f>
        <v>0</v>
      </c>
      <c r="O54" s="120">
        <f>+Actuals!L427</f>
        <v>0</v>
      </c>
      <c r="P54" s="120">
        <f>+Actuals!M427</f>
        <v>0</v>
      </c>
      <c r="Q54" s="120">
        <f>+Actuals!N427</f>
        <v>0</v>
      </c>
      <c r="R54" s="120">
        <f>+Actuals!O427</f>
        <v>0</v>
      </c>
      <c r="S54" s="120">
        <f>+Actuals!P427</f>
        <v>0</v>
      </c>
      <c r="T54" s="120">
        <f>+Actuals!Q427</f>
        <v>0</v>
      </c>
      <c r="U54" s="120">
        <f>+Actuals!R427</f>
        <v>-631249.36</v>
      </c>
      <c r="V54" s="120">
        <f>+Actuals!S427</f>
        <v>0</v>
      </c>
      <c r="W54" s="120">
        <v>-198.2</v>
      </c>
      <c r="X54" s="120">
        <v>-3421</v>
      </c>
      <c r="Y54" s="120">
        <v>969.87</v>
      </c>
      <c r="Z54" s="120">
        <v>-118822.13</v>
      </c>
      <c r="AA54" s="120">
        <v>-11606.36</v>
      </c>
      <c r="AB54" s="120">
        <f>+Actuals!Y427</f>
        <v>0</v>
      </c>
      <c r="AC54" s="120">
        <f>+Actuals!Z427</f>
        <v>0</v>
      </c>
      <c r="AD54" s="120">
        <f>+Actuals!AA427</f>
        <v>0</v>
      </c>
      <c r="AE54" s="120">
        <f>+Actuals!AB427</f>
        <v>0</v>
      </c>
      <c r="AF54" s="120">
        <f>+Actuals!AC427</f>
        <v>0</v>
      </c>
      <c r="AG54" s="120">
        <f>+Actuals!AD427</f>
        <v>0</v>
      </c>
      <c r="AH54" s="120">
        <f>+Actuals!AE427</f>
        <v>0</v>
      </c>
      <c r="AI54" s="120">
        <f>+Actuals!AF427</f>
        <v>0</v>
      </c>
      <c r="AJ54" s="120">
        <f>+Actuals!AG427</f>
        <v>0</v>
      </c>
      <c r="AK54" s="120">
        <f>+Actuals!AH427</f>
        <v>0</v>
      </c>
      <c r="AL54" s="120">
        <f>+Actuals!AI427</f>
        <v>0</v>
      </c>
      <c r="AM54" s="120">
        <f>+Actuals!AJ427</f>
        <v>0</v>
      </c>
      <c r="AN54" s="120">
        <f>+Actuals!AK427</f>
        <v>0</v>
      </c>
      <c r="AO54" s="120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20">
        <f>+Actuals!E428</f>
        <v>0</v>
      </c>
      <c r="I55" s="120">
        <f>+Actuals!F428</f>
        <v>0</v>
      </c>
      <c r="J55" s="120">
        <f>+Actuals!G428</f>
        <v>0</v>
      </c>
      <c r="K55" s="120">
        <f>+Actuals!H428</f>
        <v>0</v>
      </c>
      <c r="L55" s="120">
        <f>+Actuals!I428</f>
        <v>0</v>
      </c>
      <c r="M55" s="120">
        <f>+Actuals!J428</f>
        <v>0</v>
      </c>
      <c r="N55" s="120">
        <f>+Actuals!K428</f>
        <v>0</v>
      </c>
      <c r="O55" s="120">
        <f>+Actuals!L428</f>
        <v>0</v>
      </c>
      <c r="P55" s="120">
        <f>+Actuals!M428</f>
        <v>0</v>
      </c>
      <c r="Q55" s="120">
        <f>+Actuals!N428</f>
        <v>0</v>
      </c>
      <c r="R55" s="120">
        <f>+Actuals!O428</f>
        <v>0</v>
      </c>
      <c r="S55" s="120">
        <f>+Actuals!P428</f>
        <v>0</v>
      </c>
      <c r="T55" s="120">
        <f>+Actuals!Q428</f>
        <v>0</v>
      </c>
      <c r="U55" s="120">
        <f>+Actuals!R428</f>
        <v>0</v>
      </c>
      <c r="V55" s="120">
        <f>+Actuals!S428</f>
        <v>0</v>
      </c>
      <c r="W55" s="120">
        <f>+Actuals!T428</f>
        <v>0</v>
      </c>
      <c r="X55" s="120">
        <f>+Actuals!U428</f>
        <v>0</v>
      </c>
      <c r="Y55" s="120">
        <f>+Actuals!V428</f>
        <v>0</v>
      </c>
      <c r="Z55" s="120">
        <f>+Actuals!W428</f>
        <v>0</v>
      </c>
      <c r="AA55" s="120">
        <f>+Actuals!X428</f>
        <v>0</v>
      </c>
      <c r="AB55" s="120">
        <f>+Actuals!Y428</f>
        <v>0</v>
      </c>
      <c r="AC55" s="120">
        <f>+Actuals!Z428</f>
        <v>0</v>
      </c>
      <c r="AD55" s="120">
        <f>+Actuals!AA428</f>
        <v>0</v>
      </c>
      <c r="AE55" s="120">
        <f>+Actuals!AB428</f>
        <v>0</v>
      </c>
      <c r="AF55" s="120">
        <f>+Actuals!AC428</f>
        <v>0</v>
      </c>
      <c r="AG55" s="120">
        <f>+Actuals!AD428</f>
        <v>0</v>
      </c>
      <c r="AH55" s="120">
        <f>+Actuals!AE428</f>
        <v>0</v>
      </c>
      <c r="AI55" s="120">
        <f>+Actuals!AF428</f>
        <v>0</v>
      </c>
      <c r="AJ55" s="120">
        <f>+Actuals!AG428</f>
        <v>0</v>
      </c>
      <c r="AK55" s="120">
        <f>+Actuals!AH428</f>
        <v>0</v>
      </c>
      <c r="AL55" s="120">
        <f>+Actuals!AI428</f>
        <v>0</v>
      </c>
      <c r="AM55" s="120">
        <f>+Actuals!AJ428</f>
        <v>0</v>
      </c>
      <c r="AN55" s="120">
        <f>+Actuals!AK428</f>
        <v>0</v>
      </c>
      <c r="AO55" s="120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6">SUM(D54:D55)</f>
        <v>-122243.13</v>
      </c>
      <c r="E56" s="39">
        <f t="shared" si="16"/>
        <v>-642084.04999999993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si="16"/>
        <v>0</v>
      </c>
      <c r="K56" s="61">
        <f t="shared" si="16"/>
        <v>0</v>
      </c>
      <c r="L56" s="61">
        <f t="shared" si="16"/>
        <v>0</v>
      </c>
      <c r="M56" s="61">
        <f t="shared" si="16"/>
        <v>0</v>
      </c>
      <c r="N56" s="61">
        <f t="shared" ref="N56:S56" si="17">SUM(N54:N55)</f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6"/>
        <v>0</v>
      </c>
      <c r="U56" s="61">
        <f t="shared" si="16"/>
        <v>-631249.36</v>
      </c>
      <c r="V56" s="61">
        <f t="shared" si="16"/>
        <v>0</v>
      </c>
      <c r="W56" s="61">
        <f t="shared" si="16"/>
        <v>-198.2</v>
      </c>
      <c r="X56" s="61">
        <f t="shared" si="16"/>
        <v>-3421</v>
      </c>
      <c r="Y56" s="61">
        <f t="shared" si="16"/>
        <v>969.87</v>
      </c>
      <c r="Z56" s="61">
        <f t="shared" si="16"/>
        <v>-118822.13</v>
      </c>
      <c r="AA56" s="61">
        <f t="shared" si="16"/>
        <v>-11606.36</v>
      </c>
      <c r="AB56" s="61">
        <f t="shared" si="16"/>
        <v>0</v>
      </c>
      <c r="AC56" s="61">
        <f t="shared" si="16"/>
        <v>0</v>
      </c>
      <c r="AD56" s="61">
        <f t="shared" si="16"/>
        <v>0</v>
      </c>
      <c r="AE56" s="61">
        <f t="shared" si="16"/>
        <v>0</v>
      </c>
      <c r="AF56" s="61">
        <f t="shared" si="16"/>
        <v>0</v>
      </c>
      <c r="AG56" s="61">
        <f t="shared" si="16"/>
        <v>0</v>
      </c>
      <c r="AH56" s="61">
        <f t="shared" si="16"/>
        <v>0</v>
      </c>
      <c r="AI56" s="61">
        <f t="shared" si="16"/>
        <v>0</v>
      </c>
      <c r="AJ56" s="61">
        <f t="shared" si="16"/>
        <v>0</v>
      </c>
      <c r="AK56" s="61">
        <f t="shared" si="16"/>
        <v>0</v>
      </c>
      <c r="AL56" s="61">
        <f t="shared" si="16"/>
        <v>0</v>
      </c>
      <c r="AM56" s="61">
        <f t="shared" si="16"/>
        <v>0</v>
      </c>
      <c r="AN56" s="61">
        <f t="shared" si="16"/>
        <v>0</v>
      </c>
      <c r="AO56" s="61">
        <f t="shared" si="16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20">
        <f>+Actuals!E429</f>
        <v>0</v>
      </c>
      <c r="I59" s="120">
        <f>+Actuals!F429</f>
        <v>0</v>
      </c>
      <c r="J59" s="120">
        <f>+Actuals!G429</f>
        <v>0</v>
      </c>
      <c r="K59" s="120">
        <f>+Actuals!H429</f>
        <v>0</v>
      </c>
      <c r="L59" s="120">
        <f>+Actuals!I429</f>
        <v>0</v>
      </c>
      <c r="M59" s="120">
        <f>+Actuals!J429</f>
        <v>0</v>
      </c>
      <c r="N59" s="120">
        <f>+Actuals!K429</f>
        <v>0</v>
      </c>
      <c r="O59" s="120">
        <f>+Actuals!L429</f>
        <v>0</v>
      </c>
      <c r="P59" s="120">
        <f>+Actuals!M429</f>
        <v>0</v>
      </c>
      <c r="Q59" s="120">
        <f>+Actuals!N429</f>
        <v>0</v>
      </c>
      <c r="R59" s="120">
        <f>+Actuals!O429</f>
        <v>0</v>
      </c>
      <c r="S59" s="120">
        <f>+Actuals!P429</f>
        <v>0</v>
      </c>
      <c r="T59" s="120">
        <f>+Actuals!Q429</f>
        <v>0</v>
      </c>
      <c r="U59" s="120">
        <f>+Actuals!R429</f>
        <v>0</v>
      </c>
      <c r="V59" s="120">
        <f>+Actuals!S429</f>
        <v>0</v>
      </c>
      <c r="W59" s="120">
        <f>+Actuals!T429</f>
        <v>0</v>
      </c>
      <c r="X59" s="120">
        <f>+Actuals!U429</f>
        <v>0</v>
      </c>
      <c r="Y59" s="120">
        <f>+Actuals!V429</f>
        <v>0</v>
      </c>
      <c r="Z59" s="120">
        <f>+Actuals!W429</f>
        <v>0</v>
      </c>
      <c r="AA59" s="120">
        <f>+Actuals!X429</f>
        <v>0</v>
      </c>
      <c r="AB59" s="120">
        <f>+Actuals!Y429</f>
        <v>0</v>
      </c>
      <c r="AC59" s="120">
        <f>+Actuals!Z429</f>
        <v>0</v>
      </c>
      <c r="AD59" s="120">
        <f>+Actuals!AA429</f>
        <v>0</v>
      </c>
      <c r="AE59" s="120">
        <f>+Actuals!AB429</f>
        <v>0</v>
      </c>
      <c r="AF59" s="120">
        <f>+Actuals!AC429</f>
        <v>0</v>
      </c>
      <c r="AG59" s="120">
        <f>+Actuals!AD429</f>
        <v>0</v>
      </c>
      <c r="AH59" s="120">
        <f>+Actuals!AE429</f>
        <v>0</v>
      </c>
      <c r="AI59" s="120">
        <f>+Actuals!AF429</f>
        <v>0</v>
      </c>
      <c r="AJ59" s="120">
        <f>+Actuals!AG429</f>
        <v>0</v>
      </c>
      <c r="AK59" s="120">
        <f>+Actuals!AH429</f>
        <v>0</v>
      </c>
      <c r="AL59" s="120">
        <f>+Actuals!AI429</f>
        <v>0</v>
      </c>
      <c r="AM59" s="120">
        <f>+Actuals!AJ429</f>
        <v>0</v>
      </c>
      <c r="AN59" s="120">
        <f>+Actuals!AK429</f>
        <v>0</v>
      </c>
      <c r="AO59" s="120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20">
        <f>+Actuals!E430</f>
        <v>0</v>
      </c>
      <c r="I60" s="120">
        <f>+Actuals!F430</f>
        <v>0</v>
      </c>
      <c r="J60" s="120">
        <f>+Actuals!G430</f>
        <v>0</v>
      </c>
      <c r="K60" s="120">
        <f>+Actuals!H430</f>
        <v>0</v>
      </c>
      <c r="L60" s="120">
        <f>+Actuals!I430</f>
        <v>0</v>
      </c>
      <c r="M60" s="120">
        <f>+Actuals!J430</f>
        <v>0</v>
      </c>
      <c r="N60" s="120">
        <f>+Actuals!K430</f>
        <v>0</v>
      </c>
      <c r="O60" s="120">
        <f>+Actuals!L430</f>
        <v>0</v>
      </c>
      <c r="P60" s="120">
        <f>+Actuals!M430</f>
        <v>0</v>
      </c>
      <c r="Q60" s="120">
        <f>+Actuals!N430</f>
        <v>0</v>
      </c>
      <c r="R60" s="120">
        <f>+Actuals!O430</f>
        <v>0</v>
      </c>
      <c r="S60" s="120">
        <f>+Actuals!P430</f>
        <v>0</v>
      </c>
      <c r="T60" s="120">
        <f>+Actuals!Q430</f>
        <v>0</v>
      </c>
      <c r="U60" s="120">
        <f>+Actuals!R430</f>
        <v>0</v>
      </c>
      <c r="V60" s="120">
        <f>+Actuals!S430</f>
        <v>0</v>
      </c>
      <c r="W60" s="120">
        <f>+Actuals!T430</f>
        <v>0</v>
      </c>
      <c r="X60" s="120">
        <f>+Actuals!U430</f>
        <v>0</v>
      </c>
      <c r="Y60" s="120">
        <f>+Actuals!V430</f>
        <v>0</v>
      </c>
      <c r="Z60" s="120">
        <f>+Actuals!W430</f>
        <v>0</v>
      </c>
      <c r="AA60" s="120">
        <f>+Actuals!X430</f>
        <v>0</v>
      </c>
      <c r="AB60" s="120">
        <f>+Actuals!Y430</f>
        <v>0</v>
      </c>
      <c r="AC60" s="120">
        <f>+Actuals!Z430</f>
        <v>0</v>
      </c>
      <c r="AD60" s="120">
        <f>+Actuals!AA430</f>
        <v>0</v>
      </c>
      <c r="AE60" s="120">
        <f>+Actuals!AB430</f>
        <v>0</v>
      </c>
      <c r="AF60" s="120">
        <f>+Actuals!AC430</f>
        <v>0</v>
      </c>
      <c r="AG60" s="120">
        <f>+Actuals!AD430</f>
        <v>0</v>
      </c>
      <c r="AH60" s="120">
        <f>+Actuals!AE430</f>
        <v>0</v>
      </c>
      <c r="AI60" s="120">
        <f>+Actuals!AF430</f>
        <v>0</v>
      </c>
      <c r="AJ60" s="120">
        <f>+Actuals!AG430</f>
        <v>0</v>
      </c>
      <c r="AK60" s="120">
        <f>+Actuals!AH430</f>
        <v>0</v>
      </c>
      <c r="AL60" s="120">
        <f>+Actuals!AI430</f>
        <v>0</v>
      </c>
      <c r="AM60" s="120">
        <f>+Actuals!AJ430</f>
        <v>0</v>
      </c>
      <c r="AN60" s="120">
        <f>+Actuals!AK430</f>
        <v>0</v>
      </c>
      <c r="AO60" s="120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si="18"/>
        <v>0</v>
      </c>
      <c r="K61" s="61">
        <f t="shared" si="18"/>
        <v>0</v>
      </c>
      <c r="L61" s="61">
        <f t="shared" si="18"/>
        <v>0</v>
      </c>
      <c r="M61" s="61">
        <f t="shared" si="18"/>
        <v>0</v>
      </c>
      <c r="N61" s="61">
        <f t="shared" ref="N61:S61" si="19">SUM(N59:N60)</f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8"/>
        <v>0</v>
      </c>
      <c r="U61" s="61">
        <f t="shared" si="18"/>
        <v>0</v>
      </c>
      <c r="V61" s="61">
        <f t="shared" si="18"/>
        <v>0</v>
      </c>
      <c r="W61" s="61">
        <f t="shared" si="18"/>
        <v>0</v>
      </c>
      <c r="X61" s="61">
        <f t="shared" si="18"/>
        <v>0</v>
      </c>
      <c r="Y61" s="61">
        <f t="shared" si="18"/>
        <v>0</v>
      </c>
      <c r="Z61" s="61">
        <f t="shared" si="18"/>
        <v>0</v>
      </c>
      <c r="AA61" s="61">
        <f t="shared" si="18"/>
        <v>0</v>
      </c>
      <c r="AB61" s="61">
        <f t="shared" si="18"/>
        <v>0</v>
      </c>
      <c r="AC61" s="61">
        <f t="shared" si="18"/>
        <v>0</v>
      </c>
      <c r="AD61" s="61">
        <f t="shared" si="18"/>
        <v>0</v>
      </c>
      <c r="AE61" s="61">
        <f t="shared" si="18"/>
        <v>0</v>
      </c>
      <c r="AF61" s="61">
        <f t="shared" si="18"/>
        <v>0</v>
      </c>
      <c r="AG61" s="61">
        <f t="shared" si="18"/>
        <v>0</v>
      </c>
      <c r="AH61" s="61">
        <f t="shared" si="18"/>
        <v>0</v>
      </c>
      <c r="AI61" s="61">
        <f t="shared" si="18"/>
        <v>0</v>
      </c>
      <c r="AJ61" s="61">
        <f t="shared" si="18"/>
        <v>0</v>
      </c>
      <c r="AK61" s="61">
        <f t="shared" si="18"/>
        <v>0</v>
      </c>
      <c r="AL61" s="61">
        <f t="shared" si="18"/>
        <v>0</v>
      </c>
      <c r="AM61" s="61">
        <f t="shared" si="18"/>
        <v>0</v>
      </c>
      <c r="AN61" s="61">
        <f t="shared" si="18"/>
        <v>0</v>
      </c>
      <c r="AO61" s="61">
        <f t="shared" si="18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20">
        <f>+Actuals!E431</f>
        <v>0</v>
      </c>
      <c r="I64" s="120">
        <f>+Actuals!F431</f>
        <v>0</v>
      </c>
      <c r="J64" s="120">
        <f>+Actuals!G431</f>
        <v>0</v>
      </c>
      <c r="K64" s="120">
        <f>+Actuals!H431</f>
        <v>0</v>
      </c>
      <c r="L64" s="120">
        <f>+Actuals!I431</f>
        <v>0</v>
      </c>
      <c r="M64" s="120">
        <f>+Actuals!J431</f>
        <v>0</v>
      </c>
      <c r="N64" s="120">
        <f>+Actuals!K431</f>
        <v>0</v>
      </c>
      <c r="O64" s="120">
        <f>+Actuals!L431</f>
        <v>0</v>
      </c>
      <c r="P64" s="120">
        <f>+Actuals!M431</f>
        <v>0</v>
      </c>
      <c r="Q64" s="120">
        <f>+Actuals!N431</f>
        <v>0</v>
      </c>
      <c r="R64" s="120">
        <f>+Actuals!O431</f>
        <v>0</v>
      </c>
      <c r="S64" s="120">
        <f>+Actuals!P431</f>
        <v>0</v>
      </c>
      <c r="T64" s="120">
        <f>+Actuals!Q431</f>
        <v>0</v>
      </c>
      <c r="U64" s="120">
        <f>+Actuals!R431</f>
        <v>0</v>
      </c>
      <c r="V64" s="120">
        <f>+Actuals!S431</f>
        <v>0</v>
      </c>
      <c r="W64" s="120">
        <f>+Actuals!T431</f>
        <v>0</v>
      </c>
      <c r="X64" s="120">
        <f>+Actuals!U431</f>
        <v>0</v>
      </c>
      <c r="Y64" s="120">
        <f>+Actuals!V431</f>
        <v>0</v>
      </c>
      <c r="Z64" s="120">
        <f>+Actuals!W431</f>
        <v>0</v>
      </c>
      <c r="AA64" s="120">
        <f>+Actuals!X431</f>
        <v>0</v>
      </c>
      <c r="AB64" s="120">
        <f>+Actuals!Y431</f>
        <v>0</v>
      </c>
      <c r="AC64" s="120">
        <f>+Actuals!Z431</f>
        <v>0</v>
      </c>
      <c r="AD64" s="120">
        <f>+Actuals!AA431</f>
        <v>0</v>
      </c>
      <c r="AE64" s="120">
        <f>+Actuals!AB431</f>
        <v>0</v>
      </c>
      <c r="AF64" s="120">
        <f>+Actuals!AC431</f>
        <v>0</v>
      </c>
      <c r="AG64" s="120">
        <f>+Actuals!AD431</f>
        <v>0</v>
      </c>
      <c r="AH64" s="120">
        <f>+Actuals!AE431</f>
        <v>0</v>
      </c>
      <c r="AI64" s="120">
        <f>+Actuals!AF431</f>
        <v>0</v>
      </c>
      <c r="AJ64" s="120">
        <f>+Actuals!AG431</f>
        <v>0</v>
      </c>
      <c r="AK64" s="120">
        <f>+Actuals!AH431</f>
        <v>0</v>
      </c>
      <c r="AL64" s="120">
        <f>+Actuals!AI431</f>
        <v>0</v>
      </c>
      <c r="AM64" s="120">
        <f>+Actuals!AJ431</f>
        <v>0</v>
      </c>
      <c r="AN64" s="120">
        <f>+Actuals!AK431</f>
        <v>0</v>
      </c>
      <c r="AO64" s="120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20">
        <f>+Actuals!E432</f>
        <v>0</v>
      </c>
      <c r="I65" s="120">
        <f>+Actuals!F432</f>
        <v>0</v>
      </c>
      <c r="J65" s="120">
        <f>+Actuals!G432</f>
        <v>0</v>
      </c>
      <c r="K65" s="120">
        <f>+Actuals!H432</f>
        <v>0</v>
      </c>
      <c r="L65" s="120">
        <f>+Actuals!I432</f>
        <v>0</v>
      </c>
      <c r="M65" s="120">
        <f>+Actuals!J432</f>
        <v>0</v>
      </c>
      <c r="N65" s="120">
        <f>+Actuals!K432</f>
        <v>0</v>
      </c>
      <c r="O65" s="120">
        <f>+Actuals!L432</f>
        <v>0</v>
      </c>
      <c r="P65" s="120">
        <f>+Actuals!M432</f>
        <v>0</v>
      </c>
      <c r="Q65" s="120">
        <f>+Actuals!N432</f>
        <v>0</v>
      </c>
      <c r="R65" s="120">
        <f>+Actuals!O432</f>
        <v>0</v>
      </c>
      <c r="S65" s="120">
        <f>+Actuals!P432</f>
        <v>0</v>
      </c>
      <c r="T65" s="120">
        <f>+Actuals!Q432</f>
        <v>0</v>
      </c>
      <c r="U65" s="120">
        <f>+Actuals!R432</f>
        <v>0</v>
      </c>
      <c r="V65" s="120">
        <f>+Actuals!S432</f>
        <v>0</v>
      </c>
      <c r="W65" s="120">
        <f>+Actuals!T432</f>
        <v>0</v>
      </c>
      <c r="X65" s="120">
        <f>+Actuals!U432</f>
        <v>0</v>
      </c>
      <c r="Y65" s="120">
        <f>+Actuals!V432</f>
        <v>0</v>
      </c>
      <c r="Z65" s="120">
        <f>+Actuals!W432</f>
        <v>0</v>
      </c>
      <c r="AA65" s="120">
        <f>+Actuals!X432</f>
        <v>0</v>
      </c>
      <c r="AB65" s="120">
        <f>+Actuals!Y432</f>
        <v>0</v>
      </c>
      <c r="AC65" s="120">
        <f>+Actuals!Z432</f>
        <v>0</v>
      </c>
      <c r="AD65" s="120">
        <f>+Actuals!AA432</f>
        <v>0</v>
      </c>
      <c r="AE65" s="120">
        <f>+Actuals!AB432</f>
        <v>0</v>
      </c>
      <c r="AF65" s="120">
        <f>+Actuals!AC432</f>
        <v>0</v>
      </c>
      <c r="AG65" s="120">
        <f>+Actuals!AD432</f>
        <v>0</v>
      </c>
      <c r="AH65" s="120">
        <f>+Actuals!AE432</f>
        <v>0</v>
      </c>
      <c r="AI65" s="120">
        <f>+Actuals!AF432</f>
        <v>0</v>
      </c>
      <c r="AJ65" s="120">
        <f>+Actuals!AG432</f>
        <v>0</v>
      </c>
      <c r="AK65" s="120">
        <f>+Actuals!AH432</f>
        <v>0</v>
      </c>
      <c r="AL65" s="120">
        <f>+Actuals!AI432</f>
        <v>0</v>
      </c>
      <c r="AM65" s="120">
        <f>+Actuals!AJ432</f>
        <v>0</v>
      </c>
      <c r="AN65" s="120">
        <f>+Actuals!AK432</f>
        <v>0</v>
      </c>
      <c r="AO65" s="120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si="20"/>
        <v>0</v>
      </c>
      <c r="K66" s="61">
        <f t="shared" si="20"/>
        <v>0</v>
      </c>
      <c r="L66" s="61">
        <f t="shared" si="20"/>
        <v>0</v>
      </c>
      <c r="M66" s="61">
        <f t="shared" si="20"/>
        <v>0</v>
      </c>
      <c r="N66" s="61">
        <f t="shared" ref="N66:S66" si="21">SUM(N64:N65)</f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0"/>
        <v>0</v>
      </c>
      <c r="U66" s="61">
        <f t="shared" si="20"/>
        <v>0</v>
      </c>
      <c r="V66" s="61">
        <f t="shared" si="20"/>
        <v>0</v>
      </c>
      <c r="W66" s="61">
        <f t="shared" si="20"/>
        <v>0</v>
      </c>
      <c r="X66" s="61">
        <f t="shared" si="20"/>
        <v>0</v>
      </c>
      <c r="Y66" s="61">
        <f t="shared" si="20"/>
        <v>0</v>
      </c>
      <c r="Z66" s="61">
        <f t="shared" si="20"/>
        <v>0</v>
      </c>
      <c r="AA66" s="61">
        <f t="shared" si="20"/>
        <v>0</v>
      </c>
      <c r="AB66" s="61">
        <f t="shared" si="20"/>
        <v>0</v>
      </c>
      <c r="AC66" s="61">
        <f t="shared" si="20"/>
        <v>0</v>
      </c>
      <c r="AD66" s="61">
        <f t="shared" si="20"/>
        <v>0</v>
      </c>
      <c r="AE66" s="61">
        <f t="shared" si="20"/>
        <v>0</v>
      </c>
      <c r="AF66" s="61">
        <f t="shared" si="20"/>
        <v>0</v>
      </c>
      <c r="AG66" s="61">
        <f t="shared" si="20"/>
        <v>0</v>
      </c>
      <c r="AH66" s="61">
        <f t="shared" si="20"/>
        <v>0</v>
      </c>
      <c r="AI66" s="61">
        <f t="shared" si="20"/>
        <v>0</v>
      </c>
      <c r="AJ66" s="61">
        <f t="shared" si="20"/>
        <v>0</v>
      </c>
      <c r="AK66" s="61">
        <f t="shared" si="20"/>
        <v>0</v>
      </c>
      <c r="AL66" s="61">
        <f t="shared" si="20"/>
        <v>0</v>
      </c>
      <c r="AM66" s="61">
        <f t="shared" si="20"/>
        <v>0</v>
      </c>
      <c r="AN66" s="61">
        <f t="shared" si="20"/>
        <v>0</v>
      </c>
      <c r="AO66" s="61">
        <f t="shared" si="20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77884</v>
      </c>
      <c r="F70" s="64">
        <f>'TIE-OUT'!AD70+RECLASS!AD70</f>
        <v>0</v>
      </c>
      <c r="G70" s="68">
        <f>'TIE-OUT'!AE70+RECLASS!AE70</f>
        <v>77884</v>
      </c>
      <c r="H70" s="120">
        <f>+Actuals!E433</f>
        <v>0</v>
      </c>
      <c r="I70" s="120">
        <f>+Actuals!F433</f>
        <v>0</v>
      </c>
      <c r="J70" s="120">
        <f>+Actuals!G433</f>
        <v>0</v>
      </c>
      <c r="K70" s="120">
        <f>+Actuals!H433</f>
        <v>0</v>
      </c>
      <c r="L70" s="120">
        <f>+Actuals!I433</f>
        <v>0</v>
      </c>
      <c r="M70" s="120">
        <f>+Actuals!J433</f>
        <v>0</v>
      </c>
      <c r="N70" s="120">
        <f>+Actuals!K433</f>
        <v>0</v>
      </c>
      <c r="O70" s="120">
        <f>+Actuals!L433</f>
        <v>0</v>
      </c>
      <c r="P70" s="120">
        <f>+Actuals!M433</f>
        <v>0</v>
      </c>
      <c r="Q70" s="120">
        <f>+Actuals!N433</f>
        <v>0</v>
      </c>
      <c r="R70" s="120">
        <f>+Actuals!O433</f>
        <v>0</v>
      </c>
      <c r="S70" s="120">
        <f>+Actuals!P433</f>
        <v>0</v>
      </c>
      <c r="T70" s="120">
        <f>+Actuals!Q433</f>
        <v>0</v>
      </c>
      <c r="U70" s="120">
        <f>+Actuals!R433</f>
        <v>0</v>
      </c>
      <c r="V70" s="120">
        <f>+Actuals!S433</f>
        <v>0</v>
      </c>
      <c r="W70" s="120">
        <f>+Actuals!T433</f>
        <v>0</v>
      </c>
      <c r="X70" s="120">
        <f>+Actuals!U433</f>
        <v>0</v>
      </c>
      <c r="Y70" s="120">
        <f>+Actuals!V433</f>
        <v>0</v>
      </c>
      <c r="Z70" s="120">
        <f>+Actuals!W433</f>
        <v>0</v>
      </c>
      <c r="AA70" s="120">
        <f>+Actuals!X433</f>
        <v>0</v>
      </c>
      <c r="AB70" s="120">
        <f>+Actuals!Y433</f>
        <v>0</v>
      </c>
      <c r="AC70" s="120">
        <f>+Actuals!Z433</f>
        <v>0</v>
      </c>
      <c r="AD70" s="120">
        <f>+Actuals!AA433</f>
        <v>0</v>
      </c>
      <c r="AE70" s="120">
        <f>+Actuals!AB433</f>
        <v>0</v>
      </c>
      <c r="AF70" s="120">
        <f>+Actuals!AC433</f>
        <v>0</v>
      </c>
      <c r="AG70" s="120">
        <f>+Actuals!AD433</f>
        <v>0</v>
      </c>
      <c r="AH70" s="120">
        <f>+Actuals!AE433</f>
        <v>0</v>
      </c>
      <c r="AI70" s="120">
        <f>+Actuals!AF433</f>
        <v>0</v>
      </c>
      <c r="AJ70" s="120">
        <f>+Actuals!AG433</f>
        <v>0</v>
      </c>
      <c r="AK70" s="120">
        <f>+Actuals!AH433</f>
        <v>0</v>
      </c>
      <c r="AL70" s="120">
        <f>+Actuals!AI433</f>
        <v>0</v>
      </c>
      <c r="AM70" s="120">
        <f>+Actuals!AJ433</f>
        <v>0</v>
      </c>
      <c r="AN70" s="120">
        <f>+Actuals!AK433</f>
        <v>0</v>
      </c>
      <c r="AO70" s="120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-17435</v>
      </c>
      <c r="F71" s="81">
        <f>'TIE-OUT'!AD71+RECLASS!AD71</f>
        <v>0</v>
      </c>
      <c r="G71" s="82">
        <f>'TIE-OUT'!AE71+RECLASS!AE71</f>
        <v>-17435</v>
      </c>
      <c r="H71" s="120">
        <f>+Actuals!E434</f>
        <v>0</v>
      </c>
      <c r="I71" s="120">
        <f>+Actuals!F434</f>
        <v>0</v>
      </c>
      <c r="J71" s="120">
        <f>+Actuals!G434</f>
        <v>0</v>
      </c>
      <c r="K71" s="120">
        <f>+Actuals!H434</f>
        <v>0</v>
      </c>
      <c r="L71" s="120">
        <f>+Actuals!I434</f>
        <v>0</v>
      </c>
      <c r="M71" s="120">
        <f>+Actuals!J434</f>
        <v>0</v>
      </c>
      <c r="N71" s="120">
        <f>+Actuals!K434</f>
        <v>0</v>
      </c>
      <c r="O71" s="120">
        <f>+Actuals!L434</f>
        <v>0</v>
      </c>
      <c r="P71" s="120">
        <f>+Actuals!M434</f>
        <v>0</v>
      </c>
      <c r="Q71" s="120">
        <f>+Actuals!N434</f>
        <v>0</v>
      </c>
      <c r="R71" s="120">
        <f>+Actuals!O434</f>
        <v>0</v>
      </c>
      <c r="S71" s="120">
        <f>+Actuals!P434</f>
        <v>0</v>
      </c>
      <c r="T71" s="120">
        <f>+Actuals!Q434</f>
        <v>0</v>
      </c>
      <c r="U71" s="120">
        <f>+Actuals!R434</f>
        <v>0</v>
      </c>
      <c r="V71" s="120">
        <f>+Actuals!S434</f>
        <v>0</v>
      </c>
      <c r="W71" s="120">
        <f>+Actuals!T434</f>
        <v>0</v>
      </c>
      <c r="X71" s="120">
        <f>+Actuals!U434</f>
        <v>0</v>
      </c>
      <c r="Y71" s="120">
        <f>+Actuals!V434</f>
        <v>0</v>
      </c>
      <c r="Z71" s="120">
        <f>+Actuals!W434</f>
        <v>0</v>
      </c>
      <c r="AA71" s="120">
        <f>+Actuals!X434</f>
        <v>0</v>
      </c>
      <c r="AB71" s="120">
        <f>+Actuals!Y434</f>
        <v>0</v>
      </c>
      <c r="AC71" s="120">
        <f>+Actuals!Z434</f>
        <v>0</v>
      </c>
      <c r="AD71" s="120">
        <f>+Actuals!AA434</f>
        <v>0</v>
      </c>
      <c r="AE71" s="120">
        <f>+Actuals!AB434</f>
        <v>0</v>
      </c>
      <c r="AF71" s="120">
        <f>+Actuals!AC434</f>
        <v>0</v>
      </c>
      <c r="AG71" s="120">
        <f>+Actuals!AD434</f>
        <v>0</v>
      </c>
      <c r="AH71" s="120">
        <f>+Actuals!AE434</f>
        <v>0</v>
      </c>
      <c r="AI71" s="120">
        <f>+Actuals!AF434</f>
        <v>0</v>
      </c>
      <c r="AJ71" s="120">
        <f>+Actuals!AG434</f>
        <v>0</v>
      </c>
      <c r="AK71" s="120">
        <f>+Actuals!AH434</f>
        <v>0</v>
      </c>
      <c r="AL71" s="120">
        <f>+Actuals!AI434</f>
        <v>0</v>
      </c>
      <c r="AM71" s="120">
        <f>+Actuals!AJ434</f>
        <v>0</v>
      </c>
      <c r="AN71" s="120">
        <f>+Actuals!AK434</f>
        <v>0</v>
      </c>
      <c r="AO71" s="120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60449</v>
      </c>
      <c r="F72" s="61">
        <f t="shared" si="22"/>
        <v>0</v>
      </c>
      <c r="G72" s="39">
        <f t="shared" si="22"/>
        <v>60449</v>
      </c>
      <c r="H72" s="61">
        <f t="shared" si="22"/>
        <v>0</v>
      </c>
      <c r="I72" s="61">
        <f t="shared" si="22"/>
        <v>0</v>
      </c>
      <c r="J72" s="61">
        <f t="shared" si="22"/>
        <v>0</v>
      </c>
      <c r="K72" s="61">
        <f t="shared" si="22"/>
        <v>0</v>
      </c>
      <c r="L72" s="61">
        <f t="shared" si="22"/>
        <v>0</v>
      </c>
      <c r="M72" s="61">
        <f t="shared" si="22"/>
        <v>0</v>
      </c>
      <c r="N72" s="61">
        <f t="shared" ref="N72:S72" si="23">SUM(N70:N71)</f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2"/>
        <v>0</v>
      </c>
      <c r="U72" s="61">
        <f t="shared" si="22"/>
        <v>0</v>
      </c>
      <c r="V72" s="61">
        <f t="shared" si="22"/>
        <v>0</v>
      </c>
      <c r="W72" s="61">
        <f t="shared" si="22"/>
        <v>0</v>
      </c>
      <c r="X72" s="61">
        <f t="shared" si="22"/>
        <v>0</v>
      </c>
      <c r="Y72" s="61">
        <f t="shared" si="22"/>
        <v>0</v>
      </c>
      <c r="Z72" s="61">
        <f t="shared" si="22"/>
        <v>0</v>
      </c>
      <c r="AA72" s="61">
        <f t="shared" si="22"/>
        <v>0</v>
      </c>
      <c r="AB72" s="61">
        <f t="shared" si="22"/>
        <v>0</v>
      </c>
      <c r="AC72" s="61">
        <f t="shared" si="22"/>
        <v>0</v>
      </c>
      <c r="AD72" s="61">
        <f t="shared" si="22"/>
        <v>0</v>
      </c>
      <c r="AE72" s="61">
        <f t="shared" si="22"/>
        <v>0</v>
      </c>
      <c r="AF72" s="61">
        <f t="shared" si="22"/>
        <v>0</v>
      </c>
      <c r="AG72" s="61">
        <f t="shared" si="22"/>
        <v>0</v>
      </c>
      <c r="AH72" s="61">
        <f t="shared" si="22"/>
        <v>0</v>
      </c>
      <c r="AI72" s="61">
        <f t="shared" si="22"/>
        <v>0</v>
      </c>
      <c r="AJ72" s="61">
        <f t="shared" si="22"/>
        <v>0</v>
      </c>
      <c r="AK72" s="61">
        <f t="shared" si="22"/>
        <v>0</v>
      </c>
      <c r="AL72" s="61">
        <f t="shared" si="22"/>
        <v>0</v>
      </c>
      <c r="AM72" s="61">
        <f t="shared" si="22"/>
        <v>0</v>
      </c>
      <c r="AN72" s="61">
        <f t="shared" si="22"/>
        <v>0</v>
      </c>
      <c r="AO72" s="61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'TIE-OUT'!AD73+RECLASS!AD73</f>
        <v>0</v>
      </c>
      <c r="G73" s="60">
        <f>'TIE-OUT'!AE73+RECLASS!AE73</f>
        <v>0</v>
      </c>
      <c r="H73" s="120">
        <f>+Actuals!E435</f>
        <v>0</v>
      </c>
      <c r="I73" s="120">
        <f>+Actuals!F435</f>
        <v>0</v>
      </c>
      <c r="J73" s="120">
        <f>+Actuals!G435</f>
        <v>0</v>
      </c>
      <c r="K73" s="120">
        <f>+Actuals!H435</f>
        <v>0</v>
      </c>
      <c r="L73" s="120">
        <f>+Actuals!I435</f>
        <v>0</v>
      </c>
      <c r="M73" s="120">
        <f>+Actuals!J435</f>
        <v>0</v>
      </c>
      <c r="N73" s="120">
        <f>+Actuals!K435</f>
        <v>0</v>
      </c>
      <c r="O73" s="120">
        <f>+Actuals!L435</f>
        <v>0</v>
      </c>
      <c r="P73" s="120">
        <f>+Actuals!M435</f>
        <v>0</v>
      </c>
      <c r="Q73" s="120">
        <f>+Actuals!N435</f>
        <v>0</v>
      </c>
      <c r="R73" s="120">
        <f>+Actuals!O435</f>
        <v>0</v>
      </c>
      <c r="S73" s="120">
        <f>+Actuals!P435</f>
        <v>0</v>
      </c>
      <c r="T73" s="120">
        <f>+Actuals!Q435</f>
        <v>0</v>
      </c>
      <c r="U73" s="120">
        <f>+Actuals!R435</f>
        <v>0</v>
      </c>
      <c r="V73" s="120">
        <f>+Actuals!S435</f>
        <v>0</v>
      </c>
      <c r="W73" s="120">
        <f>+Actuals!T435</f>
        <v>0</v>
      </c>
      <c r="X73" s="120">
        <f>+Actuals!U435</f>
        <v>0</v>
      </c>
      <c r="Y73" s="120">
        <f>+Actuals!V435</f>
        <v>0</v>
      </c>
      <c r="Z73" s="120">
        <f>+Actuals!W435</f>
        <v>0</v>
      </c>
      <c r="AA73" s="120">
        <f>+Actuals!X435</f>
        <v>0</v>
      </c>
      <c r="AB73" s="120">
        <f>+Actuals!Y435</f>
        <v>0</v>
      </c>
      <c r="AC73" s="120">
        <f>+Actuals!Z435</f>
        <v>0</v>
      </c>
      <c r="AD73" s="120">
        <f>+Actuals!AA435</f>
        <v>0</v>
      </c>
      <c r="AE73" s="120">
        <f>+Actuals!AB435</f>
        <v>0</v>
      </c>
      <c r="AF73" s="120">
        <f>+Actuals!AC435</f>
        <v>0</v>
      </c>
      <c r="AG73" s="120">
        <f>+Actuals!AD435</f>
        <v>0</v>
      </c>
      <c r="AH73" s="120">
        <f>+Actuals!AE435</f>
        <v>0</v>
      </c>
      <c r="AI73" s="120">
        <f>+Actuals!AF435</f>
        <v>0</v>
      </c>
      <c r="AJ73" s="120">
        <f>+Actuals!AG435</f>
        <v>0</v>
      </c>
      <c r="AK73" s="120">
        <f>+Actuals!AH435</f>
        <v>0</v>
      </c>
      <c r="AL73" s="120">
        <f>+Actuals!AI435</f>
        <v>0</v>
      </c>
      <c r="AM73" s="120">
        <f>+Actuals!AJ435</f>
        <v>0</v>
      </c>
      <c r="AN73" s="120">
        <f>+Actuals!AK435</f>
        <v>0</v>
      </c>
      <c r="AO73" s="120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-168616</v>
      </c>
      <c r="F74" s="60">
        <f>'TIE-OUT'!AD74+RECLASS!AD74</f>
        <v>0</v>
      </c>
      <c r="G74" s="60">
        <f>'TIE-OUT'!AE74+RECLASS!AE74</f>
        <v>-168616</v>
      </c>
      <c r="H74" s="120">
        <f>+Actuals!E436</f>
        <v>0</v>
      </c>
      <c r="I74" s="120">
        <f>+Actuals!F436</f>
        <v>0</v>
      </c>
      <c r="J74" s="120">
        <f>+Actuals!G436</f>
        <v>0</v>
      </c>
      <c r="K74" s="120">
        <f>+Actuals!H436</f>
        <v>0</v>
      </c>
      <c r="L74" s="120">
        <f>+Actuals!I436</f>
        <v>0</v>
      </c>
      <c r="M74" s="120">
        <f>+Actuals!J436</f>
        <v>0</v>
      </c>
      <c r="N74" s="120">
        <f>+Actuals!K436</f>
        <v>0</v>
      </c>
      <c r="O74" s="120">
        <f>+Actuals!L436</f>
        <v>0</v>
      </c>
      <c r="P74" s="120">
        <f>+Actuals!M436</f>
        <v>0</v>
      </c>
      <c r="Q74" s="120">
        <f>+Actuals!N436</f>
        <v>0</v>
      </c>
      <c r="R74" s="120">
        <f>+Actuals!O436</f>
        <v>0</v>
      </c>
      <c r="S74" s="120">
        <f>+Actuals!P436</f>
        <v>0</v>
      </c>
      <c r="T74" s="120">
        <f>+Actuals!Q436</f>
        <v>0</v>
      </c>
      <c r="U74" s="120">
        <f>+Actuals!R436</f>
        <v>0</v>
      </c>
      <c r="V74" s="120">
        <f>+Actuals!S436</f>
        <v>0</v>
      </c>
      <c r="W74" s="120">
        <f>+Actuals!T436</f>
        <v>0</v>
      </c>
      <c r="X74" s="120">
        <f>+Actuals!U436</f>
        <v>0</v>
      </c>
      <c r="Y74" s="120">
        <f>+Actuals!V436</f>
        <v>0</v>
      </c>
      <c r="Z74" s="120">
        <f>+Actuals!W436</f>
        <v>0</v>
      </c>
      <c r="AA74" s="120">
        <f>+Actuals!X436</f>
        <v>0</v>
      </c>
      <c r="AB74" s="120">
        <f>+Actuals!Y436</f>
        <v>0</v>
      </c>
      <c r="AC74" s="120">
        <f>+Actuals!Z436</f>
        <v>0</v>
      </c>
      <c r="AD74" s="120">
        <f>+Actuals!AA436</f>
        <v>0</v>
      </c>
      <c r="AE74" s="120">
        <f>+Actuals!AB436</f>
        <v>0</v>
      </c>
      <c r="AF74" s="120">
        <f>+Actuals!AC436</f>
        <v>0</v>
      </c>
      <c r="AG74" s="120">
        <f>+Actuals!AD436</f>
        <v>0</v>
      </c>
      <c r="AH74" s="120">
        <f>+Actuals!AE436</f>
        <v>0</v>
      </c>
      <c r="AI74" s="120">
        <f>+Actuals!AF436</f>
        <v>0</v>
      </c>
      <c r="AJ74" s="120">
        <f>+Actuals!AG436</f>
        <v>0</v>
      </c>
      <c r="AK74" s="120">
        <f>+Actuals!AH436</f>
        <v>0</v>
      </c>
      <c r="AL74" s="120">
        <f>+Actuals!AI436</f>
        <v>0</v>
      </c>
      <c r="AM74" s="120">
        <f>+Actuals!AJ436</f>
        <v>0</v>
      </c>
      <c r="AN74" s="120">
        <f>+Actuals!AK436</f>
        <v>0</v>
      </c>
      <c r="AO74" s="120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'TIE-OUT'!AD75+RECLASS!AD75</f>
        <v>0</v>
      </c>
      <c r="G75" s="60">
        <f>'TIE-OUT'!AE75+RECLASS!AE75</f>
        <v>0</v>
      </c>
      <c r="H75" s="120">
        <f>+Actuals!E437</f>
        <v>0</v>
      </c>
      <c r="I75" s="120">
        <f>+Actuals!F437</f>
        <v>0</v>
      </c>
      <c r="J75" s="120">
        <f>+Actuals!G437</f>
        <v>0</v>
      </c>
      <c r="K75" s="120">
        <f>+Actuals!H437</f>
        <v>0</v>
      </c>
      <c r="L75" s="120">
        <f>+Actuals!I437</f>
        <v>0</v>
      </c>
      <c r="M75" s="120">
        <f>+Actuals!J437</f>
        <v>0</v>
      </c>
      <c r="N75" s="120">
        <f>+Actuals!K437</f>
        <v>0</v>
      </c>
      <c r="O75" s="120">
        <f>+Actuals!L437</f>
        <v>0</v>
      </c>
      <c r="P75" s="120">
        <f>+Actuals!M437</f>
        <v>0</v>
      </c>
      <c r="Q75" s="120">
        <f>+Actuals!N437</f>
        <v>0</v>
      </c>
      <c r="R75" s="120">
        <f>+Actuals!O437</f>
        <v>0</v>
      </c>
      <c r="S75" s="120">
        <f>+Actuals!P437</f>
        <v>0</v>
      </c>
      <c r="T75" s="120">
        <f>+Actuals!Q437</f>
        <v>0</v>
      </c>
      <c r="U75" s="120">
        <f>+Actuals!R437</f>
        <v>0</v>
      </c>
      <c r="V75" s="120">
        <f>+Actuals!S437</f>
        <v>0</v>
      </c>
      <c r="W75" s="120">
        <f>+Actuals!T437</f>
        <v>0</v>
      </c>
      <c r="X75" s="120">
        <f>+Actuals!U437</f>
        <v>0</v>
      </c>
      <c r="Y75" s="120">
        <f>+Actuals!V437</f>
        <v>0</v>
      </c>
      <c r="Z75" s="120">
        <f>+Actuals!W437</f>
        <v>0</v>
      </c>
      <c r="AA75" s="120">
        <f>+Actuals!X437</f>
        <v>0</v>
      </c>
      <c r="AB75" s="120">
        <f>+Actuals!Y437</f>
        <v>0</v>
      </c>
      <c r="AC75" s="120">
        <f>+Actuals!Z437</f>
        <v>0</v>
      </c>
      <c r="AD75" s="120">
        <f>+Actuals!AA437</f>
        <v>0</v>
      </c>
      <c r="AE75" s="120">
        <f>+Actuals!AB437</f>
        <v>0</v>
      </c>
      <c r="AF75" s="120">
        <f>+Actuals!AC437</f>
        <v>0</v>
      </c>
      <c r="AG75" s="120">
        <f>+Actuals!AD437</f>
        <v>0</v>
      </c>
      <c r="AH75" s="120">
        <f>+Actuals!AE437</f>
        <v>0</v>
      </c>
      <c r="AI75" s="120">
        <f>+Actuals!AF437</f>
        <v>0</v>
      </c>
      <c r="AJ75" s="120">
        <f>+Actuals!AG437</f>
        <v>0</v>
      </c>
      <c r="AK75" s="120">
        <f>+Actuals!AH437</f>
        <v>0</v>
      </c>
      <c r="AL75" s="120">
        <f>+Actuals!AI437</f>
        <v>0</v>
      </c>
      <c r="AM75" s="120">
        <f>+Actuals!AJ437</f>
        <v>0</v>
      </c>
      <c r="AN75" s="120">
        <f>+Actuals!AK437</f>
        <v>0</v>
      </c>
      <c r="AO75" s="120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'TIE-OUT'!AD76+RECLASS!AD76</f>
        <v>0</v>
      </c>
      <c r="G76" s="60">
        <f>'TIE-OUT'!AE76+RECLASS!AE76</f>
        <v>0</v>
      </c>
      <c r="H76" s="120">
        <f>+Actuals!E438</f>
        <v>0</v>
      </c>
      <c r="I76" s="120">
        <f>+Actuals!F438</f>
        <v>0</v>
      </c>
      <c r="J76" s="120">
        <f>+Actuals!G438</f>
        <v>0</v>
      </c>
      <c r="K76" s="120">
        <f>+Actuals!H438</f>
        <v>0</v>
      </c>
      <c r="L76" s="120">
        <f>+Actuals!I438</f>
        <v>0</v>
      </c>
      <c r="M76" s="120">
        <f>+Actuals!J438</f>
        <v>0</v>
      </c>
      <c r="N76" s="120">
        <f>+Actuals!K438</f>
        <v>0</v>
      </c>
      <c r="O76" s="120">
        <f>+Actuals!L438</f>
        <v>0</v>
      </c>
      <c r="P76" s="120">
        <f>+Actuals!M438</f>
        <v>0</v>
      </c>
      <c r="Q76" s="120">
        <f>+Actuals!N438</f>
        <v>0</v>
      </c>
      <c r="R76" s="120">
        <f>+Actuals!O438</f>
        <v>0</v>
      </c>
      <c r="S76" s="120">
        <f>+Actuals!P438</f>
        <v>0</v>
      </c>
      <c r="T76" s="120">
        <f>+Actuals!Q438</f>
        <v>0</v>
      </c>
      <c r="U76" s="120">
        <f>+Actuals!R438</f>
        <v>0</v>
      </c>
      <c r="V76" s="120">
        <f>+Actuals!S438</f>
        <v>0</v>
      </c>
      <c r="W76" s="120">
        <f>+Actuals!T438</f>
        <v>0</v>
      </c>
      <c r="X76" s="120">
        <f>+Actuals!U438</f>
        <v>0</v>
      </c>
      <c r="Y76" s="120">
        <f>+Actuals!V438</f>
        <v>0</v>
      </c>
      <c r="Z76" s="120">
        <f>+Actuals!W438</f>
        <v>0</v>
      </c>
      <c r="AA76" s="120">
        <f>+Actuals!X438</f>
        <v>0</v>
      </c>
      <c r="AB76" s="120">
        <f>+Actuals!Y438</f>
        <v>0</v>
      </c>
      <c r="AC76" s="120">
        <f>+Actuals!Z438</f>
        <v>0</v>
      </c>
      <c r="AD76" s="120">
        <f>+Actuals!AA438</f>
        <v>0</v>
      </c>
      <c r="AE76" s="120">
        <f>+Actuals!AB438</f>
        <v>0</v>
      </c>
      <c r="AF76" s="120">
        <f>+Actuals!AC438</f>
        <v>0</v>
      </c>
      <c r="AG76" s="120">
        <f>+Actuals!AD438</f>
        <v>0</v>
      </c>
      <c r="AH76" s="120">
        <f>+Actuals!AE438</f>
        <v>0</v>
      </c>
      <c r="AI76" s="120">
        <f>+Actuals!AF438</f>
        <v>0</v>
      </c>
      <c r="AJ76" s="120">
        <f>+Actuals!AG438</f>
        <v>0</v>
      </c>
      <c r="AK76" s="120">
        <f>+Actuals!AH438</f>
        <v>0</v>
      </c>
      <c r="AL76" s="120">
        <f>+Actuals!AI438</f>
        <v>0</v>
      </c>
      <c r="AM76" s="120">
        <f>+Actuals!AJ438</f>
        <v>0</v>
      </c>
      <c r="AN76" s="120">
        <f>+Actuals!AK438</f>
        <v>0</v>
      </c>
      <c r="AO76" s="120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'TIE-OUT'!AD77+RECLASS!AD77</f>
        <v>0</v>
      </c>
      <c r="G77" s="60">
        <f>'TIE-OUT'!AE77+RECLASS!AE77</f>
        <v>0</v>
      </c>
      <c r="H77" s="120">
        <f>+Actuals!E439</f>
        <v>0</v>
      </c>
      <c r="I77" s="120">
        <f>+Actuals!F439</f>
        <v>0</v>
      </c>
      <c r="J77" s="120">
        <f>+Actuals!G439</f>
        <v>0</v>
      </c>
      <c r="K77" s="120">
        <f>+Actuals!H439</f>
        <v>0</v>
      </c>
      <c r="L77" s="120">
        <f>+Actuals!I439</f>
        <v>0</v>
      </c>
      <c r="M77" s="120">
        <f>+Actuals!J439</f>
        <v>0</v>
      </c>
      <c r="N77" s="120">
        <f>+Actuals!K439</f>
        <v>0</v>
      </c>
      <c r="O77" s="120">
        <f>+Actuals!L439</f>
        <v>0</v>
      </c>
      <c r="P77" s="120">
        <f>+Actuals!M439</f>
        <v>0</v>
      </c>
      <c r="Q77" s="120">
        <f>+Actuals!N439</f>
        <v>0</v>
      </c>
      <c r="R77" s="120">
        <f>+Actuals!O439</f>
        <v>0</v>
      </c>
      <c r="S77" s="120">
        <f>+Actuals!P439</f>
        <v>0</v>
      </c>
      <c r="T77" s="120">
        <f>+Actuals!Q439</f>
        <v>0</v>
      </c>
      <c r="U77" s="120">
        <f>+Actuals!R439</f>
        <v>0</v>
      </c>
      <c r="V77" s="120">
        <f>+Actuals!S439</f>
        <v>0</v>
      </c>
      <c r="W77" s="120">
        <f>+Actuals!T439</f>
        <v>0</v>
      </c>
      <c r="X77" s="120">
        <f>+Actuals!U439</f>
        <v>0</v>
      </c>
      <c r="Y77" s="120">
        <f>+Actuals!V439</f>
        <v>0</v>
      </c>
      <c r="Z77" s="120">
        <f>+Actuals!W439</f>
        <v>0</v>
      </c>
      <c r="AA77" s="120">
        <f>+Actuals!X439</f>
        <v>0</v>
      </c>
      <c r="AB77" s="120">
        <f>+Actuals!Y439</f>
        <v>0</v>
      </c>
      <c r="AC77" s="120">
        <f>+Actuals!Z439</f>
        <v>0</v>
      </c>
      <c r="AD77" s="120">
        <f>+Actuals!AA439</f>
        <v>0</v>
      </c>
      <c r="AE77" s="120">
        <f>+Actuals!AB439</f>
        <v>0</v>
      </c>
      <c r="AF77" s="120">
        <f>+Actuals!AC439</f>
        <v>0</v>
      </c>
      <c r="AG77" s="120">
        <f>+Actuals!AD439</f>
        <v>0</v>
      </c>
      <c r="AH77" s="120">
        <f>+Actuals!AE439</f>
        <v>0</v>
      </c>
      <c r="AI77" s="120">
        <f>+Actuals!AF439</f>
        <v>0</v>
      </c>
      <c r="AJ77" s="120">
        <f>+Actuals!AG439</f>
        <v>0</v>
      </c>
      <c r="AK77" s="120">
        <f>+Actuals!AH439</f>
        <v>0</v>
      </c>
      <c r="AL77" s="120">
        <f>+Actuals!AI439</f>
        <v>0</v>
      </c>
      <c r="AM77" s="120">
        <f>+Actuals!AJ439</f>
        <v>0</v>
      </c>
      <c r="AN77" s="120">
        <f>+Actuals!AK439</f>
        <v>0</v>
      </c>
      <c r="AO77" s="120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'TIE-OUT'!AD78+RECLASS!AD78</f>
        <v>0</v>
      </c>
      <c r="G78" s="60">
        <f>'TIE-OUT'!AE78+RECLASS!AE78</f>
        <v>0</v>
      </c>
      <c r="H78" s="120">
        <f>+Actuals!E440</f>
        <v>0</v>
      </c>
      <c r="I78" s="120">
        <f>+Actuals!F440</f>
        <v>0</v>
      </c>
      <c r="J78" s="120">
        <f>+Actuals!G440</f>
        <v>0</v>
      </c>
      <c r="K78" s="120">
        <f>+Actuals!H440</f>
        <v>0</v>
      </c>
      <c r="L78" s="120">
        <f>+Actuals!I440</f>
        <v>0</v>
      </c>
      <c r="M78" s="120">
        <f>+Actuals!J440</f>
        <v>0</v>
      </c>
      <c r="N78" s="120">
        <f>+Actuals!K440</f>
        <v>0</v>
      </c>
      <c r="O78" s="120">
        <f>+Actuals!L440</f>
        <v>0</v>
      </c>
      <c r="P78" s="120">
        <f>+Actuals!M440</f>
        <v>0</v>
      </c>
      <c r="Q78" s="120">
        <f>+Actuals!N440</f>
        <v>0</v>
      </c>
      <c r="R78" s="120">
        <f>+Actuals!O440</f>
        <v>0</v>
      </c>
      <c r="S78" s="120">
        <f>+Actuals!P440</f>
        <v>0</v>
      </c>
      <c r="T78" s="120">
        <f>+Actuals!Q440</f>
        <v>0</v>
      </c>
      <c r="U78" s="120">
        <f>+Actuals!R440</f>
        <v>0</v>
      </c>
      <c r="V78" s="120">
        <f>+Actuals!S440</f>
        <v>0</v>
      </c>
      <c r="W78" s="120">
        <f>+Actuals!T440</f>
        <v>0</v>
      </c>
      <c r="X78" s="120">
        <f>+Actuals!U440</f>
        <v>0</v>
      </c>
      <c r="Y78" s="120">
        <f>+Actuals!V440</f>
        <v>0</v>
      </c>
      <c r="Z78" s="120">
        <f>+Actuals!W440</f>
        <v>0</v>
      </c>
      <c r="AA78" s="120">
        <f>+Actuals!X440</f>
        <v>0</v>
      </c>
      <c r="AB78" s="120">
        <f>+Actuals!Y440</f>
        <v>0</v>
      </c>
      <c r="AC78" s="120">
        <f>+Actuals!Z440</f>
        <v>0</v>
      </c>
      <c r="AD78" s="120">
        <f>+Actuals!AA440</f>
        <v>0</v>
      </c>
      <c r="AE78" s="120">
        <f>+Actuals!AB440</f>
        <v>0</v>
      </c>
      <c r="AF78" s="120">
        <f>+Actuals!AC440</f>
        <v>0</v>
      </c>
      <c r="AG78" s="120">
        <f>+Actuals!AD440</f>
        <v>0</v>
      </c>
      <c r="AH78" s="120">
        <f>+Actuals!AE440</f>
        <v>0</v>
      </c>
      <c r="AI78" s="120">
        <f>+Actuals!AF440</f>
        <v>0</v>
      </c>
      <c r="AJ78" s="120">
        <f>+Actuals!AG440</f>
        <v>0</v>
      </c>
      <c r="AK78" s="120">
        <f>+Actuals!AH440</f>
        <v>0</v>
      </c>
      <c r="AL78" s="120">
        <f>+Actuals!AI440</f>
        <v>0</v>
      </c>
      <c r="AM78" s="120">
        <f>+Actuals!AJ440</f>
        <v>0</v>
      </c>
      <c r="AN78" s="120">
        <f>+Actuals!AK440</f>
        <v>0</v>
      </c>
      <c r="AO78" s="120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'TIE-OUT'!AD79+RECLASS!AD79</f>
        <v>0</v>
      </c>
      <c r="G79" s="60">
        <f>'TIE-OUT'!AE79+RECLASS!AE79</f>
        <v>0</v>
      </c>
      <c r="H79" s="120">
        <f>+Actuals!E441</f>
        <v>0</v>
      </c>
      <c r="I79" s="120">
        <f>+Actuals!F441</f>
        <v>0</v>
      </c>
      <c r="J79" s="120">
        <f>+Actuals!G441</f>
        <v>0</v>
      </c>
      <c r="K79" s="120">
        <f>+Actuals!H441</f>
        <v>0</v>
      </c>
      <c r="L79" s="120">
        <f>+Actuals!I441</f>
        <v>0</v>
      </c>
      <c r="M79" s="120">
        <f>+Actuals!J441</f>
        <v>0</v>
      </c>
      <c r="N79" s="120">
        <f>+Actuals!K441</f>
        <v>0</v>
      </c>
      <c r="O79" s="120">
        <f>+Actuals!L441</f>
        <v>0</v>
      </c>
      <c r="P79" s="120">
        <f>+Actuals!M441</f>
        <v>0</v>
      </c>
      <c r="Q79" s="120">
        <f>+Actuals!N441</f>
        <v>0</v>
      </c>
      <c r="R79" s="120">
        <f>+Actuals!O441</f>
        <v>0</v>
      </c>
      <c r="S79" s="120">
        <f>+Actuals!P441</f>
        <v>0</v>
      </c>
      <c r="T79" s="120">
        <f>+Actuals!Q441</f>
        <v>0</v>
      </c>
      <c r="U79" s="120">
        <f>+Actuals!R441</f>
        <v>0</v>
      </c>
      <c r="V79" s="120">
        <f>+Actuals!S441</f>
        <v>0</v>
      </c>
      <c r="W79" s="120">
        <f>+Actuals!T441</f>
        <v>0</v>
      </c>
      <c r="X79" s="120">
        <f>+Actuals!U441</f>
        <v>0</v>
      </c>
      <c r="Y79" s="120">
        <f>+Actuals!V441</f>
        <v>0</v>
      </c>
      <c r="Z79" s="120">
        <f>+Actuals!W441</f>
        <v>0</v>
      </c>
      <c r="AA79" s="120">
        <f>+Actuals!X441</f>
        <v>0</v>
      </c>
      <c r="AB79" s="120">
        <f>+Actuals!Y441</f>
        <v>0</v>
      </c>
      <c r="AC79" s="120">
        <f>+Actuals!Z441</f>
        <v>0</v>
      </c>
      <c r="AD79" s="120">
        <f>+Actuals!AA441</f>
        <v>0</v>
      </c>
      <c r="AE79" s="120">
        <f>+Actuals!AB441</f>
        <v>0</v>
      </c>
      <c r="AF79" s="120">
        <f>+Actuals!AC441</f>
        <v>0</v>
      </c>
      <c r="AG79" s="120">
        <f>+Actuals!AD441</f>
        <v>0</v>
      </c>
      <c r="AH79" s="120">
        <f>+Actuals!AE441</f>
        <v>0</v>
      </c>
      <c r="AI79" s="120">
        <f>+Actuals!AF441</f>
        <v>0</v>
      </c>
      <c r="AJ79" s="120">
        <f>+Actuals!AG441</f>
        <v>0</v>
      </c>
      <c r="AK79" s="120">
        <f>+Actuals!AH441</f>
        <v>0</v>
      </c>
      <c r="AL79" s="120">
        <f>+Actuals!AI441</f>
        <v>0</v>
      </c>
      <c r="AM79" s="120">
        <f>+Actuals!AJ441</f>
        <v>0</v>
      </c>
      <c r="AN79" s="120">
        <f>+Actuals!AK441</f>
        <v>0</v>
      </c>
      <c r="AO79" s="120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'TIE-OUT'!AD80+RECLASS!AD80</f>
        <v>0</v>
      </c>
      <c r="G80" s="60">
        <f>'TIE-OUT'!AE80+RECLASS!AE80</f>
        <v>0</v>
      </c>
      <c r="H80" s="120">
        <f>+Actuals!E442</f>
        <v>0</v>
      </c>
      <c r="I80" s="120">
        <f>+Actuals!F442</f>
        <v>0</v>
      </c>
      <c r="J80" s="120">
        <f>+Actuals!G442</f>
        <v>0</v>
      </c>
      <c r="K80" s="120">
        <f>+Actuals!H442</f>
        <v>0</v>
      </c>
      <c r="L80" s="120">
        <f>+Actuals!I442</f>
        <v>0</v>
      </c>
      <c r="M80" s="120">
        <f>+Actuals!J442</f>
        <v>0</v>
      </c>
      <c r="N80" s="120">
        <f>+Actuals!K442</f>
        <v>0</v>
      </c>
      <c r="O80" s="120">
        <f>+Actuals!L442</f>
        <v>0</v>
      </c>
      <c r="P80" s="120">
        <f>+Actuals!M442</f>
        <v>0</v>
      </c>
      <c r="Q80" s="120">
        <f>+Actuals!N442</f>
        <v>0</v>
      </c>
      <c r="R80" s="120">
        <f>+Actuals!O442</f>
        <v>0</v>
      </c>
      <c r="S80" s="120">
        <f>+Actuals!P442</f>
        <v>0</v>
      </c>
      <c r="T80" s="120">
        <f>+Actuals!Q442</f>
        <v>0</v>
      </c>
      <c r="U80" s="120">
        <f>+Actuals!R442</f>
        <v>0</v>
      </c>
      <c r="V80" s="120">
        <f>+Actuals!S442</f>
        <v>0</v>
      </c>
      <c r="W80" s="120">
        <f>+Actuals!T442</f>
        <v>0</v>
      </c>
      <c r="X80" s="120">
        <f>+Actuals!U442</f>
        <v>0</v>
      </c>
      <c r="Y80" s="120">
        <f>+Actuals!V442</f>
        <v>0</v>
      </c>
      <c r="Z80" s="120">
        <f>+Actuals!W442</f>
        <v>0</v>
      </c>
      <c r="AA80" s="120">
        <f>+Actuals!X442</f>
        <v>0</v>
      </c>
      <c r="AB80" s="120">
        <f>+Actuals!Y442</f>
        <v>0</v>
      </c>
      <c r="AC80" s="120">
        <f>+Actuals!Z442</f>
        <v>0</v>
      </c>
      <c r="AD80" s="120">
        <f>+Actuals!AA442</f>
        <v>0</v>
      </c>
      <c r="AE80" s="120">
        <f>+Actuals!AB442</f>
        <v>0</v>
      </c>
      <c r="AF80" s="120">
        <f>+Actuals!AC442</f>
        <v>0</v>
      </c>
      <c r="AG80" s="120">
        <f>+Actuals!AD442</f>
        <v>0</v>
      </c>
      <c r="AH80" s="120">
        <f>+Actuals!AE442</f>
        <v>0</v>
      </c>
      <c r="AI80" s="120">
        <f>+Actuals!AF442</f>
        <v>0</v>
      </c>
      <c r="AJ80" s="120">
        <f>+Actuals!AG442</f>
        <v>0</v>
      </c>
      <c r="AK80" s="120">
        <f>+Actuals!AH442</f>
        <v>0</v>
      </c>
      <c r="AL80" s="120">
        <f>+Actuals!AI442</f>
        <v>0</v>
      </c>
      <c r="AM80" s="120">
        <f>+Actuals!AJ442</f>
        <v>0</v>
      </c>
      <c r="AN80" s="120">
        <f>+Actuals!AK442</f>
        <v>0</v>
      </c>
      <c r="AO80" s="120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'TIE-OUT'!AD81+RECLASS!AD81</f>
        <v>0</v>
      </c>
      <c r="G81" s="60">
        <f>'TIE-OUT'!AE81+RECLASS!AE81</f>
        <v>0</v>
      </c>
      <c r="H81" s="120">
        <f>+Actuals!E443</f>
        <v>0</v>
      </c>
      <c r="I81" s="120">
        <f>+Actuals!F443</f>
        <v>0</v>
      </c>
      <c r="J81" s="120">
        <f>+Actuals!G443</f>
        <v>0</v>
      </c>
      <c r="K81" s="120">
        <f>+Actuals!H443</f>
        <v>0</v>
      </c>
      <c r="L81" s="120">
        <f>+Actuals!I443</f>
        <v>0</v>
      </c>
      <c r="M81" s="120">
        <f>+Actuals!J443</f>
        <v>0</v>
      </c>
      <c r="N81" s="120">
        <f>+Actuals!K443</f>
        <v>0</v>
      </c>
      <c r="O81" s="120">
        <f>+Actuals!L443</f>
        <v>0</v>
      </c>
      <c r="P81" s="120">
        <f>+Actuals!M443</f>
        <v>0</v>
      </c>
      <c r="Q81" s="120">
        <f>+Actuals!N443</f>
        <v>0</v>
      </c>
      <c r="R81" s="120">
        <f>+Actuals!O443</f>
        <v>0</v>
      </c>
      <c r="S81" s="120">
        <f>+Actuals!P443</f>
        <v>0</v>
      </c>
      <c r="T81" s="120">
        <f>+Actuals!Q443</f>
        <v>0</v>
      </c>
      <c r="U81" s="120">
        <f>+Actuals!R443</f>
        <v>0</v>
      </c>
      <c r="V81" s="120">
        <f>+Actuals!S443</f>
        <v>0</v>
      </c>
      <c r="W81" s="120">
        <f>+Actuals!T443</f>
        <v>0</v>
      </c>
      <c r="X81" s="120">
        <f>+Actuals!U443</f>
        <v>0</v>
      </c>
      <c r="Y81" s="120">
        <f>+Actuals!V443</f>
        <v>0</v>
      </c>
      <c r="Z81" s="120">
        <f>+Actuals!W443</f>
        <v>0</v>
      </c>
      <c r="AA81" s="120">
        <f>+Actuals!X443</f>
        <v>0</v>
      </c>
      <c r="AB81" s="120">
        <f>+Actuals!Y443</f>
        <v>0</v>
      </c>
      <c r="AC81" s="120">
        <f>+Actuals!Z443</f>
        <v>0</v>
      </c>
      <c r="AD81" s="120">
        <f>+Actuals!AA443</f>
        <v>0</v>
      </c>
      <c r="AE81" s="120">
        <f>+Actuals!AB443</f>
        <v>0</v>
      </c>
      <c r="AF81" s="120">
        <f>+Actuals!AC443</f>
        <v>0</v>
      </c>
      <c r="AG81" s="120">
        <f>+Actuals!AD443</f>
        <v>0</v>
      </c>
      <c r="AH81" s="120">
        <f>+Actuals!AE443</f>
        <v>0</v>
      </c>
      <c r="AI81" s="120">
        <f>+Actuals!AF443</f>
        <v>0</v>
      </c>
      <c r="AJ81" s="120">
        <f>+Actuals!AG443</f>
        <v>0</v>
      </c>
      <c r="AK81" s="120">
        <f>+Actuals!AH443</f>
        <v>0</v>
      </c>
      <c r="AL81" s="120">
        <f>+Actuals!AI443</f>
        <v>0</v>
      </c>
      <c r="AM81" s="120">
        <f>+Actuals!AJ443</f>
        <v>0</v>
      </c>
      <c r="AN81" s="120">
        <f>+Actuals!AK443</f>
        <v>0</v>
      </c>
      <c r="AO81" s="120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-58984.781999998377</v>
      </c>
      <c r="F82" s="91">
        <f>F16+F24+F29+F36+F43+F45+F47+F49</f>
        <v>0</v>
      </c>
      <c r="G82" s="92">
        <f>SUM(G72:G81)+G16+G24+G29+G36+G43+G45+G47+G49+G51+G56+G61+G66</f>
        <v>-5385942.8200000003</v>
      </c>
      <c r="H82" s="91">
        <f>H16+H24+H29+H36+H43+H45+H47+H49</f>
        <v>0</v>
      </c>
      <c r="I82" s="91">
        <f>I16+I24+I29+I36+I43+I45+I47+I49</f>
        <v>2541166.8919999963</v>
      </c>
      <c r="J82" s="91">
        <f>J16+J24+J29+J36+J43+J45+J47+J49</f>
        <v>0</v>
      </c>
      <c r="K82" s="139">
        <f>K16+K24+K29+K36+K43+K45+K47+K49</f>
        <v>1323588.3739999994</v>
      </c>
      <c r="L82" s="91">
        <f>L16+L24+L29+L36+L43+L45+L47+L49</f>
        <v>0</v>
      </c>
      <c r="M82" s="92">
        <f>SUM(M72:M81)+M16+M24+M29+M36+M43+M45+M47+M49+M51+M56+M61+M66</f>
        <v>17711.423999999999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-502.27199999999721</v>
      </c>
      <c r="R82" s="91">
        <f>R16+R24+R29+R36+R43+R45+R47+R49</f>
        <v>0</v>
      </c>
      <c r="S82" s="92">
        <f>SUM(S72:S81)+S16+S24+S29+S36+S43+S45+S47+S49+S51+S56+S61+S66</f>
        <v>271644.00199999998</v>
      </c>
      <c r="T82" s="91">
        <f>T16+T24+T29+T36+T43+T45+T47+T49</f>
        <v>0</v>
      </c>
      <c r="U82" s="92">
        <f>SUM(U72:U81)+U16+U24+U29+U36+U43+U45+U47+U49+U51+U56+U61+U66</f>
        <v>1044785.3079999996</v>
      </c>
      <c r="V82" s="91">
        <f>V16+V24+V29+V36+V43+V45+V47+V49</f>
        <v>0</v>
      </c>
      <c r="W82" s="92">
        <f>SUM(W72:W81)+W16+W24+W29+W36+W43+W45+W47+W49+W51+W56+W61+W66</f>
        <v>-198.2</v>
      </c>
      <c r="X82" s="91">
        <f>X16+X24+X29+X36+X43+X45+X47+X49</f>
        <v>0</v>
      </c>
      <c r="Y82" s="92">
        <f>SUM(Y72:Y81)+Y16+Y24+Y29+Y36+Y43+Y45+Y47+Y49+Y51+Y56+Y61+Y66</f>
        <v>969.87</v>
      </c>
      <c r="Z82" s="91">
        <f>Z16+Z24+Z29+Z36+Z43+Z45+Z47+Z49</f>
        <v>0</v>
      </c>
      <c r="AA82" s="92">
        <f>SUM(AA72:AA81)+AA16+AA24+AA29+AA36+AA43+AA45+AA47+AA49+AA51+AA56+AA61+AA66</f>
        <v>127792.64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75" right="0.75" top="0.25" bottom="0.25" header="0.5" footer="0.5"/>
  <pageSetup paperSize="5" scale="47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V179"/>
  <sheetViews>
    <sheetView topLeftCell="I39" zoomScale="75" workbookViewId="0">
      <selection activeCell="Z9" sqref="Z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27" width="15.44140625" customWidth="1"/>
    <col min="28" max="41" width="15.44140625" hidden="1" customWidth="1"/>
    <col min="42" max="42" width="0.109375" hidden="1" customWidth="1"/>
    <col min="43" max="43" width="15.44140625" hidden="1" customWidth="1"/>
    <col min="44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13640741</v>
      </c>
      <c r="E11" s="38">
        <f>SUM(G11,I11,K11,M11,O11,Q11,S11,U11,W11,Y11,AA11,AC11,AE11)</f>
        <v>30946632.989999998</v>
      </c>
      <c r="F11" s="60">
        <f>'TIE-OUT'!H11+RECLASS!H11</f>
        <v>0</v>
      </c>
      <c r="G11" s="38">
        <f>'TIE-OUT'!I11+RECLASS!AC11</f>
        <v>0</v>
      </c>
      <c r="H11" s="120">
        <f>+Actuals!E324</f>
        <v>13472429</v>
      </c>
      <c r="I11" s="121">
        <f>+Actuals!F324</f>
        <v>30285435.079999998</v>
      </c>
      <c r="J11" s="120">
        <f>+Actuals!G324</f>
        <v>162645</v>
      </c>
      <c r="K11" s="121">
        <f>+Actuals!H324</f>
        <v>648896.59</v>
      </c>
      <c r="L11" s="120">
        <f>+Actuals!I324</f>
        <v>0</v>
      </c>
      <c r="M11" s="121">
        <f>+Actuals!J324</f>
        <v>0</v>
      </c>
      <c r="N11" s="120">
        <f>+Actuals!K324</f>
        <v>5667</v>
      </c>
      <c r="O11" s="121">
        <f>+Actuals!L324</f>
        <v>12301.32</v>
      </c>
      <c r="P11" s="120">
        <f>+Actuals!M324</f>
        <v>0</v>
      </c>
      <c r="Q11" s="121">
        <f>+Actuals!N324</f>
        <v>0</v>
      </c>
      <c r="R11" s="120">
        <f>+Actuals!O324</f>
        <v>0</v>
      </c>
      <c r="S11" s="121">
        <f>+Actuals!P324</f>
        <v>0</v>
      </c>
      <c r="T11" s="120">
        <f>+Actuals!Q324</f>
        <v>0</v>
      </c>
      <c r="U11" s="121">
        <f>+Actuals!R324</f>
        <v>0</v>
      </c>
      <c r="V11" s="120">
        <f>+Actuals!S324</f>
        <v>0</v>
      </c>
      <c r="W11" s="121">
        <f>+Actuals!T324</f>
        <v>0</v>
      </c>
      <c r="X11" s="120">
        <f>+Actuals!U324</f>
        <v>0</v>
      </c>
      <c r="Y11" s="121">
        <f>+Actuals!V324</f>
        <v>0</v>
      </c>
      <c r="Z11" s="120">
        <f>+Actuals!W324</f>
        <v>0</v>
      </c>
      <c r="AA11" s="121">
        <f>+Actuals!X324</f>
        <v>0</v>
      </c>
      <c r="AB11" s="120">
        <f>+Actuals!Y324</f>
        <v>0</v>
      </c>
      <c r="AC11" s="121">
        <f>+Actuals!Z324</f>
        <v>0</v>
      </c>
      <c r="AD11" s="120">
        <f>+Actuals!AA324</f>
        <v>0</v>
      </c>
      <c r="AE11" s="121">
        <f>+Actuals!AB324</f>
        <v>0</v>
      </c>
      <c r="AF11" s="120">
        <f>+Actuals!AC324</f>
        <v>0</v>
      </c>
      <c r="AG11" s="121">
        <f>+Actuals!AD324</f>
        <v>0</v>
      </c>
      <c r="AH11" s="120">
        <f>+Actuals!AE324</f>
        <v>0</v>
      </c>
      <c r="AI11" s="121">
        <f>+Actuals!AF324</f>
        <v>0</v>
      </c>
      <c r="AJ11" s="120">
        <f>+Actuals!AG324</f>
        <v>0</v>
      </c>
      <c r="AK11" s="121">
        <f>+Actuals!AH324</f>
        <v>0</v>
      </c>
      <c r="AL11" s="120">
        <f>+Actuals!AI324</f>
        <v>0</v>
      </c>
      <c r="AM11" s="121">
        <f>+Actuals!AJ324</f>
        <v>0</v>
      </c>
      <c r="AN11" s="120">
        <f>+Actuals!AK324</f>
        <v>0</v>
      </c>
      <c r="AO11" s="121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53110.26</v>
      </c>
      <c r="F12" s="60">
        <f>'TIE-OUT'!H12+RECLASS!H12</f>
        <v>0</v>
      </c>
      <c r="G12" s="38">
        <f>'TIE-OUT'!I12+RECLASS!AC12</f>
        <v>53110.26</v>
      </c>
      <c r="H12" s="120">
        <f>+Actuals!E325</f>
        <v>0</v>
      </c>
      <c r="I12" s="121">
        <f>+Actuals!F325</f>
        <v>0</v>
      </c>
      <c r="J12" s="120">
        <f>+Actuals!G325</f>
        <v>0</v>
      </c>
      <c r="K12" s="121">
        <f>+Actuals!H325</f>
        <v>0</v>
      </c>
      <c r="L12" s="120">
        <f>+Actuals!I325</f>
        <v>0</v>
      </c>
      <c r="M12" s="121">
        <f>+Actuals!J325</f>
        <v>0</v>
      </c>
      <c r="N12" s="120">
        <f>+Actuals!K325</f>
        <v>0</v>
      </c>
      <c r="O12" s="121">
        <f>+Actuals!L325</f>
        <v>0</v>
      </c>
      <c r="P12" s="120">
        <f>+Actuals!M325</f>
        <v>0</v>
      </c>
      <c r="Q12" s="121">
        <f>+Actuals!N325</f>
        <v>0</v>
      </c>
      <c r="R12" s="120">
        <f>+Actuals!O325</f>
        <v>0</v>
      </c>
      <c r="S12" s="121">
        <f>+Actuals!P325</f>
        <v>0</v>
      </c>
      <c r="T12" s="120">
        <f>+Actuals!Q325</f>
        <v>0</v>
      </c>
      <c r="U12" s="121">
        <f>+Actuals!R325</f>
        <v>0</v>
      </c>
      <c r="V12" s="120">
        <f>+Actuals!S325</f>
        <v>0</v>
      </c>
      <c r="W12" s="121">
        <f>+Actuals!T325</f>
        <v>0</v>
      </c>
      <c r="X12" s="120">
        <f>+Actuals!U325</f>
        <v>0</v>
      </c>
      <c r="Y12" s="121">
        <f>+Actuals!V325</f>
        <v>0</v>
      </c>
      <c r="Z12" s="120">
        <f>+Actuals!W325</f>
        <v>0</v>
      </c>
      <c r="AA12" s="121">
        <f>+Actuals!X325</f>
        <v>0</v>
      </c>
      <c r="AB12" s="120">
        <f>+Actuals!Y325</f>
        <v>0</v>
      </c>
      <c r="AC12" s="121">
        <f>+Actuals!Z325</f>
        <v>0</v>
      </c>
      <c r="AD12" s="120">
        <f>+Actuals!AA325</f>
        <v>0</v>
      </c>
      <c r="AE12" s="121">
        <f>+Actuals!AB325</f>
        <v>0</v>
      </c>
      <c r="AF12" s="120">
        <f>+Actuals!AC325</f>
        <v>0</v>
      </c>
      <c r="AG12" s="121">
        <f>+Actuals!AD325</f>
        <v>0</v>
      </c>
      <c r="AH12" s="120">
        <f>+Actuals!AE325</f>
        <v>0</v>
      </c>
      <c r="AI12" s="121">
        <f>+Actuals!AF325</f>
        <v>0</v>
      </c>
      <c r="AJ12" s="120">
        <f>+Actuals!AG325</f>
        <v>0</v>
      </c>
      <c r="AK12" s="121">
        <f>+Actuals!AH325</f>
        <v>0</v>
      </c>
      <c r="AL12" s="120">
        <f>+Actuals!AI325</f>
        <v>0</v>
      </c>
      <c r="AM12" s="121">
        <f>+Actuals!AJ325</f>
        <v>0</v>
      </c>
      <c r="AN12" s="120">
        <f>+Actuals!AK325</f>
        <v>0</v>
      </c>
      <c r="AO12" s="121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22737066</v>
      </c>
      <c r="E13" s="38">
        <f t="shared" si="0"/>
        <v>53455982</v>
      </c>
      <c r="F13" s="60">
        <f>'TIE-OUT'!H13+RECLASS!H13</f>
        <v>0</v>
      </c>
      <c r="G13" s="38">
        <f>'TIE-OUT'!I13+RECLASS!AC13</f>
        <v>0</v>
      </c>
      <c r="H13" s="120">
        <f>+Actuals!E326</f>
        <v>22737066</v>
      </c>
      <c r="I13" s="121">
        <f>+Actuals!F326</f>
        <v>53455982</v>
      </c>
      <c r="J13" s="120">
        <f>+Actuals!G326</f>
        <v>-12823987</v>
      </c>
      <c r="K13" s="121">
        <f>+Actuals!H326</f>
        <v>-30729912</v>
      </c>
      <c r="L13" s="120">
        <f>+Actuals!I326</f>
        <v>0</v>
      </c>
      <c r="M13" s="121">
        <f>+Actuals!J326</f>
        <v>0</v>
      </c>
      <c r="N13" s="120">
        <f>+Actuals!K326</f>
        <v>0</v>
      </c>
      <c r="O13" s="121">
        <f>+Actuals!L326</f>
        <v>0</v>
      </c>
      <c r="P13" s="120">
        <f>+Actuals!M326</f>
        <v>0</v>
      </c>
      <c r="Q13" s="121">
        <f>+Actuals!N326</f>
        <v>0</v>
      </c>
      <c r="R13" s="120">
        <f>+Actuals!O326</f>
        <v>0</v>
      </c>
      <c r="S13" s="121">
        <f>+Actuals!P326</f>
        <v>0</v>
      </c>
      <c r="T13" s="120">
        <f>+Actuals!Q326</f>
        <v>12823987</v>
      </c>
      <c r="U13" s="121">
        <f>+Actuals!R326</f>
        <v>30729912</v>
      </c>
      <c r="V13" s="120">
        <f>+Actuals!S326</f>
        <v>0</v>
      </c>
      <c r="W13" s="121">
        <f>+Actuals!T326</f>
        <v>0</v>
      </c>
      <c r="X13" s="120">
        <f>+Actuals!U326</f>
        <v>0</v>
      </c>
      <c r="Y13" s="121">
        <f>+Actuals!V326</f>
        <v>0</v>
      </c>
      <c r="Z13" s="120">
        <f>+Actuals!W326</f>
        <v>0</v>
      </c>
      <c r="AA13" s="121">
        <f>+Actuals!X326</f>
        <v>0</v>
      </c>
      <c r="AB13" s="120">
        <f>+Actuals!Y326</f>
        <v>0</v>
      </c>
      <c r="AC13" s="121">
        <f>+Actuals!Z326</f>
        <v>0</v>
      </c>
      <c r="AD13" s="120">
        <f>+Actuals!AA326</f>
        <v>0</v>
      </c>
      <c r="AE13" s="121">
        <f>+Actuals!AB326</f>
        <v>0</v>
      </c>
      <c r="AF13" s="120">
        <f>+Actuals!AC326</f>
        <v>0</v>
      </c>
      <c r="AG13" s="121">
        <f>+Actuals!AD326</f>
        <v>0</v>
      </c>
      <c r="AH13" s="120">
        <f>+Actuals!AE326</f>
        <v>0</v>
      </c>
      <c r="AI13" s="121">
        <f>+Actuals!AF326</f>
        <v>0</v>
      </c>
      <c r="AJ13" s="120">
        <f>+Actuals!AG326</f>
        <v>0</v>
      </c>
      <c r="AK13" s="121">
        <f>+Actuals!AH326</f>
        <v>0</v>
      </c>
      <c r="AL13" s="120">
        <f>+Actuals!AI326</f>
        <v>0</v>
      </c>
      <c r="AM13" s="121">
        <f>+Actuals!AJ326</f>
        <v>0</v>
      </c>
      <c r="AN13" s="120">
        <f>+Actuals!AK326</f>
        <v>0</v>
      </c>
      <c r="AO13" s="121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'TIE-OUT'!I14+RECLASS!AC14</f>
        <v>0</v>
      </c>
      <c r="H14" s="120">
        <f>+Actuals!E327</f>
        <v>0</v>
      </c>
      <c r="I14" s="121">
        <f>+Actuals!F327</f>
        <v>0</v>
      </c>
      <c r="J14" s="120">
        <f>+Actuals!G327</f>
        <v>0</v>
      </c>
      <c r="K14" s="121">
        <f>+Actuals!H327</f>
        <v>0</v>
      </c>
      <c r="L14" s="120">
        <f>+Actuals!I327</f>
        <v>0</v>
      </c>
      <c r="M14" s="121">
        <f>+Actuals!J327</f>
        <v>0</v>
      </c>
      <c r="N14" s="120">
        <f>+Actuals!K327</f>
        <v>0</v>
      </c>
      <c r="O14" s="121">
        <f>+Actuals!L327</f>
        <v>0</v>
      </c>
      <c r="P14" s="120">
        <f>+Actuals!M327</f>
        <v>0</v>
      </c>
      <c r="Q14" s="121">
        <f>+Actuals!N327</f>
        <v>0</v>
      </c>
      <c r="R14" s="120">
        <f>+Actuals!O327</f>
        <v>0</v>
      </c>
      <c r="S14" s="121">
        <f>+Actuals!P327</f>
        <v>0</v>
      </c>
      <c r="T14" s="120">
        <f>+Actuals!Q327</f>
        <v>0</v>
      </c>
      <c r="U14" s="121">
        <f>+Actuals!R327</f>
        <v>0</v>
      </c>
      <c r="V14" s="120">
        <f>+Actuals!S327</f>
        <v>0</v>
      </c>
      <c r="W14" s="121">
        <f>+Actuals!T327</f>
        <v>0</v>
      </c>
      <c r="X14" s="120">
        <f>+Actuals!U327</f>
        <v>0</v>
      </c>
      <c r="Y14" s="121">
        <f>+Actuals!V327</f>
        <v>0</v>
      </c>
      <c r="Z14" s="120">
        <f>+Actuals!W327</f>
        <v>0</v>
      </c>
      <c r="AA14" s="121">
        <f>+Actuals!X327</f>
        <v>0</v>
      </c>
      <c r="AB14" s="120">
        <f>+Actuals!Y327</f>
        <v>0</v>
      </c>
      <c r="AC14" s="121">
        <f>+Actuals!Z327</f>
        <v>0</v>
      </c>
      <c r="AD14" s="120">
        <f>+Actuals!AA327</f>
        <v>0</v>
      </c>
      <c r="AE14" s="121">
        <f>+Actuals!AB327</f>
        <v>0</v>
      </c>
      <c r="AF14" s="120">
        <f>+Actuals!AC327</f>
        <v>0</v>
      </c>
      <c r="AG14" s="121">
        <f>+Actuals!AD327</f>
        <v>0</v>
      </c>
      <c r="AH14" s="120">
        <f>+Actuals!AE327</f>
        <v>0</v>
      </c>
      <c r="AI14" s="121">
        <f>+Actuals!AF327</f>
        <v>0</v>
      </c>
      <c r="AJ14" s="120">
        <f>+Actuals!AG327</f>
        <v>0</v>
      </c>
      <c r="AK14" s="121">
        <f>+Actuals!AH327</f>
        <v>0</v>
      </c>
      <c r="AL14" s="120">
        <f>+Actuals!AI327</f>
        <v>0</v>
      </c>
      <c r="AM14" s="121">
        <f>+Actuals!AJ327</f>
        <v>0</v>
      </c>
      <c r="AN14" s="120">
        <f>+Actuals!AK327</f>
        <v>0</v>
      </c>
      <c r="AO14" s="121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2887608</v>
      </c>
      <c r="F15" s="81">
        <f>'TIE-OUT'!H15+RECLASS!H15</f>
        <v>0</v>
      </c>
      <c r="G15" s="38">
        <f>'TIE-OUT'!I15+RECLASS!AC15</f>
        <v>0</v>
      </c>
      <c r="H15" s="120">
        <f>+Actuals!E328</f>
        <v>0</v>
      </c>
      <c r="I15" s="121">
        <f>+Actuals!F328</f>
        <v>0</v>
      </c>
      <c r="J15" s="120">
        <f>+Actuals!G328</f>
        <v>0</v>
      </c>
      <c r="K15" s="121">
        <f>+Actuals!H328</f>
        <v>2887605</v>
      </c>
      <c r="L15" s="120">
        <f>+Actuals!I328</f>
        <v>0</v>
      </c>
      <c r="M15" s="121">
        <f>+Actuals!J328</f>
        <v>3</v>
      </c>
      <c r="N15" s="120">
        <f>+Actuals!K328</f>
        <v>0</v>
      </c>
      <c r="O15" s="121">
        <f>+Actuals!L328</f>
        <v>0</v>
      </c>
      <c r="P15" s="120">
        <f>+Actuals!M328</f>
        <v>0</v>
      </c>
      <c r="Q15" s="121">
        <f>+Actuals!N328</f>
        <v>0</v>
      </c>
      <c r="R15" s="120">
        <f>+Actuals!O328</f>
        <v>0</v>
      </c>
      <c r="S15" s="121">
        <f>+Actuals!P328</f>
        <v>0</v>
      </c>
      <c r="T15" s="120">
        <f>+Actuals!Q328</f>
        <v>0</v>
      </c>
      <c r="U15" s="121">
        <f>+Actuals!R328</f>
        <v>0</v>
      </c>
      <c r="V15" s="120">
        <f>+Actuals!S328</f>
        <v>0</v>
      </c>
      <c r="W15" s="121">
        <f>+Actuals!T328</f>
        <v>0</v>
      </c>
      <c r="X15" s="120">
        <f>+Actuals!U328</f>
        <v>0</v>
      </c>
      <c r="Y15" s="121">
        <f>+Actuals!V328</f>
        <v>0</v>
      </c>
      <c r="Z15" s="120">
        <f>+Actuals!W328</f>
        <v>0</v>
      </c>
      <c r="AA15" s="121">
        <f>+Actuals!X328</f>
        <v>0</v>
      </c>
      <c r="AB15" s="120">
        <f>+Actuals!Y328</f>
        <v>0</v>
      </c>
      <c r="AC15" s="121">
        <f>+Actuals!Z328</f>
        <v>0</v>
      </c>
      <c r="AD15" s="120">
        <f>+Actuals!AA328</f>
        <v>0</v>
      </c>
      <c r="AE15" s="121">
        <f>+Actuals!AB328</f>
        <v>0</v>
      </c>
      <c r="AF15" s="120">
        <f>+Actuals!AC328</f>
        <v>0</v>
      </c>
      <c r="AG15" s="121">
        <f>+Actuals!AD328</f>
        <v>0</v>
      </c>
      <c r="AH15" s="120">
        <f>+Actuals!AE328</f>
        <v>0</v>
      </c>
      <c r="AI15" s="121">
        <f>+Actuals!AF328</f>
        <v>0</v>
      </c>
      <c r="AJ15" s="120">
        <f>+Actuals!AG328</f>
        <v>0</v>
      </c>
      <c r="AK15" s="121">
        <f>+Actuals!AH328</f>
        <v>0</v>
      </c>
      <c r="AL15" s="120">
        <f>+Actuals!AI328</f>
        <v>0</v>
      </c>
      <c r="AM15" s="121">
        <f>+Actuals!AJ328</f>
        <v>0</v>
      </c>
      <c r="AN15" s="120">
        <f>+Actuals!AK328</f>
        <v>0</v>
      </c>
      <c r="AO15" s="121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36377807</v>
      </c>
      <c r="E16" s="39">
        <f t="shared" si="1"/>
        <v>87343333.25</v>
      </c>
      <c r="F16" s="61">
        <f t="shared" si="1"/>
        <v>0</v>
      </c>
      <c r="G16" s="39">
        <f t="shared" si="1"/>
        <v>53110.26</v>
      </c>
      <c r="H16" s="61">
        <f t="shared" si="1"/>
        <v>36209495</v>
      </c>
      <c r="I16" s="39">
        <f t="shared" si="1"/>
        <v>83741417.079999998</v>
      </c>
      <c r="J16" s="61">
        <f t="shared" ref="J16:AO16" si="2">SUM(J11:J15)</f>
        <v>-12661342</v>
      </c>
      <c r="K16" s="39">
        <f t="shared" si="2"/>
        <v>-27193410.41</v>
      </c>
      <c r="L16" s="61">
        <f t="shared" si="2"/>
        <v>0</v>
      </c>
      <c r="M16" s="39">
        <f t="shared" si="2"/>
        <v>3</v>
      </c>
      <c r="N16" s="61">
        <f t="shared" ref="N16:S16" si="3">SUM(N11:N15)</f>
        <v>5667</v>
      </c>
      <c r="O16" s="39">
        <f t="shared" si="3"/>
        <v>12301.32</v>
      </c>
      <c r="P16" s="61">
        <f t="shared" si="3"/>
        <v>0</v>
      </c>
      <c r="Q16" s="39">
        <f t="shared" si="3"/>
        <v>0</v>
      </c>
      <c r="R16" s="61">
        <f t="shared" si="3"/>
        <v>0</v>
      </c>
      <c r="S16" s="39">
        <f t="shared" si="3"/>
        <v>0</v>
      </c>
      <c r="T16" s="61">
        <f t="shared" si="2"/>
        <v>12823987</v>
      </c>
      <c r="U16" s="39">
        <f t="shared" si="2"/>
        <v>30729912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-11306576</v>
      </c>
      <c r="E19" s="38">
        <f t="shared" si="4"/>
        <v>-24700429.819999997</v>
      </c>
      <c r="F19" s="64">
        <f>'TIE-OUT'!H19+RECLASS!H19</f>
        <v>0</v>
      </c>
      <c r="G19" s="38">
        <f>'TIE-OUT'!I19+RECLASS!AC19</f>
        <v>0</v>
      </c>
      <c r="H19" s="120">
        <f>+Actuals!E329</f>
        <v>-11090985</v>
      </c>
      <c r="I19" s="121">
        <f>+Actuals!F329</f>
        <v>-24180240.18</v>
      </c>
      <c r="J19" s="120">
        <f>+Actuals!G329</f>
        <v>-209924</v>
      </c>
      <c r="K19" s="121">
        <f>+Actuals!H329</f>
        <v>-528097.4</v>
      </c>
      <c r="L19" s="120">
        <f>+Actuals!I329</f>
        <v>0</v>
      </c>
      <c r="M19" s="121">
        <f>+Actuals!J329</f>
        <v>7907.98</v>
      </c>
      <c r="N19" s="120">
        <f>+Actuals!K329</f>
        <v>-5667</v>
      </c>
      <c r="O19" s="121">
        <f>+Actuals!L329</f>
        <v>-0.22</v>
      </c>
      <c r="P19" s="120">
        <f>+Actuals!M329</f>
        <v>0</v>
      </c>
      <c r="Q19" s="121">
        <f>+Actuals!N329</f>
        <v>0</v>
      </c>
      <c r="R19" s="120">
        <f>+Actuals!O329</f>
        <v>0</v>
      </c>
      <c r="S19" s="121">
        <f>+Actuals!P329</f>
        <v>0</v>
      </c>
      <c r="T19" s="120">
        <f>+Actuals!Q329</f>
        <v>0</v>
      </c>
      <c r="U19" s="121">
        <f>+Actuals!R329</f>
        <v>0</v>
      </c>
      <c r="V19" s="120">
        <f>+Actuals!S329</f>
        <v>0</v>
      </c>
      <c r="W19" s="121">
        <f>+Actuals!T329</f>
        <v>0</v>
      </c>
      <c r="X19" s="120">
        <f>+Actuals!U329</f>
        <v>0</v>
      </c>
      <c r="Y19" s="121">
        <f>+Actuals!V329</f>
        <v>0</v>
      </c>
      <c r="Z19" s="120">
        <f>+Actuals!W329</f>
        <v>0</v>
      </c>
      <c r="AA19" s="121">
        <f>+Actuals!X329</f>
        <v>0</v>
      </c>
      <c r="AB19" s="120">
        <f>+Actuals!Y329</f>
        <v>0</v>
      </c>
      <c r="AC19" s="121">
        <f>+Actuals!Z329</f>
        <v>0</v>
      </c>
      <c r="AD19" s="120">
        <f>+Actuals!AA329</f>
        <v>0</v>
      </c>
      <c r="AE19" s="121">
        <f>+Actuals!AB329</f>
        <v>0</v>
      </c>
      <c r="AF19" s="120">
        <f>+Actuals!AC329</f>
        <v>0</v>
      </c>
      <c r="AG19" s="121">
        <f>+Actuals!AD329</f>
        <v>0</v>
      </c>
      <c r="AH19" s="120">
        <f>+Actuals!AE329</f>
        <v>0</v>
      </c>
      <c r="AI19" s="121">
        <f>+Actuals!AF329</f>
        <v>0</v>
      </c>
      <c r="AJ19" s="120">
        <f>+Actuals!AG329</f>
        <v>0</v>
      </c>
      <c r="AK19" s="121">
        <f>+Actuals!AH329</f>
        <v>0</v>
      </c>
      <c r="AL19" s="120">
        <f>+Actuals!AI329</f>
        <v>0</v>
      </c>
      <c r="AM19" s="121">
        <f>+Actuals!AJ329</f>
        <v>0</v>
      </c>
      <c r="AN19" s="120">
        <f>+Actuals!AK329</f>
        <v>0</v>
      </c>
      <c r="AO19" s="121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154946</v>
      </c>
      <c r="F20" s="60">
        <f>'TIE-OUT'!H20+RECLASS!H20</f>
        <v>0</v>
      </c>
      <c r="G20" s="38">
        <f>'TIE-OUT'!I20+RECLASS!AC20</f>
        <v>154946</v>
      </c>
      <c r="H20" s="120">
        <f>+Actuals!E330</f>
        <v>0</v>
      </c>
      <c r="I20" s="121">
        <f>+Actuals!F330</f>
        <v>0</v>
      </c>
      <c r="J20" s="120">
        <f>+Actuals!G330</f>
        <v>0</v>
      </c>
      <c r="K20" s="121">
        <f>+Actuals!H330</f>
        <v>0</v>
      </c>
      <c r="L20" s="120">
        <f>+Actuals!I330</f>
        <v>0</v>
      </c>
      <c r="M20" s="121">
        <f>+Actuals!J330</f>
        <v>0</v>
      </c>
      <c r="N20" s="120">
        <f>+Actuals!K330</f>
        <v>0</v>
      </c>
      <c r="O20" s="121">
        <f>+Actuals!L330</f>
        <v>0</v>
      </c>
      <c r="P20" s="120">
        <f>+Actuals!M330</f>
        <v>0</v>
      </c>
      <c r="Q20" s="121">
        <f>+Actuals!N330</f>
        <v>0</v>
      </c>
      <c r="R20" s="120">
        <f>+Actuals!O330</f>
        <v>0</v>
      </c>
      <c r="S20" s="121">
        <f>+Actuals!P330</f>
        <v>0</v>
      </c>
      <c r="T20" s="120">
        <f>+Actuals!Q330</f>
        <v>0</v>
      </c>
      <c r="U20" s="121">
        <f>+Actuals!R330</f>
        <v>0</v>
      </c>
      <c r="V20" s="120">
        <f>+Actuals!S330</f>
        <v>0</v>
      </c>
      <c r="W20" s="121">
        <f>+Actuals!T330</f>
        <v>0</v>
      </c>
      <c r="X20" s="120">
        <f>+Actuals!U330</f>
        <v>0</v>
      </c>
      <c r="Y20" s="121">
        <f>+Actuals!V330</f>
        <v>0</v>
      </c>
      <c r="Z20" s="120">
        <f>+Actuals!W330</f>
        <v>0</v>
      </c>
      <c r="AA20" s="121">
        <f>+Actuals!X330</f>
        <v>0</v>
      </c>
      <c r="AB20" s="120">
        <f>+Actuals!Y330</f>
        <v>0</v>
      </c>
      <c r="AC20" s="121">
        <f>+Actuals!Z330</f>
        <v>0</v>
      </c>
      <c r="AD20" s="120">
        <f>+Actuals!AA330</f>
        <v>0</v>
      </c>
      <c r="AE20" s="121">
        <f>+Actuals!AB330</f>
        <v>0</v>
      </c>
      <c r="AF20" s="120">
        <f>+Actuals!AC330</f>
        <v>0</v>
      </c>
      <c r="AG20" s="121">
        <f>+Actuals!AD330</f>
        <v>0</v>
      </c>
      <c r="AH20" s="120">
        <f>+Actuals!AE330</f>
        <v>0</v>
      </c>
      <c r="AI20" s="121">
        <f>+Actuals!AF330</f>
        <v>0</v>
      </c>
      <c r="AJ20" s="120">
        <f>+Actuals!AG330</f>
        <v>0</v>
      </c>
      <c r="AK20" s="121">
        <f>+Actuals!AH330</f>
        <v>0</v>
      </c>
      <c r="AL20" s="120">
        <f>+Actuals!AI330</f>
        <v>0</v>
      </c>
      <c r="AM20" s="121">
        <f>+Actuals!AJ330</f>
        <v>0</v>
      </c>
      <c r="AN20" s="120">
        <f>+Actuals!AK330</f>
        <v>0</v>
      </c>
      <c r="AO20" s="121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-25299406</v>
      </c>
      <c r="E21" s="38">
        <f t="shared" si="4"/>
        <v>-58250230</v>
      </c>
      <c r="F21" s="60">
        <f>'TIE-OUT'!H21+RECLASS!H21</f>
        <v>0</v>
      </c>
      <c r="G21" s="38">
        <f>'TIE-OUT'!I21+RECLASS!AC21</f>
        <v>0</v>
      </c>
      <c r="H21" s="120">
        <f>+Actuals!E331</f>
        <v>-25299406</v>
      </c>
      <c r="I21" s="121">
        <f>+Actuals!F331</f>
        <v>-58250230</v>
      </c>
      <c r="J21" s="120">
        <f>+Actuals!G331</f>
        <v>12764333</v>
      </c>
      <c r="K21" s="121">
        <f>+Actuals!H331</f>
        <v>30576317</v>
      </c>
      <c r="L21" s="120">
        <f>+Actuals!I331</f>
        <v>0</v>
      </c>
      <c r="M21" s="121">
        <f>+Actuals!J331</f>
        <v>0</v>
      </c>
      <c r="N21" s="120">
        <f>+Actuals!K331</f>
        <v>0</v>
      </c>
      <c r="O21" s="121">
        <f>+Actuals!L331</f>
        <v>0</v>
      </c>
      <c r="P21" s="120">
        <f>+Actuals!M331</f>
        <v>0</v>
      </c>
      <c r="Q21" s="121">
        <f>+Actuals!N331</f>
        <v>0</v>
      </c>
      <c r="R21" s="120">
        <f>+Actuals!O331</f>
        <v>0</v>
      </c>
      <c r="S21" s="121">
        <f>+Actuals!P331</f>
        <v>0</v>
      </c>
      <c r="T21" s="120">
        <f>+Actuals!Q331</f>
        <v>-12764333</v>
      </c>
      <c r="U21" s="121">
        <f>+Actuals!R331</f>
        <v>-30576317</v>
      </c>
      <c r="V21" s="120">
        <f>+Actuals!S331</f>
        <v>0</v>
      </c>
      <c r="W21" s="121">
        <f>+Actuals!T331</f>
        <v>0</v>
      </c>
      <c r="X21" s="120">
        <f>+Actuals!U331</f>
        <v>0</v>
      </c>
      <c r="Y21" s="121">
        <f>+Actuals!V331</f>
        <v>0</v>
      </c>
      <c r="Z21" s="120">
        <f>+Actuals!W331</f>
        <v>0</v>
      </c>
      <c r="AA21" s="121">
        <f>+Actuals!X331</f>
        <v>0</v>
      </c>
      <c r="AB21" s="120">
        <f>+Actuals!Y331</f>
        <v>0</v>
      </c>
      <c r="AC21" s="121">
        <f>+Actuals!Z331</f>
        <v>0</v>
      </c>
      <c r="AD21" s="120">
        <f>+Actuals!AA331</f>
        <v>0</v>
      </c>
      <c r="AE21" s="121">
        <f>+Actuals!AB331</f>
        <v>0</v>
      </c>
      <c r="AF21" s="120">
        <f>+Actuals!AC331</f>
        <v>0</v>
      </c>
      <c r="AG21" s="121">
        <f>+Actuals!AD331</f>
        <v>0</v>
      </c>
      <c r="AH21" s="120">
        <f>+Actuals!AE331</f>
        <v>0</v>
      </c>
      <c r="AI21" s="121">
        <f>+Actuals!AF331</f>
        <v>0</v>
      </c>
      <c r="AJ21" s="120">
        <f>+Actuals!AG331</f>
        <v>0</v>
      </c>
      <c r="AK21" s="121">
        <f>+Actuals!AH331</f>
        <v>0</v>
      </c>
      <c r="AL21" s="120">
        <f>+Actuals!AI331</f>
        <v>0</v>
      </c>
      <c r="AM21" s="121">
        <f>+Actuals!AJ331</f>
        <v>0</v>
      </c>
      <c r="AN21" s="120">
        <f>+Actuals!AK331</f>
        <v>0</v>
      </c>
      <c r="AO21" s="121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'TIE-OUT'!H22+RECLASS!H22</f>
        <v>0</v>
      </c>
      <c r="G22" s="38">
        <f>'TIE-OUT'!I22+RECLASS!AC22</f>
        <v>0</v>
      </c>
      <c r="H22" s="120">
        <f>+Actuals!E332</f>
        <v>0</v>
      </c>
      <c r="I22" s="121">
        <f>+Actuals!F332</f>
        <v>0</v>
      </c>
      <c r="J22" s="120">
        <f>+Actuals!G332</f>
        <v>0</v>
      </c>
      <c r="K22" s="121">
        <f>+Actuals!H332</f>
        <v>0</v>
      </c>
      <c r="L22" s="120">
        <f>+Actuals!I332</f>
        <v>0</v>
      </c>
      <c r="M22" s="121">
        <f>+Actuals!J332</f>
        <v>0</v>
      </c>
      <c r="N22" s="120">
        <f>+Actuals!K332</f>
        <v>0</v>
      </c>
      <c r="O22" s="121">
        <f>+Actuals!L332</f>
        <v>0</v>
      </c>
      <c r="P22" s="120">
        <f>+Actuals!M332</f>
        <v>0</v>
      </c>
      <c r="Q22" s="121">
        <f>+Actuals!N332</f>
        <v>0</v>
      </c>
      <c r="R22" s="120">
        <f>+Actuals!O332</f>
        <v>0</v>
      </c>
      <c r="S22" s="121">
        <f>+Actuals!P332</f>
        <v>0</v>
      </c>
      <c r="T22" s="120">
        <f>+Actuals!Q332</f>
        <v>0</v>
      </c>
      <c r="U22" s="121">
        <f>+Actuals!R332</f>
        <v>0</v>
      </c>
      <c r="V22" s="120">
        <f>+Actuals!S332</f>
        <v>0</v>
      </c>
      <c r="W22" s="121">
        <f>+Actuals!T332</f>
        <v>0</v>
      </c>
      <c r="X22" s="120">
        <f>+Actuals!U332</f>
        <v>0</v>
      </c>
      <c r="Y22" s="121">
        <f>+Actuals!V332</f>
        <v>0</v>
      </c>
      <c r="Z22" s="120">
        <f>+Actuals!W332</f>
        <v>0</v>
      </c>
      <c r="AA22" s="121">
        <f>+Actuals!X332</f>
        <v>0</v>
      </c>
      <c r="AB22" s="120">
        <f>+Actuals!Y332</f>
        <v>0</v>
      </c>
      <c r="AC22" s="121">
        <f>+Actuals!Z332</f>
        <v>0</v>
      </c>
      <c r="AD22" s="120">
        <f>+Actuals!AA332</f>
        <v>0</v>
      </c>
      <c r="AE22" s="121">
        <f>+Actuals!AB332</f>
        <v>0</v>
      </c>
      <c r="AF22" s="120">
        <f>+Actuals!AC332</f>
        <v>0</v>
      </c>
      <c r="AG22" s="121">
        <f>+Actuals!AD332</f>
        <v>0</v>
      </c>
      <c r="AH22" s="120">
        <f>+Actuals!AE332</f>
        <v>0</v>
      </c>
      <c r="AI22" s="121">
        <f>+Actuals!AF332</f>
        <v>0</v>
      </c>
      <c r="AJ22" s="120">
        <f>+Actuals!AG332</f>
        <v>0</v>
      </c>
      <c r="AK22" s="121">
        <f>+Actuals!AH332</f>
        <v>0</v>
      </c>
      <c r="AL22" s="120">
        <f>+Actuals!AI332</f>
        <v>0</v>
      </c>
      <c r="AM22" s="121">
        <f>+Actuals!AJ332</f>
        <v>0</v>
      </c>
      <c r="AN22" s="120">
        <f>+Actuals!AK332</f>
        <v>0</v>
      </c>
      <c r="AO22" s="121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224609</v>
      </c>
      <c r="E23" s="38">
        <f t="shared" si="4"/>
        <v>491219.88</v>
      </c>
      <c r="F23" s="81">
        <f>'TIE-OUT'!H23+RECLASS!H23</f>
        <v>0</v>
      </c>
      <c r="G23" s="38">
        <f>'TIE-OUT'!I23+RECLASS!AC23</f>
        <v>0</v>
      </c>
      <c r="H23" s="120">
        <f>+Actuals!E333</f>
        <v>0</v>
      </c>
      <c r="I23" s="121">
        <f>+Actuals!F333</f>
        <v>0</v>
      </c>
      <c r="J23" s="120">
        <f>+Actuals!G333</f>
        <v>0</v>
      </c>
      <c r="K23" s="121">
        <f>+Actuals!H333</f>
        <v>0</v>
      </c>
      <c r="L23" s="120">
        <f>+Actuals!I333</f>
        <v>0</v>
      </c>
      <c r="M23" s="121">
        <f>+Actuals!J333</f>
        <v>0</v>
      </c>
      <c r="N23" s="120">
        <f>+Actuals!K333</f>
        <v>224609</v>
      </c>
      <c r="O23" s="121">
        <f>+Actuals!L333</f>
        <v>491219.88</v>
      </c>
      <c r="P23" s="120">
        <f>+Actuals!M333</f>
        <v>0</v>
      </c>
      <c r="Q23" s="121">
        <f>+Actuals!N333</f>
        <v>0</v>
      </c>
      <c r="R23" s="120">
        <f>+Actuals!O333</f>
        <v>0</v>
      </c>
      <c r="S23" s="121">
        <f>+Actuals!P333</f>
        <v>0</v>
      </c>
      <c r="T23" s="120">
        <f>+Actuals!Q333</f>
        <v>0</v>
      </c>
      <c r="U23" s="121">
        <f>+Actuals!R333</f>
        <v>0</v>
      </c>
      <c r="V23" s="120">
        <f>+Actuals!S333</f>
        <v>0</v>
      </c>
      <c r="W23" s="121">
        <f>+Actuals!T333</f>
        <v>0</v>
      </c>
      <c r="X23" s="120">
        <f>+Actuals!U333</f>
        <v>0</v>
      </c>
      <c r="Y23" s="121">
        <f>+Actuals!V333</f>
        <v>0</v>
      </c>
      <c r="Z23" s="120">
        <f>+Actuals!W333</f>
        <v>0</v>
      </c>
      <c r="AA23" s="121">
        <f>+Actuals!X333</f>
        <v>0</v>
      </c>
      <c r="AB23" s="120">
        <f>+Actuals!Y333</f>
        <v>0</v>
      </c>
      <c r="AC23" s="121">
        <f>+Actuals!Z333</f>
        <v>0</v>
      </c>
      <c r="AD23" s="120">
        <f>+Actuals!AA333</f>
        <v>0</v>
      </c>
      <c r="AE23" s="121">
        <f>+Actuals!AB333</f>
        <v>0</v>
      </c>
      <c r="AF23" s="120">
        <f>+Actuals!AC333</f>
        <v>0</v>
      </c>
      <c r="AG23" s="121">
        <f>+Actuals!AD333</f>
        <v>0</v>
      </c>
      <c r="AH23" s="120">
        <f>+Actuals!AE333</f>
        <v>0</v>
      </c>
      <c r="AI23" s="121">
        <f>+Actuals!AF333</f>
        <v>0</v>
      </c>
      <c r="AJ23" s="120">
        <f>+Actuals!AG333</f>
        <v>0</v>
      </c>
      <c r="AK23" s="121">
        <f>+Actuals!AH333</f>
        <v>0</v>
      </c>
      <c r="AL23" s="120">
        <f>+Actuals!AI333</f>
        <v>0</v>
      </c>
      <c r="AM23" s="121">
        <f>+Actuals!AJ333</f>
        <v>0</v>
      </c>
      <c r="AN23" s="120">
        <f>+Actuals!AK333</f>
        <v>0</v>
      </c>
      <c r="AO23" s="121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-36381373</v>
      </c>
      <c r="E24" s="39">
        <f t="shared" si="5"/>
        <v>-82304493.939999998</v>
      </c>
      <c r="F24" s="61">
        <f t="shared" si="5"/>
        <v>0</v>
      </c>
      <c r="G24" s="39">
        <f t="shared" si="5"/>
        <v>154946</v>
      </c>
      <c r="H24" s="61">
        <f t="shared" si="5"/>
        <v>-36390391</v>
      </c>
      <c r="I24" s="39">
        <f t="shared" si="5"/>
        <v>-82430470.180000007</v>
      </c>
      <c r="J24" s="61">
        <f t="shared" ref="J24:AO24" si="6">SUM(J19:J23)</f>
        <v>12554409</v>
      </c>
      <c r="K24" s="39">
        <f t="shared" si="6"/>
        <v>30048219.600000001</v>
      </c>
      <c r="L24" s="61">
        <f t="shared" si="6"/>
        <v>0</v>
      </c>
      <c r="M24" s="39">
        <f t="shared" si="6"/>
        <v>7907.98</v>
      </c>
      <c r="N24" s="61">
        <f t="shared" ref="N24:S24" si="7">SUM(N19:N23)</f>
        <v>218942</v>
      </c>
      <c r="O24" s="39">
        <f t="shared" si="7"/>
        <v>491219.66000000003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6"/>
        <v>-12764333</v>
      </c>
      <c r="U24" s="39">
        <f t="shared" si="6"/>
        <v>-30576317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38">
        <f>'TIE-OUT'!I27+RECLASS!AC27</f>
        <v>0</v>
      </c>
      <c r="H27" s="120">
        <f>+Actuals!E334</f>
        <v>0</v>
      </c>
      <c r="I27" s="121">
        <f>+Actuals!F334</f>
        <v>0</v>
      </c>
      <c r="J27" s="120">
        <f>+Actuals!G334</f>
        <v>0</v>
      </c>
      <c r="K27" s="121">
        <f>+Actuals!H334</f>
        <v>0</v>
      </c>
      <c r="L27" s="120">
        <f>+Actuals!I334</f>
        <v>0</v>
      </c>
      <c r="M27" s="121">
        <f>+Actuals!J334</f>
        <v>0</v>
      </c>
      <c r="N27" s="120">
        <f>+Actuals!K334</f>
        <v>0</v>
      </c>
      <c r="O27" s="121">
        <f>+Actuals!L334</f>
        <v>0</v>
      </c>
      <c r="P27" s="120">
        <f>+Actuals!M334</f>
        <v>0</v>
      </c>
      <c r="Q27" s="121">
        <f>+Actuals!N334</f>
        <v>0</v>
      </c>
      <c r="R27" s="120">
        <f>+Actuals!O334</f>
        <v>0</v>
      </c>
      <c r="S27" s="121">
        <f>+Actuals!P334</f>
        <v>0</v>
      </c>
      <c r="T27" s="120">
        <f>+Actuals!Q334</f>
        <v>0</v>
      </c>
      <c r="U27" s="121">
        <f>+Actuals!R334</f>
        <v>0</v>
      </c>
      <c r="V27" s="120">
        <f>+Actuals!S334</f>
        <v>0</v>
      </c>
      <c r="W27" s="121">
        <f>+Actuals!T334</f>
        <v>0</v>
      </c>
      <c r="X27" s="120">
        <f>+Actuals!U334</f>
        <v>0</v>
      </c>
      <c r="Y27" s="121">
        <f>+Actuals!V334</f>
        <v>0</v>
      </c>
      <c r="Z27" s="120">
        <f>+Actuals!W334</f>
        <v>0</v>
      </c>
      <c r="AA27" s="121">
        <f>+Actuals!X334</f>
        <v>0</v>
      </c>
      <c r="AB27" s="120">
        <f>+Actuals!Y334</f>
        <v>0</v>
      </c>
      <c r="AC27" s="121">
        <f>+Actuals!Z334</f>
        <v>0</v>
      </c>
      <c r="AD27" s="120">
        <f>+Actuals!AA334</f>
        <v>0</v>
      </c>
      <c r="AE27" s="121">
        <f>+Actuals!AB334</f>
        <v>0</v>
      </c>
      <c r="AF27" s="120">
        <f>+Actuals!AC334</f>
        <v>0</v>
      </c>
      <c r="AG27" s="121">
        <f>+Actuals!AD334</f>
        <v>0</v>
      </c>
      <c r="AH27" s="120">
        <f>+Actuals!AE334</f>
        <v>0</v>
      </c>
      <c r="AI27" s="121">
        <f>+Actuals!AF334</f>
        <v>0</v>
      </c>
      <c r="AJ27" s="120">
        <f>+Actuals!AG334</f>
        <v>0</v>
      </c>
      <c r="AK27" s="121">
        <f>+Actuals!AH334</f>
        <v>0</v>
      </c>
      <c r="AL27" s="120">
        <f>+Actuals!AI334</f>
        <v>0</v>
      </c>
      <c r="AM27" s="121">
        <f>+Actuals!AJ334</f>
        <v>0</v>
      </c>
      <c r="AN27" s="120">
        <f>+Actuals!AK334</f>
        <v>0</v>
      </c>
      <c r="AO27" s="121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38">
        <f>'TIE-OUT'!I28+RECLASS!AC28</f>
        <v>0</v>
      </c>
      <c r="H28" s="120">
        <f>+Actuals!E335</f>
        <v>0</v>
      </c>
      <c r="I28" s="121">
        <f>+Actuals!F335</f>
        <v>0</v>
      </c>
      <c r="J28" s="120">
        <f>+Actuals!G335</f>
        <v>0</v>
      </c>
      <c r="K28" s="121">
        <f>+Actuals!H335</f>
        <v>0</v>
      </c>
      <c r="L28" s="120">
        <f>+Actuals!I335</f>
        <v>0</v>
      </c>
      <c r="M28" s="121">
        <f>+Actuals!J335</f>
        <v>0</v>
      </c>
      <c r="N28" s="120">
        <f>+Actuals!K335</f>
        <v>0</v>
      </c>
      <c r="O28" s="121">
        <f>+Actuals!L335</f>
        <v>0</v>
      </c>
      <c r="P28" s="120">
        <f>+Actuals!M335</f>
        <v>0</v>
      </c>
      <c r="Q28" s="121">
        <f>+Actuals!N335</f>
        <v>0</v>
      </c>
      <c r="R28" s="120">
        <f>+Actuals!O335</f>
        <v>0</v>
      </c>
      <c r="S28" s="121">
        <f>+Actuals!P335</f>
        <v>0</v>
      </c>
      <c r="T28" s="120">
        <f>+Actuals!Q335</f>
        <v>0</v>
      </c>
      <c r="U28" s="121">
        <f>+Actuals!R335</f>
        <v>0</v>
      </c>
      <c r="V28" s="120">
        <f>+Actuals!S335</f>
        <v>0</v>
      </c>
      <c r="W28" s="121">
        <f>+Actuals!T335</f>
        <v>0</v>
      </c>
      <c r="X28" s="120">
        <f>+Actuals!U335</f>
        <v>0</v>
      </c>
      <c r="Y28" s="121">
        <f>+Actuals!V335</f>
        <v>0</v>
      </c>
      <c r="Z28" s="120">
        <f>+Actuals!W335</f>
        <v>0</v>
      </c>
      <c r="AA28" s="121">
        <f>+Actuals!X335</f>
        <v>0</v>
      </c>
      <c r="AB28" s="120">
        <f>+Actuals!Y335</f>
        <v>0</v>
      </c>
      <c r="AC28" s="121">
        <f>+Actuals!Z335</f>
        <v>0</v>
      </c>
      <c r="AD28" s="120">
        <f>+Actuals!AA335</f>
        <v>0</v>
      </c>
      <c r="AE28" s="121">
        <f>+Actuals!AB335</f>
        <v>0</v>
      </c>
      <c r="AF28" s="120">
        <f>+Actuals!AC335</f>
        <v>0</v>
      </c>
      <c r="AG28" s="121">
        <f>+Actuals!AD335</f>
        <v>0</v>
      </c>
      <c r="AH28" s="120">
        <f>+Actuals!AE335</f>
        <v>0</v>
      </c>
      <c r="AI28" s="121">
        <f>+Actuals!AF335</f>
        <v>0</v>
      </c>
      <c r="AJ28" s="120">
        <f>+Actuals!AG335</f>
        <v>0</v>
      </c>
      <c r="AK28" s="121">
        <f>+Actuals!AH335</f>
        <v>0</v>
      </c>
      <c r="AL28" s="120">
        <f>+Actuals!AI335</f>
        <v>0</v>
      </c>
      <c r="AM28" s="121">
        <f>+Actuals!AJ335</f>
        <v>0</v>
      </c>
      <c r="AN28" s="120">
        <f>+Actuals!AK335</f>
        <v>0</v>
      </c>
      <c r="AO28" s="121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ref="J29:AO29" si="9">SUM(J27:J28)</f>
        <v>0</v>
      </c>
      <c r="K29" s="39">
        <f t="shared" si="9"/>
        <v>0</v>
      </c>
      <c r="L29" s="61">
        <f t="shared" si="9"/>
        <v>0</v>
      </c>
      <c r="M29" s="39">
        <f t="shared" si="9"/>
        <v>0</v>
      </c>
      <c r="N29" s="61">
        <f t="shared" ref="N29:S29" si="10">SUM(N27:N28)</f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0</v>
      </c>
      <c r="E32" s="38">
        <f t="shared" si="11"/>
        <v>0</v>
      </c>
      <c r="F32" s="64">
        <f>'TIE-OUT'!H32+RECLASS!H32</f>
        <v>0</v>
      </c>
      <c r="G32" s="38">
        <f>'TIE-OUT'!I32+RECLASS!AC32</f>
        <v>0</v>
      </c>
      <c r="H32" s="120">
        <f>+Actuals!E336</f>
        <v>0</v>
      </c>
      <c r="I32" s="121">
        <f>+Actuals!F336</f>
        <v>0</v>
      </c>
      <c r="J32" s="120">
        <f>+Actuals!G336</f>
        <v>0</v>
      </c>
      <c r="K32" s="121">
        <f>+Actuals!H336</f>
        <v>0</v>
      </c>
      <c r="L32" s="120">
        <f>+Actuals!I336</f>
        <v>0</v>
      </c>
      <c r="M32" s="121">
        <f>+Actuals!J336</f>
        <v>0</v>
      </c>
      <c r="N32" s="120">
        <f>+Actuals!K336</f>
        <v>0</v>
      </c>
      <c r="O32" s="121">
        <f>+Actuals!L336</f>
        <v>0</v>
      </c>
      <c r="P32" s="120">
        <f>+Actuals!M336</f>
        <v>0</v>
      </c>
      <c r="Q32" s="121">
        <f>+Actuals!N336</f>
        <v>0</v>
      </c>
      <c r="R32" s="120">
        <f>+Actuals!O336</f>
        <v>0</v>
      </c>
      <c r="S32" s="121">
        <f>+Actuals!P336</f>
        <v>0</v>
      </c>
      <c r="T32" s="120">
        <f>+Actuals!Q336</f>
        <v>0</v>
      </c>
      <c r="U32" s="121">
        <f>+Actuals!R336</f>
        <v>0</v>
      </c>
      <c r="V32" s="120">
        <f>+Actuals!S336</f>
        <v>0</v>
      </c>
      <c r="W32" s="121">
        <f>+Actuals!T336</f>
        <v>0</v>
      </c>
      <c r="X32" s="120">
        <f>+Actuals!U336</f>
        <v>0</v>
      </c>
      <c r="Y32" s="121">
        <f>+Actuals!V336</f>
        <v>0</v>
      </c>
      <c r="Z32" s="120">
        <f>+Actuals!W336</f>
        <v>0</v>
      </c>
      <c r="AA32" s="121">
        <f>+Actuals!X336</f>
        <v>0</v>
      </c>
      <c r="AB32" s="120">
        <f>+Actuals!Y336</f>
        <v>0</v>
      </c>
      <c r="AC32" s="121">
        <f>+Actuals!Z336</f>
        <v>0</v>
      </c>
      <c r="AD32" s="120">
        <f>+Actuals!AA336</f>
        <v>0</v>
      </c>
      <c r="AE32" s="121">
        <f>+Actuals!AB336</f>
        <v>0</v>
      </c>
      <c r="AF32" s="120">
        <f>+Actuals!AC336</f>
        <v>0</v>
      </c>
      <c r="AG32" s="121">
        <f>+Actuals!AD336</f>
        <v>0</v>
      </c>
      <c r="AH32" s="120">
        <f>+Actuals!AE336</f>
        <v>0</v>
      </c>
      <c r="AI32" s="121">
        <f>+Actuals!AF336</f>
        <v>0</v>
      </c>
      <c r="AJ32" s="120">
        <f>+Actuals!AG336</f>
        <v>0</v>
      </c>
      <c r="AK32" s="121">
        <f>+Actuals!AH336</f>
        <v>0</v>
      </c>
      <c r="AL32" s="120">
        <f>+Actuals!AI336</f>
        <v>0</v>
      </c>
      <c r="AM32" s="121">
        <f>+Actuals!AJ336</f>
        <v>0</v>
      </c>
      <c r="AN32" s="120">
        <f>+Actuals!AK336</f>
        <v>0</v>
      </c>
      <c r="AO32" s="121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60">
        <f>'TIE-OUT'!H33+RECLASS!H33</f>
        <v>0</v>
      </c>
      <c r="G33" s="38">
        <f>'TIE-OUT'!I33+RECLASS!AC33</f>
        <v>0</v>
      </c>
      <c r="H33" s="120">
        <f>+Actuals!E337</f>
        <v>0</v>
      </c>
      <c r="I33" s="121">
        <f>+Actuals!F337</f>
        <v>0</v>
      </c>
      <c r="J33" s="120">
        <f>+Actuals!G337</f>
        <v>0</v>
      </c>
      <c r="K33" s="121">
        <f>+Actuals!H337</f>
        <v>0</v>
      </c>
      <c r="L33" s="120">
        <f>+Actuals!I337</f>
        <v>0</v>
      </c>
      <c r="M33" s="121">
        <f>+Actuals!J337</f>
        <v>0</v>
      </c>
      <c r="N33" s="120">
        <f>+Actuals!K337</f>
        <v>0</v>
      </c>
      <c r="O33" s="121">
        <f>+Actuals!L337</f>
        <v>0</v>
      </c>
      <c r="P33" s="120">
        <f>+Actuals!M337</f>
        <v>0</v>
      </c>
      <c r="Q33" s="121">
        <f>+Actuals!N337</f>
        <v>0</v>
      </c>
      <c r="R33" s="120">
        <f>+Actuals!O337</f>
        <v>0</v>
      </c>
      <c r="S33" s="121">
        <f>+Actuals!P337</f>
        <v>0</v>
      </c>
      <c r="T33" s="120">
        <f>+Actuals!Q337</f>
        <v>0</v>
      </c>
      <c r="U33" s="121">
        <f>+Actuals!R337</f>
        <v>0</v>
      </c>
      <c r="V33" s="120">
        <f>+Actuals!S337</f>
        <v>0</v>
      </c>
      <c r="W33" s="121">
        <f>+Actuals!T337</f>
        <v>0</v>
      </c>
      <c r="X33" s="120">
        <f>+Actuals!U337</f>
        <v>0</v>
      </c>
      <c r="Y33" s="121">
        <f>+Actuals!V337</f>
        <v>0</v>
      </c>
      <c r="Z33" s="120">
        <f>+Actuals!W337</f>
        <v>0</v>
      </c>
      <c r="AA33" s="121">
        <f>+Actuals!X337</f>
        <v>0</v>
      </c>
      <c r="AB33" s="120">
        <f>+Actuals!Y337</f>
        <v>0</v>
      </c>
      <c r="AC33" s="121">
        <f>+Actuals!Z337</f>
        <v>0</v>
      </c>
      <c r="AD33" s="120">
        <f>+Actuals!AA337</f>
        <v>0</v>
      </c>
      <c r="AE33" s="121">
        <f>+Actuals!AB337</f>
        <v>0</v>
      </c>
      <c r="AF33" s="120">
        <f>+Actuals!AC337</f>
        <v>0</v>
      </c>
      <c r="AG33" s="121">
        <f>+Actuals!AD337</f>
        <v>0</v>
      </c>
      <c r="AH33" s="120">
        <f>+Actuals!AE337</f>
        <v>0</v>
      </c>
      <c r="AI33" s="121">
        <f>+Actuals!AF337</f>
        <v>0</v>
      </c>
      <c r="AJ33" s="120">
        <f>+Actuals!AG337</f>
        <v>0</v>
      </c>
      <c r="AK33" s="121">
        <f>+Actuals!AH337</f>
        <v>0</v>
      </c>
      <c r="AL33" s="120">
        <f>+Actuals!AI337</f>
        <v>0</v>
      </c>
      <c r="AM33" s="121">
        <f>+Actuals!AJ337</f>
        <v>0</v>
      </c>
      <c r="AN33" s="120">
        <f>+Actuals!AK337</f>
        <v>0</v>
      </c>
      <c r="AO33" s="121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60">
        <f>'TIE-OUT'!H34+RECLASS!H34</f>
        <v>0</v>
      </c>
      <c r="G34" s="38">
        <f>'TIE-OUT'!I34+RECLASS!AC34</f>
        <v>0</v>
      </c>
      <c r="H34" s="120">
        <f>+Actuals!E338</f>
        <v>0</v>
      </c>
      <c r="I34" s="121">
        <f>+Actuals!F338</f>
        <v>0</v>
      </c>
      <c r="J34" s="120">
        <f>+Actuals!G338</f>
        <v>0</v>
      </c>
      <c r="K34" s="121">
        <f>+Actuals!H338</f>
        <v>0</v>
      </c>
      <c r="L34" s="120">
        <f>+Actuals!I338</f>
        <v>0</v>
      </c>
      <c r="M34" s="121">
        <f>+Actuals!J338</f>
        <v>0</v>
      </c>
      <c r="N34" s="120">
        <f>+Actuals!K338</f>
        <v>0</v>
      </c>
      <c r="O34" s="121">
        <f>+Actuals!L338</f>
        <v>0</v>
      </c>
      <c r="P34" s="120">
        <f>+Actuals!M338</f>
        <v>0</v>
      </c>
      <c r="Q34" s="121">
        <f>+Actuals!N338</f>
        <v>0</v>
      </c>
      <c r="R34" s="120">
        <f>+Actuals!O338</f>
        <v>0</v>
      </c>
      <c r="S34" s="121">
        <f>+Actuals!P338</f>
        <v>0</v>
      </c>
      <c r="T34" s="120">
        <f>+Actuals!Q338</f>
        <v>0</v>
      </c>
      <c r="U34" s="121">
        <f>+Actuals!R338</f>
        <v>0</v>
      </c>
      <c r="V34" s="120">
        <f>+Actuals!S338</f>
        <v>0</v>
      </c>
      <c r="W34" s="121">
        <f>+Actuals!T338</f>
        <v>0</v>
      </c>
      <c r="X34" s="120">
        <f>+Actuals!U338</f>
        <v>0</v>
      </c>
      <c r="Y34" s="121">
        <f>+Actuals!V338</f>
        <v>0</v>
      </c>
      <c r="Z34" s="120">
        <f>+Actuals!W338</f>
        <v>0</v>
      </c>
      <c r="AA34" s="121">
        <f>+Actuals!X338</f>
        <v>0</v>
      </c>
      <c r="AB34" s="120">
        <f>+Actuals!Y338</f>
        <v>0</v>
      </c>
      <c r="AC34" s="121">
        <f>+Actuals!Z338</f>
        <v>0</v>
      </c>
      <c r="AD34" s="120">
        <f>+Actuals!AA338</f>
        <v>0</v>
      </c>
      <c r="AE34" s="121">
        <f>+Actuals!AB338</f>
        <v>0</v>
      </c>
      <c r="AF34" s="120">
        <f>+Actuals!AC338</f>
        <v>0</v>
      </c>
      <c r="AG34" s="121">
        <f>+Actuals!AD338</f>
        <v>0</v>
      </c>
      <c r="AH34" s="120">
        <f>+Actuals!AE338</f>
        <v>0</v>
      </c>
      <c r="AI34" s="121">
        <f>+Actuals!AF338</f>
        <v>0</v>
      </c>
      <c r="AJ34" s="120">
        <f>+Actuals!AG338</f>
        <v>0</v>
      </c>
      <c r="AK34" s="121">
        <f>+Actuals!AH338</f>
        <v>0</v>
      </c>
      <c r="AL34" s="120">
        <f>+Actuals!AI338</f>
        <v>0</v>
      </c>
      <c r="AM34" s="121">
        <f>+Actuals!AJ338</f>
        <v>0</v>
      </c>
      <c r="AN34" s="120">
        <f>+Actuals!AK338</f>
        <v>0</v>
      </c>
      <c r="AO34" s="121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81">
        <f>'TIE-OUT'!H35+RECLASS!H35</f>
        <v>0</v>
      </c>
      <c r="G35" s="38">
        <f>'TIE-OUT'!I35+RECLASS!AC35</f>
        <v>0</v>
      </c>
      <c r="H35" s="120">
        <f>+Actuals!E339</f>
        <v>0</v>
      </c>
      <c r="I35" s="121">
        <f>+Actuals!F339</f>
        <v>0</v>
      </c>
      <c r="J35" s="120">
        <f>+Actuals!G339</f>
        <v>0</v>
      </c>
      <c r="K35" s="121">
        <f>+Actuals!H339</f>
        <v>0</v>
      </c>
      <c r="L35" s="120">
        <f>+Actuals!I339</f>
        <v>0</v>
      </c>
      <c r="M35" s="121">
        <f>+Actuals!J339</f>
        <v>0</v>
      </c>
      <c r="N35" s="120">
        <f>+Actuals!K339</f>
        <v>0</v>
      </c>
      <c r="O35" s="121">
        <f>+Actuals!L339</f>
        <v>0</v>
      </c>
      <c r="P35" s="120">
        <f>+Actuals!M339</f>
        <v>0</v>
      </c>
      <c r="Q35" s="121">
        <f>+Actuals!N339</f>
        <v>0</v>
      </c>
      <c r="R35" s="120">
        <f>+Actuals!O339</f>
        <v>0</v>
      </c>
      <c r="S35" s="121">
        <f>+Actuals!P339</f>
        <v>0</v>
      </c>
      <c r="T35" s="120">
        <f>+Actuals!Q339</f>
        <v>0</v>
      </c>
      <c r="U35" s="121">
        <f>+Actuals!R339</f>
        <v>0</v>
      </c>
      <c r="V35" s="120">
        <f>+Actuals!S339</f>
        <v>0</v>
      </c>
      <c r="W35" s="121">
        <f>+Actuals!T339</f>
        <v>0</v>
      </c>
      <c r="X35" s="120">
        <f>+Actuals!U339</f>
        <v>0</v>
      </c>
      <c r="Y35" s="121">
        <f>+Actuals!V339</f>
        <v>0</v>
      </c>
      <c r="Z35" s="120">
        <f>+Actuals!W339</f>
        <v>0</v>
      </c>
      <c r="AA35" s="121">
        <f>+Actuals!X339</f>
        <v>0</v>
      </c>
      <c r="AB35" s="120">
        <f>+Actuals!Y339</f>
        <v>0</v>
      </c>
      <c r="AC35" s="121">
        <f>+Actuals!Z339</f>
        <v>0</v>
      </c>
      <c r="AD35" s="120">
        <f>+Actuals!AA339</f>
        <v>0</v>
      </c>
      <c r="AE35" s="121">
        <f>+Actuals!AB339</f>
        <v>0</v>
      </c>
      <c r="AF35" s="120">
        <f>+Actuals!AC339</f>
        <v>0</v>
      </c>
      <c r="AG35" s="121">
        <f>+Actuals!AD339</f>
        <v>0</v>
      </c>
      <c r="AH35" s="120">
        <f>+Actuals!AE339</f>
        <v>0</v>
      </c>
      <c r="AI35" s="121">
        <f>+Actuals!AF339</f>
        <v>0</v>
      </c>
      <c r="AJ35" s="120">
        <f>+Actuals!AG339</f>
        <v>0</v>
      </c>
      <c r="AK35" s="121">
        <f>+Actuals!AH339</f>
        <v>0</v>
      </c>
      <c r="AL35" s="120">
        <f>+Actuals!AI339</f>
        <v>0</v>
      </c>
      <c r="AM35" s="121">
        <f>+Actuals!AJ339</f>
        <v>0</v>
      </c>
      <c r="AN35" s="120">
        <f>+Actuals!AK339</f>
        <v>0</v>
      </c>
      <c r="AO35" s="121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12">SUM(D32:D35)</f>
        <v>0</v>
      </c>
      <c r="E36" s="39">
        <f t="shared" si="12"/>
        <v>0</v>
      </c>
      <c r="F36" s="61">
        <f t="shared" si="12"/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ref="J36:AO36" si="13">SUM(J32:J35)</f>
        <v>0</v>
      </c>
      <c r="K36" s="39">
        <f t="shared" si="13"/>
        <v>0</v>
      </c>
      <c r="L36" s="61">
        <f t="shared" si="13"/>
        <v>0</v>
      </c>
      <c r="M36" s="39">
        <f t="shared" si="13"/>
        <v>0</v>
      </c>
      <c r="N36" s="61">
        <f t="shared" ref="N36:S36" si="14">SUM(N32:N35)</f>
        <v>0</v>
      </c>
      <c r="O36" s="39">
        <f t="shared" si="14"/>
        <v>0</v>
      </c>
      <c r="P36" s="61">
        <f t="shared" si="14"/>
        <v>0</v>
      </c>
      <c r="Q36" s="39">
        <f t="shared" si="14"/>
        <v>0</v>
      </c>
      <c r="R36" s="61">
        <f t="shared" si="14"/>
        <v>0</v>
      </c>
      <c r="S36" s="39">
        <f t="shared" si="14"/>
        <v>0</v>
      </c>
      <c r="T36" s="61">
        <f t="shared" si="13"/>
        <v>0</v>
      </c>
      <c r="U36" s="39">
        <f t="shared" si="13"/>
        <v>0</v>
      </c>
      <c r="V36" s="61">
        <f t="shared" si="13"/>
        <v>0</v>
      </c>
      <c r="W36" s="39">
        <f t="shared" si="13"/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0</v>
      </c>
      <c r="E39" s="38">
        <f t="shared" si="15"/>
        <v>0</v>
      </c>
      <c r="F39" s="64">
        <f>'TIE-OUT'!H39+RECLASS!H39</f>
        <v>0</v>
      </c>
      <c r="G39" s="38">
        <f>'TIE-OUT'!I39+RECLASS!AC39</f>
        <v>0</v>
      </c>
      <c r="H39" s="120">
        <f>+Actuals!E340</f>
        <v>0</v>
      </c>
      <c r="I39" s="121">
        <f>+Actuals!F340</f>
        <v>0</v>
      </c>
      <c r="J39" s="120">
        <f>+Actuals!G340</f>
        <v>0</v>
      </c>
      <c r="K39" s="121">
        <f>+Actuals!H340</f>
        <v>0</v>
      </c>
      <c r="L39" s="120">
        <f>+Actuals!I340</f>
        <v>0</v>
      </c>
      <c r="M39" s="121">
        <f>+Actuals!J340</f>
        <v>0</v>
      </c>
      <c r="N39" s="120">
        <f>+Actuals!K340</f>
        <v>0</v>
      </c>
      <c r="O39" s="121">
        <f>+Actuals!L340</f>
        <v>0</v>
      </c>
      <c r="P39" s="120">
        <f>+Actuals!M340</f>
        <v>0</v>
      </c>
      <c r="Q39" s="121">
        <f>+Actuals!N340</f>
        <v>0</v>
      </c>
      <c r="R39" s="120">
        <f>+Actuals!O340</f>
        <v>0</v>
      </c>
      <c r="S39" s="121">
        <f>+Actuals!P340</f>
        <v>0</v>
      </c>
      <c r="T39" s="120">
        <f>+Actuals!Q340</f>
        <v>0</v>
      </c>
      <c r="U39" s="121">
        <f>+Actuals!R340</f>
        <v>0</v>
      </c>
      <c r="V39" s="120">
        <f>+Actuals!S340</f>
        <v>0</v>
      </c>
      <c r="W39" s="121">
        <f>+Actuals!T340</f>
        <v>0</v>
      </c>
      <c r="X39" s="120">
        <f>+Actuals!U340</f>
        <v>0</v>
      </c>
      <c r="Y39" s="121">
        <f>+Actuals!V340</f>
        <v>0</v>
      </c>
      <c r="Z39" s="120">
        <f>+Actuals!W340</f>
        <v>0</v>
      </c>
      <c r="AA39" s="121">
        <f>+Actuals!X340</f>
        <v>0</v>
      </c>
      <c r="AB39" s="120">
        <f>+Actuals!Y340</f>
        <v>0</v>
      </c>
      <c r="AC39" s="121">
        <f>+Actuals!Z340</f>
        <v>0</v>
      </c>
      <c r="AD39" s="120">
        <f>+Actuals!AA340</f>
        <v>0</v>
      </c>
      <c r="AE39" s="121">
        <f>+Actuals!AB340</f>
        <v>0</v>
      </c>
      <c r="AF39" s="120">
        <f>+Actuals!AC340</f>
        <v>0</v>
      </c>
      <c r="AG39" s="121">
        <f>+Actuals!AD340</f>
        <v>0</v>
      </c>
      <c r="AH39" s="120">
        <f>+Actuals!AE340</f>
        <v>0</v>
      </c>
      <c r="AI39" s="121">
        <f>+Actuals!AF340</f>
        <v>0</v>
      </c>
      <c r="AJ39" s="120">
        <f>+Actuals!AG340</f>
        <v>0</v>
      </c>
      <c r="AK39" s="121">
        <f>+Actuals!AH340</f>
        <v>0</v>
      </c>
      <c r="AL39" s="120">
        <f>+Actuals!AI340</f>
        <v>0</v>
      </c>
      <c r="AM39" s="121">
        <f>+Actuals!AJ340</f>
        <v>0</v>
      </c>
      <c r="AN39" s="120">
        <f>+Actuals!AK340</f>
        <v>0</v>
      </c>
      <c r="AO39" s="121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5"/>
        <v>0</v>
      </c>
      <c r="E40" s="38">
        <f t="shared" si="15"/>
        <v>0</v>
      </c>
      <c r="F40" s="60">
        <f>'TIE-OUT'!H40+RECLASS!H40</f>
        <v>0</v>
      </c>
      <c r="G40" s="38">
        <f>'TIE-OUT'!I40+RECLASS!AC40</f>
        <v>0</v>
      </c>
      <c r="H40" s="120">
        <f>+Actuals!E341</f>
        <v>0</v>
      </c>
      <c r="I40" s="121">
        <f>+Actuals!F341</f>
        <v>0</v>
      </c>
      <c r="J40" s="120">
        <f>+Actuals!G341</f>
        <v>0</v>
      </c>
      <c r="K40" s="121">
        <f>+Actuals!H341</f>
        <v>0</v>
      </c>
      <c r="L40" s="120">
        <f>+Actuals!I341</f>
        <v>0</v>
      </c>
      <c r="M40" s="121">
        <f>+Actuals!J341</f>
        <v>0</v>
      </c>
      <c r="N40" s="120">
        <f>+Actuals!K341</f>
        <v>0</v>
      </c>
      <c r="O40" s="121">
        <f>+Actuals!L341</f>
        <v>0</v>
      </c>
      <c r="P40" s="120">
        <f>+Actuals!M341</f>
        <v>0</v>
      </c>
      <c r="Q40" s="121">
        <f>+Actuals!N341</f>
        <v>0</v>
      </c>
      <c r="R40" s="120">
        <f>+Actuals!O341</f>
        <v>0</v>
      </c>
      <c r="S40" s="121">
        <f>+Actuals!P341</f>
        <v>0</v>
      </c>
      <c r="T40" s="120">
        <f>+Actuals!Q341</f>
        <v>0</v>
      </c>
      <c r="U40" s="121">
        <f>+Actuals!R341</f>
        <v>0</v>
      </c>
      <c r="V40" s="120">
        <f>+Actuals!S341</f>
        <v>0</v>
      </c>
      <c r="W40" s="121">
        <f>+Actuals!T341</f>
        <v>0</v>
      </c>
      <c r="X40" s="120">
        <f>+Actuals!U341</f>
        <v>0</v>
      </c>
      <c r="Y40" s="121">
        <f>+Actuals!V341</f>
        <v>0</v>
      </c>
      <c r="Z40" s="120">
        <f>+Actuals!W341</f>
        <v>0</v>
      </c>
      <c r="AA40" s="121">
        <f>+Actuals!X341</f>
        <v>0</v>
      </c>
      <c r="AB40" s="120">
        <f>+Actuals!Y341</f>
        <v>0</v>
      </c>
      <c r="AC40" s="121">
        <f>+Actuals!Z341</f>
        <v>0</v>
      </c>
      <c r="AD40" s="120">
        <f>+Actuals!AA341</f>
        <v>0</v>
      </c>
      <c r="AE40" s="121">
        <f>+Actuals!AB341</f>
        <v>0</v>
      </c>
      <c r="AF40" s="120">
        <f>+Actuals!AC341</f>
        <v>0</v>
      </c>
      <c r="AG40" s="121">
        <f>+Actuals!AD341</f>
        <v>0</v>
      </c>
      <c r="AH40" s="120">
        <f>+Actuals!AE341</f>
        <v>0</v>
      </c>
      <c r="AI40" s="121">
        <f>+Actuals!AF341</f>
        <v>0</v>
      </c>
      <c r="AJ40" s="120">
        <f>+Actuals!AG341</f>
        <v>0</v>
      </c>
      <c r="AK40" s="121">
        <f>+Actuals!AH341</f>
        <v>0</v>
      </c>
      <c r="AL40" s="120">
        <f>+Actuals!AI341</f>
        <v>0</v>
      </c>
      <c r="AM40" s="121">
        <f>+Actuals!AJ341</f>
        <v>0</v>
      </c>
      <c r="AN40" s="120">
        <f>+Actuals!AK341</f>
        <v>0</v>
      </c>
      <c r="AO40" s="121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'TIE-OUT'!H41+RECLASS!H41</f>
        <v>0</v>
      </c>
      <c r="G41" s="38">
        <f>'TIE-OUT'!I41+RECLASS!AC41</f>
        <v>0</v>
      </c>
      <c r="H41" s="120">
        <f>+Actuals!E342</f>
        <v>0</v>
      </c>
      <c r="I41" s="121">
        <f>+Actuals!F342</f>
        <v>0</v>
      </c>
      <c r="J41" s="120">
        <f>+Actuals!G342</f>
        <v>0</v>
      </c>
      <c r="K41" s="121">
        <f>+Actuals!H342</f>
        <v>0</v>
      </c>
      <c r="L41" s="120">
        <f>+Actuals!I342</f>
        <v>0</v>
      </c>
      <c r="M41" s="121">
        <f>+Actuals!J342</f>
        <v>0</v>
      </c>
      <c r="N41" s="120">
        <f>+Actuals!K342</f>
        <v>0</v>
      </c>
      <c r="O41" s="121">
        <f>+Actuals!L342</f>
        <v>0</v>
      </c>
      <c r="P41" s="120">
        <f>+Actuals!M342</f>
        <v>0</v>
      </c>
      <c r="Q41" s="121">
        <f>+Actuals!N342</f>
        <v>0</v>
      </c>
      <c r="R41" s="120">
        <f>+Actuals!O342</f>
        <v>0</v>
      </c>
      <c r="S41" s="121">
        <f>+Actuals!P342</f>
        <v>0</v>
      </c>
      <c r="T41" s="120">
        <f>+Actuals!Q342</f>
        <v>0</v>
      </c>
      <c r="U41" s="121">
        <f>+Actuals!R342</f>
        <v>0</v>
      </c>
      <c r="V41" s="120">
        <f>+Actuals!S342</f>
        <v>0</v>
      </c>
      <c r="W41" s="121">
        <f>+Actuals!T342</f>
        <v>0</v>
      </c>
      <c r="X41" s="120">
        <f>+Actuals!U342</f>
        <v>0</v>
      </c>
      <c r="Y41" s="121">
        <f>+Actuals!V342</f>
        <v>0</v>
      </c>
      <c r="Z41" s="120">
        <f>+Actuals!W342</f>
        <v>0</v>
      </c>
      <c r="AA41" s="121">
        <f>+Actuals!X342</f>
        <v>0</v>
      </c>
      <c r="AB41" s="120">
        <f>+Actuals!Y342</f>
        <v>0</v>
      </c>
      <c r="AC41" s="121">
        <f>+Actuals!Z342</f>
        <v>0</v>
      </c>
      <c r="AD41" s="120">
        <f>+Actuals!AA342</f>
        <v>0</v>
      </c>
      <c r="AE41" s="121">
        <f>+Actuals!AB342</f>
        <v>0</v>
      </c>
      <c r="AF41" s="120">
        <f>+Actuals!AC342</f>
        <v>0</v>
      </c>
      <c r="AG41" s="121">
        <f>+Actuals!AD342</f>
        <v>0</v>
      </c>
      <c r="AH41" s="120">
        <f>+Actuals!AE342</f>
        <v>0</v>
      </c>
      <c r="AI41" s="121">
        <f>+Actuals!AF342</f>
        <v>0</v>
      </c>
      <c r="AJ41" s="120">
        <f>+Actuals!AG342</f>
        <v>0</v>
      </c>
      <c r="AK41" s="121">
        <f>+Actuals!AH342</f>
        <v>0</v>
      </c>
      <c r="AL41" s="120">
        <f>+Actuals!AI342</f>
        <v>0</v>
      </c>
      <c r="AM41" s="121">
        <f>+Actuals!AJ342</f>
        <v>0</v>
      </c>
      <c r="AN41" s="120">
        <f>+Actuals!AK342</f>
        <v>0</v>
      </c>
      <c r="AO41" s="121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6">SUM(D40:D41)</f>
        <v>0</v>
      </c>
      <c r="E42" s="39">
        <f t="shared" si="16"/>
        <v>0</v>
      </c>
      <c r="F42" s="61">
        <f t="shared" si="16"/>
        <v>0</v>
      </c>
      <c r="G42" s="38">
        <f>'TIE-OUT'!I42+RECLASS!AC42</f>
        <v>0</v>
      </c>
      <c r="H42" s="61">
        <f t="shared" si="16"/>
        <v>0</v>
      </c>
      <c r="I42" s="39">
        <f t="shared" si="16"/>
        <v>0</v>
      </c>
      <c r="J42" s="61">
        <f t="shared" ref="J42:AO42" si="17">SUM(J40:J41)</f>
        <v>0</v>
      </c>
      <c r="K42" s="39">
        <f t="shared" si="17"/>
        <v>0</v>
      </c>
      <c r="L42" s="61">
        <f t="shared" si="17"/>
        <v>0</v>
      </c>
      <c r="M42" s="39">
        <f t="shared" si="17"/>
        <v>0</v>
      </c>
      <c r="N42" s="61">
        <f t="shared" ref="N42:S42" si="18">SUM(N40:N41)</f>
        <v>0</v>
      </c>
      <c r="O42" s="39">
        <f t="shared" si="18"/>
        <v>0</v>
      </c>
      <c r="P42" s="61">
        <f t="shared" si="18"/>
        <v>0</v>
      </c>
      <c r="Q42" s="39">
        <f t="shared" si="18"/>
        <v>0</v>
      </c>
      <c r="R42" s="61">
        <f t="shared" si="18"/>
        <v>0</v>
      </c>
      <c r="S42" s="39">
        <f t="shared" si="18"/>
        <v>0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ref="J43:AO43" si="20">J42+J39</f>
        <v>0</v>
      </c>
      <c r="K43" s="39">
        <f t="shared" si="20"/>
        <v>0</v>
      </c>
      <c r="L43" s="61">
        <f t="shared" si="20"/>
        <v>0</v>
      </c>
      <c r="M43" s="39">
        <f t="shared" si="20"/>
        <v>0</v>
      </c>
      <c r="N43" s="61">
        <f t="shared" ref="N43:S43" si="21">N42+N39</f>
        <v>0</v>
      </c>
      <c r="O43" s="39">
        <f t="shared" si="21"/>
        <v>0</v>
      </c>
      <c r="P43" s="61">
        <f t="shared" si="21"/>
        <v>0</v>
      </c>
      <c r="Q43" s="39">
        <f t="shared" si="21"/>
        <v>0</v>
      </c>
      <c r="R43" s="61">
        <f t="shared" si="21"/>
        <v>0</v>
      </c>
      <c r="S43" s="39">
        <f t="shared" si="21"/>
        <v>0</v>
      </c>
      <c r="T43" s="61">
        <f t="shared" si="20"/>
        <v>0</v>
      </c>
      <c r="U43" s="39">
        <f t="shared" si="20"/>
        <v>0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38">
        <f>'TIE-OUT'!I45+RECLASS!AC45</f>
        <v>0</v>
      </c>
      <c r="H45" s="120">
        <f>+Actuals!E343</f>
        <v>0</v>
      </c>
      <c r="I45" s="121">
        <f>+Actuals!F343</f>
        <v>0</v>
      </c>
      <c r="J45" s="120">
        <f>+Actuals!G343</f>
        <v>0</v>
      </c>
      <c r="K45" s="121">
        <f>+Actuals!H343</f>
        <v>0</v>
      </c>
      <c r="L45" s="120">
        <f>+Actuals!I343</f>
        <v>0</v>
      </c>
      <c r="M45" s="121">
        <f>+Actuals!J343</f>
        <v>0</v>
      </c>
      <c r="N45" s="120">
        <f>+Actuals!K343</f>
        <v>0</v>
      </c>
      <c r="O45" s="121">
        <f>+Actuals!L343</f>
        <v>0</v>
      </c>
      <c r="P45" s="120">
        <f>+Actuals!M343</f>
        <v>0</v>
      </c>
      <c r="Q45" s="121">
        <f>+Actuals!N343</f>
        <v>0</v>
      </c>
      <c r="R45" s="120">
        <f>+Actuals!O343</f>
        <v>0</v>
      </c>
      <c r="S45" s="121">
        <f>+Actuals!P343</f>
        <v>0</v>
      </c>
      <c r="T45" s="120">
        <f>+Actuals!Q343</f>
        <v>0</v>
      </c>
      <c r="U45" s="121">
        <f>+Actuals!R343</f>
        <v>0</v>
      </c>
      <c r="V45" s="120">
        <f>+Actuals!S343</f>
        <v>0</v>
      </c>
      <c r="W45" s="121">
        <f>+Actuals!T343</f>
        <v>0</v>
      </c>
      <c r="X45" s="120">
        <f>+Actuals!U343</f>
        <v>0</v>
      </c>
      <c r="Y45" s="121">
        <f>+Actuals!V343</f>
        <v>0</v>
      </c>
      <c r="Z45" s="120">
        <f>+Actuals!W343</f>
        <v>0</v>
      </c>
      <c r="AA45" s="121">
        <f>+Actuals!X343</f>
        <v>0</v>
      </c>
      <c r="AB45" s="120">
        <f>+Actuals!Y343</f>
        <v>0</v>
      </c>
      <c r="AC45" s="121">
        <f>+Actuals!Z343</f>
        <v>0</v>
      </c>
      <c r="AD45" s="120">
        <f>+Actuals!AA343</f>
        <v>0</v>
      </c>
      <c r="AE45" s="121">
        <f>+Actuals!AB343</f>
        <v>0</v>
      </c>
      <c r="AF45" s="120">
        <f>+Actuals!AC343</f>
        <v>0</v>
      </c>
      <c r="AG45" s="121">
        <f>+Actuals!AD343</f>
        <v>0</v>
      </c>
      <c r="AH45" s="120">
        <f>+Actuals!AE343</f>
        <v>0</v>
      </c>
      <c r="AI45" s="121">
        <f>+Actuals!AF343</f>
        <v>0</v>
      </c>
      <c r="AJ45" s="120">
        <f>+Actuals!AG343</f>
        <v>0</v>
      </c>
      <c r="AK45" s="121">
        <f>+Actuals!AH343</f>
        <v>0</v>
      </c>
      <c r="AL45" s="120">
        <f>+Actuals!AI343</f>
        <v>0</v>
      </c>
      <c r="AM45" s="121">
        <f>+Actuals!AJ343</f>
        <v>0</v>
      </c>
      <c r="AN45" s="120">
        <f>+Actuals!AK343</f>
        <v>0</v>
      </c>
      <c r="AO45" s="121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'TIE-OUT'!I47+RECLASS!AC47</f>
        <v>0</v>
      </c>
      <c r="H47" s="120">
        <f>+Actuals!E344</f>
        <v>0</v>
      </c>
      <c r="I47" s="121">
        <f>+Actuals!F344</f>
        <v>0</v>
      </c>
      <c r="J47" s="120">
        <f>+Actuals!G344</f>
        <v>0</v>
      </c>
      <c r="K47" s="121">
        <f>+Actuals!H344</f>
        <v>0</v>
      </c>
      <c r="L47" s="120">
        <f>+Actuals!I344</f>
        <v>0</v>
      </c>
      <c r="M47" s="121">
        <f>+Actuals!J344</f>
        <v>0</v>
      </c>
      <c r="N47" s="120">
        <f>+Actuals!K344</f>
        <v>0</v>
      </c>
      <c r="O47" s="121">
        <f>+Actuals!L344</f>
        <v>0</v>
      </c>
      <c r="P47" s="120">
        <f>+Actuals!M344</f>
        <v>0</v>
      </c>
      <c r="Q47" s="121">
        <f>+Actuals!N344</f>
        <v>0</v>
      </c>
      <c r="R47" s="120">
        <f>+Actuals!O344</f>
        <v>0</v>
      </c>
      <c r="S47" s="121">
        <f>+Actuals!P344</f>
        <v>0</v>
      </c>
      <c r="T47" s="120">
        <f>+Actuals!Q344</f>
        <v>0</v>
      </c>
      <c r="U47" s="121">
        <f>+Actuals!R344</f>
        <v>0</v>
      </c>
      <c r="V47" s="120">
        <f>+Actuals!S344</f>
        <v>0</v>
      </c>
      <c r="W47" s="121">
        <f>+Actuals!T344</f>
        <v>0</v>
      </c>
      <c r="X47" s="120">
        <f>+Actuals!U344</f>
        <v>0</v>
      </c>
      <c r="Y47" s="121">
        <f>+Actuals!V344</f>
        <v>0</v>
      </c>
      <c r="Z47" s="120">
        <f>+Actuals!W344</f>
        <v>0</v>
      </c>
      <c r="AA47" s="121">
        <f>+Actuals!X344</f>
        <v>0</v>
      </c>
      <c r="AB47" s="120">
        <f>+Actuals!Y344</f>
        <v>0</v>
      </c>
      <c r="AC47" s="121">
        <f>+Actuals!Z344</f>
        <v>0</v>
      </c>
      <c r="AD47" s="120">
        <f>+Actuals!AA344</f>
        <v>0</v>
      </c>
      <c r="AE47" s="121">
        <f>+Actuals!AB344</f>
        <v>0</v>
      </c>
      <c r="AF47" s="120">
        <f>+Actuals!AC344</f>
        <v>0</v>
      </c>
      <c r="AG47" s="121">
        <f>+Actuals!AD344</f>
        <v>0</v>
      </c>
      <c r="AH47" s="120">
        <f>+Actuals!AE344</f>
        <v>0</v>
      </c>
      <c r="AI47" s="121">
        <f>+Actuals!AF344</f>
        <v>0</v>
      </c>
      <c r="AJ47" s="120">
        <f>+Actuals!AG344</f>
        <v>0</v>
      </c>
      <c r="AK47" s="121">
        <f>+Actuals!AH344</f>
        <v>0</v>
      </c>
      <c r="AL47" s="120">
        <f>+Actuals!AI344</f>
        <v>0</v>
      </c>
      <c r="AM47" s="121">
        <f>+Actuals!AJ344</f>
        <v>0</v>
      </c>
      <c r="AN47" s="120">
        <f>+Actuals!AK344</f>
        <v>0</v>
      </c>
      <c r="AO47" s="121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3566</v>
      </c>
      <c r="E49" s="38">
        <f>SUM(G49,I49,K49,M49,O49,Q49,S49,U49,W49,Y49,AA49,AC49,AE49)</f>
        <v>7798.842000000077</v>
      </c>
      <c r="F49" s="60">
        <f>'TIE-OUT'!H49+RECLASS!H49</f>
        <v>0</v>
      </c>
      <c r="G49" s="38">
        <f>'TIE-OUT'!I49+RECLASS!AC49</f>
        <v>0</v>
      </c>
      <c r="H49" s="120">
        <f>+Actuals!E345</f>
        <v>180896</v>
      </c>
      <c r="I49" s="121">
        <f>+Actuals!F345</f>
        <v>395619.55200000003</v>
      </c>
      <c r="J49" s="120">
        <f>+Actuals!G345</f>
        <v>106933</v>
      </c>
      <c r="K49" s="121">
        <f>+Actuals!H345</f>
        <v>233862.47100000002</v>
      </c>
      <c r="L49" s="120">
        <f>+Actuals!I345</f>
        <v>0</v>
      </c>
      <c r="M49" s="121">
        <f>+Actuals!J345</f>
        <v>0</v>
      </c>
      <c r="N49" s="120">
        <f>+Actuals!K345</f>
        <v>-224609</v>
      </c>
      <c r="O49" s="121">
        <f>+Actuals!L345</f>
        <v>-491219.88299999997</v>
      </c>
      <c r="P49" s="120">
        <f>+Actuals!M345</f>
        <v>0</v>
      </c>
      <c r="Q49" s="121">
        <f>+Actuals!N345</f>
        <v>0</v>
      </c>
      <c r="R49" s="120">
        <f>+Actuals!O345</f>
        <v>0</v>
      </c>
      <c r="S49" s="121">
        <f>+Actuals!P345</f>
        <v>0</v>
      </c>
      <c r="T49" s="120">
        <f>+Actuals!Q345</f>
        <v>-59654</v>
      </c>
      <c r="U49" s="121">
        <f>+Actuals!R345</f>
        <v>-130463.298</v>
      </c>
      <c r="V49" s="120">
        <f>+Actuals!S344</f>
        <v>0</v>
      </c>
      <c r="W49" s="121">
        <f>+Actuals!T344</f>
        <v>0</v>
      </c>
      <c r="X49" s="120">
        <f>+Actuals!U345</f>
        <v>0</v>
      </c>
      <c r="Y49" s="121">
        <f>+Actuals!V345</f>
        <v>0</v>
      </c>
      <c r="Z49" s="120">
        <f>+Actuals!W345</f>
        <v>0</v>
      </c>
      <c r="AA49" s="121">
        <f>+Actuals!X345</f>
        <v>0</v>
      </c>
      <c r="AB49" s="120">
        <f>+Actuals!Y345</f>
        <v>0</v>
      </c>
      <c r="AC49" s="121">
        <f>+Actuals!Z345</f>
        <v>0</v>
      </c>
      <c r="AD49" s="120">
        <f>+Actuals!AA345</f>
        <v>0</v>
      </c>
      <c r="AE49" s="121">
        <f>+Actuals!AB345</f>
        <v>0</v>
      </c>
      <c r="AF49" s="120">
        <f>+Actuals!AC345</f>
        <v>0</v>
      </c>
      <c r="AG49" s="121">
        <f>+Actuals!AD345</f>
        <v>0</v>
      </c>
      <c r="AH49" s="120">
        <f>+Actuals!AE345</f>
        <v>0</v>
      </c>
      <c r="AI49" s="121">
        <f>+Actuals!AF345</f>
        <v>0</v>
      </c>
      <c r="AJ49" s="120">
        <f>+Actuals!AG345</f>
        <v>0</v>
      </c>
      <c r="AK49" s="121">
        <f>+Actuals!AH345</f>
        <v>0</v>
      </c>
      <c r="AL49" s="120">
        <f>+Actuals!AI345</f>
        <v>0</v>
      </c>
      <c r="AM49" s="121">
        <f>+Actuals!AJ345</f>
        <v>0</v>
      </c>
      <c r="AN49" s="120">
        <f>+Actuals!AK345</f>
        <v>0</v>
      </c>
      <c r="AO49" s="121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-224609</v>
      </c>
      <c r="E51" s="38">
        <f>SUM(G51,I51,K51,M51,O51,Q51,S51,U51,W51,Y51,AA51,AC51,AE51)</f>
        <v>-491219.88</v>
      </c>
      <c r="F51" s="60">
        <f>'TIE-OUT'!H51+RECLASS!H51</f>
        <v>0</v>
      </c>
      <c r="G51" s="38">
        <f>'TIE-OUT'!I51+RECLASS!AC51</f>
        <v>0</v>
      </c>
      <c r="H51" s="120">
        <f>+Actuals!E346</f>
        <v>0</v>
      </c>
      <c r="I51" s="121">
        <f>+Actuals!F346</f>
        <v>0</v>
      </c>
      <c r="J51" s="120">
        <f>+Actuals!G346</f>
        <v>0</v>
      </c>
      <c r="K51" s="121">
        <f>+Actuals!H346</f>
        <v>0</v>
      </c>
      <c r="L51" s="120">
        <f>+Actuals!I346</f>
        <v>0</v>
      </c>
      <c r="M51" s="121">
        <f>+Actuals!J346</f>
        <v>0</v>
      </c>
      <c r="N51" s="120">
        <f>+Actuals!K346</f>
        <v>-224609</v>
      </c>
      <c r="O51" s="121">
        <f>+Actuals!L346</f>
        <v>-491219.88</v>
      </c>
      <c r="P51" s="120">
        <f>+Actuals!M346</f>
        <v>0</v>
      </c>
      <c r="Q51" s="121">
        <f>+Actuals!N346</f>
        <v>0</v>
      </c>
      <c r="R51" s="120">
        <f>+Actuals!O346</f>
        <v>0</v>
      </c>
      <c r="S51" s="121">
        <f>+Actuals!P346</f>
        <v>0</v>
      </c>
      <c r="T51" s="120">
        <f>+Actuals!Q346</f>
        <v>0</v>
      </c>
      <c r="U51" s="121">
        <f>+Actuals!R346</f>
        <v>0</v>
      </c>
      <c r="V51" s="120">
        <f>+Actuals!S346</f>
        <v>0</v>
      </c>
      <c r="W51" s="121">
        <f>+Actuals!T346</f>
        <v>0</v>
      </c>
      <c r="X51" s="120">
        <f>+Actuals!U346</f>
        <v>0</v>
      </c>
      <c r="Y51" s="121">
        <f>+Actuals!V346</f>
        <v>0</v>
      </c>
      <c r="Z51" s="120">
        <f>+Actuals!W346</f>
        <v>0</v>
      </c>
      <c r="AA51" s="121">
        <f>+Actuals!X346</f>
        <v>0</v>
      </c>
      <c r="AB51" s="120">
        <f>+Actuals!Y346</f>
        <v>0</v>
      </c>
      <c r="AC51" s="121">
        <f>+Actuals!Z346</f>
        <v>0</v>
      </c>
      <c r="AD51" s="120">
        <f>+Actuals!AA346</f>
        <v>0</v>
      </c>
      <c r="AE51" s="121">
        <f>+Actuals!AB346</f>
        <v>0</v>
      </c>
      <c r="AF51" s="120">
        <f>+Actuals!AC346</f>
        <v>0</v>
      </c>
      <c r="AG51" s="121">
        <f>+Actuals!AD346</f>
        <v>0</v>
      </c>
      <c r="AH51" s="120">
        <f>+Actuals!AE346</f>
        <v>0</v>
      </c>
      <c r="AI51" s="121">
        <f>+Actuals!AF346</f>
        <v>0</v>
      </c>
      <c r="AJ51" s="120">
        <f>+Actuals!AG346</f>
        <v>0</v>
      </c>
      <c r="AK51" s="121">
        <f>+Actuals!AH346</f>
        <v>0</v>
      </c>
      <c r="AL51" s="120">
        <f>+Actuals!AI346</f>
        <v>0</v>
      </c>
      <c r="AM51" s="121">
        <f>+Actuals!AJ346</f>
        <v>0</v>
      </c>
      <c r="AN51" s="120">
        <f>+Actuals!AK346</f>
        <v>0</v>
      </c>
      <c r="AO51" s="121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-7210619</v>
      </c>
      <c r="E54" s="38">
        <f>SUM(G54,I54,K54,M54,O54,Q54,S54,U54,W54,Y54,AA54,AC54,AE54)</f>
        <v>-129711.97999999998</v>
      </c>
      <c r="F54" s="64">
        <f>'TIE-OUT'!H54+RECLASS!H54</f>
        <v>0</v>
      </c>
      <c r="G54" s="38">
        <f>'TIE-OUT'!I54+RECLASS!AC54</f>
        <v>0</v>
      </c>
      <c r="H54" s="120">
        <f>+Actuals!E347</f>
        <v>-6886328</v>
      </c>
      <c r="I54" s="121">
        <f>+Actuals!F347</f>
        <v>-107989.63</v>
      </c>
      <c r="J54" s="120">
        <f>+Actuals!G347</f>
        <v>-324291</v>
      </c>
      <c r="K54" s="121">
        <f>+Actuals!H347</f>
        <v>2759811.65</v>
      </c>
      <c r="L54" s="120">
        <f>+Actuals!I347</f>
        <v>0</v>
      </c>
      <c r="M54" s="121">
        <f>+Actuals!J347</f>
        <v>-2781534</v>
      </c>
      <c r="N54" s="120">
        <f>+Actuals!K347</f>
        <v>0</v>
      </c>
      <c r="O54" s="121">
        <f>+Actuals!L347</f>
        <v>0</v>
      </c>
      <c r="P54" s="120">
        <f>+Actuals!M347</f>
        <v>0</v>
      </c>
      <c r="Q54" s="121">
        <f>+Actuals!N347</f>
        <v>0</v>
      </c>
      <c r="R54" s="120">
        <f>+Actuals!O347</f>
        <v>0</v>
      </c>
      <c r="S54" s="121">
        <f>+Actuals!P347</f>
        <v>0</v>
      </c>
      <c r="T54" s="120">
        <f>+Actuals!Q347</f>
        <v>0</v>
      </c>
      <c r="U54" s="121">
        <f>+Actuals!R347</f>
        <v>0</v>
      </c>
      <c r="V54" s="120">
        <f>+Actuals!S347</f>
        <v>0</v>
      </c>
      <c r="W54" s="121">
        <f>+Actuals!T347</f>
        <v>0</v>
      </c>
      <c r="X54" s="120">
        <f>+Actuals!U347</f>
        <v>0</v>
      </c>
      <c r="Y54" s="121">
        <f>+Actuals!V347</f>
        <v>0</v>
      </c>
      <c r="Z54" s="120">
        <f>+Actuals!W347</f>
        <v>0</v>
      </c>
      <c r="AA54" s="121">
        <f>+Actuals!X347</f>
        <v>0</v>
      </c>
      <c r="AB54" s="120">
        <f>+Actuals!Y347</f>
        <v>0</v>
      </c>
      <c r="AC54" s="121">
        <f>+Actuals!Z347</f>
        <v>0</v>
      </c>
      <c r="AD54" s="120">
        <f>+Actuals!AA347</f>
        <v>0</v>
      </c>
      <c r="AE54" s="121">
        <f>+Actuals!AB347</f>
        <v>0</v>
      </c>
      <c r="AF54" s="120">
        <f>+Actuals!AC347</f>
        <v>0</v>
      </c>
      <c r="AG54" s="121">
        <f>+Actuals!AD347</f>
        <v>0</v>
      </c>
      <c r="AH54" s="120">
        <f>+Actuals!AE347</f>
        <v>0</v>
      </c>
      <c r="AI54" s="121">
        <f>+Actuals!AF347</f>
        <v>0</v>
      </c>
      <c r="AJ54" s="120">
        <f>+Actuals!AG347</f>
        <v>0</v>
      </c>
      <c r="AK54" s="121">
        <f>+Actuals!AH347</f>
        <v>0</v>
      </c>
      <c r="AL54" s="120">
        <f>+Actuals!AI347</f>
        <v>0</v>
      </c>
      <c r="AM54" s="121">
        <f>+Actuals!AJ347</f>
        <v>0</v>
      </c>
      <c r="AN54" s="120">
        <f>+Actuals!AK347</f>
        <v>0</v>
      </c>
      <c r="AO54" s="121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-2781535</v>
      </c>
      <c r="F55" s="81">
        <f>'TIE-OUT'!H55+RECLASS!H55</f>
        <v>0</v>
      </c>
      <c r="G55" s="38">
        <f>'TIE-OUT'!I55+RECLASS!AC55</f>
        <v>0</v>
      </c>
      <c r="H55" s="120">
        <f>+Actuals!E348</f>
        <v>0</v>
      </c>
      <c r="I55" s="121">
        <f>+Actuals!F348</f>
        <v>-2062533.76</v>
      </c>
      <c r="J55" s="120">
        <f>+Actuals!G348</f>
        <v>0</v>
      </c>
      <c r="K55" s="121">
        <f>+Actuals!H348</f>
        <v>-719001.24</v>
      </c>
      <c r="L55" s="120">
        <f>+Actuals!I348</f>
        <v>0</v>
      </c>
      <c r="M55" s="121">
        <f>+Actuals!J348</f>
        <v>0</v>
      </c>
      <c r="N55" s="120">
        <f>+Actuals!K348</f>
        <v>0</v>
      </c>
      <c r="O55" s="121">
        <f>+Actuals!L348</f>
        <v>0</v>
      </c>
      <c r="P55" s="120">
        <f>+Actuals!M348</f>
        <v>0</v>
      </c>
      <c r="Q55" s="121">
        <f>+Actuals!N348</f>
        <v>0</v>
      </c>
      <c r="R55" s="120">
        <f>+Actuals!O348</f>
        <v>0</v>
      </c>
      <c r="S55" s="121">
        <f>+Actuals!P348</f>
        <v>0</v>
      </c>
      <c r="T55" s="120">
        <f>+Actuals!Q348</f>
        <v>0</v>
      </c>
      <c r="U55" s="121">
        <f>+Actuals!R348</f>
        <v>0</v>
      </c>
      <c r="V55" s="120">
        <f>+Actuals!S348</f>
        <v>0</v>
      </c>
      <c r="W55" s="121">
        <f>+Actuals!T348</f>
        <v>0</v>
      </c>
      <c r="X55" s="120">
        <f>+Actuals!U348</f>
        <v>0</v>
      </c>
      <c r="Y55" s="121">
        <f>+Actuals!V348</f>
        <v>0</v>
      </c>
      <c r="Z55" s="120">
        <f>+Actuals!W348</f>
        <v>0</v>
      </c>
      <c r="AA55" s="121">
        <f>+Actuals!X348</f>
        <v>0</v>
      </c>
      <c r="AB55" s="120">
        <f>+Actuals!Y348</f>
        <v>0</v>
      </c>
      <c r="AC55" s="121">
        <f>+Actuals!Z348</f>
        <v>0</v>
      </c>
      <c r="AD55" s="120">
        <f>+Actuals!AA348</f>
        <v>0</v>
      </c>
      <c r="AE55" s="121">
        <f>+Actuals!AB348</f>
        <v>0</v>
      </c>
      <c r="AF55" s="120">
        <f>+Actuals!AC348</f>
        <v>0</v>
      </c>
      <c r="AG55" s="121">
        <f>+Actuals!AD348</f>
        <v>0</v>
      </c>
      <c r="AH55" s="120">
        <f>+Actuals!AE348</f>
        <v>0</v>
      </c>
      <c r="AI55" s="121">
        <f>+Actuals!AF348</f>
        <v>0</v>
      </c>
      <c r="AJ55" s="120">
        <f>+Actuals!AG348</f>
        <v>0</v>
      </c>
      <c r="AK55" s="121">
        <f>+Actuals!AH348</f>
        <v>0</v>
      </c>
      <c r="AL55" s="120">
        <f>+Actuals!AI348</f>
        <v>0</v>
      </c>
      <c r="AM55" s="121">
        <f>+Actuals!AJ348</f>
        <v>0</v>
      </c>
      <c r="AN55" s="120">
        <f>+Actuals!AK348</f>
        <v>0</v>
      </c>
      <c r="AO55" s="121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22">SUM(D54:D55)</f>
        <v>-7210619</v>
      </c>
      <c r="E56" s="39">
        <f t="shared" si="22"/>
        <v>-2911246.98</v>
      </c>
      <c r="F56" s="61">
        <f t="shared" si="22"/>
        <v>0</v>
      </c>
      <c r="G56" s="39">
        <f t="shared" si="22"/>
        <v>0</v>
      </c>
      <c r="H56" s="61">
        <f t="shared" si="22"/>
        <v>-6886328</v>
      </c>
      <c r="I56" s="39">
        <f t="shared" si="22"/>
        <v>-2170523.39</v>
      </c>
      <c r="J56" s="61">
        <f t="shared" ref="J56:AO56" si="23">SUM(J54:J55)</f>
        <v>-324291</v>
      </c>
      <c r="K56" s="39">
        <f t="shared" si="23"/>
        <v>2040810.41</v>
      </c>
      <c r="L56" s="61">
        <f t="shared" si="23"/>
        <v>0</v>
      </c>
      <c r="M56" s="39">
        <f t="shared" si="23"/>
        <v>-2781534</v>
      </c>
      <c r="N56" s="61">
        <f t="shared" ref="N56:S56" si="24">SUM(N54:N55)</f>
        <v>0</v>
      </c>
      <c r="O56" s="39">
        <f t="shared" si="24"/>
        <v>0</v>
      </c>
      <c r="P56" s="61">
        <f t="shared" si="24"/>
        <v>0</v>
      </c>
      <c r="Q56" s="39">
        <f t="shared" si="24"/>
        <v>0</v>
      </c>
      <c r="R56" s="61">
        <f t="shared" si="24"/>
        <v>0</v>
      </c>
      <c r="S56" s="39">
        <f t="shared" si="24"/>
        <v>0</v>
      </c>
      <c r="T56" s="61">
        <f t="shared" si="23"/>
        <v>0</v>
      </c>
      <c r="U56" s="39">
        <f t="shared" si="23"/>
        <v>0</v>
      </c>
      <c r="V56" s="61">
        <f t="shared" si="23"/>
        <v>0</v>
      </c>
      <c r="W56" s="39">
        <f t="shared" si="23"/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38">
        <f>'TIE-OUT'!I59+RECLASS!AC59</f>
        <v>0</v>
      </c>
      <c r="H59" s="120">
        <f>+Actuals!E349</f>
        <v>0</v>
      </c>
      <c r="I59" s="121">
        <f>+Actuals!F349</f>
        <v>0</v>
      </c>
      <c r="J59" s="120">
        <f>+Actuals!G349</f>
        <v>0</v>
      </c>
      <c r="K59" s="121">
        <f>+Actuals!H349</f>
        <v>0</v>
      </c>
      <c r="L59" s="120">
        <f>+Actuals!I349</f>
        <v>0</v>
      </c>
      <c r="M59" s="121">
        <f>+Actuals!J349</f>
        <v>0</v>
      </c>
      <c r="N59" s="120">
        <f>+Actuals!K349</f>
        <v>0</v>
      </c>
      <c r="O59" s="121">
        <f>+Actuals!L349</f>
        <v>0</v>
      </c>
      <c r="P59" s="120">
        <f>+Actuals!M349</f>
        <v>0</v>
      </c>
      <c r="Q59" s="121">
        <f>+Actuals!N349</f>
        <v>0</v>
      </c>
      <c r="R59" s="120">
        <f>+Actuals!O349</f>
        <v>0</v>
      </c>
      <c r="S59" s="121">
        <f>+Actuals!P349</f>
        <v>0</v>
      </c>
      <c r="T59" s="120">
        <f>+Actuals!Q349</f>
        <v>0</v>
      </c>
      <c r="U59" s="121">
        <f>+Actuals!R349</f>
        <v>0</v>
      </c>
      <c r="V59" s="120">
        <f>+Actuals!S349</f>
        <v>0</v>
      </c>
      <c r="W59" s="121">
        <f>+Actuals!T349</f>
        <v>0</v>
      </c>
      <c r="X59" s="120">
        <f>+Actuals!U349</f>
        <v>0</v>
      </c>
      <c r="Y59" s="121">
        <f>+Actuals!V349</f>
        <v>0</v>
      </c>
      <c r="Z59" s="120">
        <f>+Actuals!W349</f>
        <v>0</v>
      </c>
      <c r="AA59" s="121">
        <f>+Actuals!X349</f>
        <v>0</v>
      </c>
      <c r="AB59" s="120">
        <f>+Actuals!Y349</f>
        <v>0</v>
      </c>
      <c r="AC59" s="121">
        <f>+Actuals!Z349</f>
        <v>0</v>
      </c>
      <c r="AD59" s="120">
        <f>+Actuals!AA349</f>
        <v>0</v>
      </c>
      <c r="AE59" s="121">
        <f>+Actuals!AB349</f>
        <v>0</v>
      </c>
      <c r="AF59" s="120">
        <f>+Actuals!AC349</f>
        <v>0</v>
      </c>
      <c r="AG59" s="121">
        <f>+Actuals!AD349</f>
        <v>0</v>
      </c>
      <c r="AH59" s="120">
        <f>+Actuals!AE349</f>
        <v>0</v>
      </c>
      <c r="AI59" s="121">
        <f>+Actuals!AF349</f>
        <v>0</v>
      </c>
      <c r="AJ59" s="120">
        <f>+Actuals!AG349</f>
        <v>0</v>
      </c>
      <c r="AK59" s="121">
        <f>+Actuals!AH349</f>
        <v>0</v>
      </c>
      <c r="AL59" s="120">
        <f>+Actuals!AI349</f>
        <v>0</v>
      </c>
      <c r="AM59" s="121">
        <f>+Actuals!AJ349</f>
        <v>0</v>
      </c>
      <c r="AN59" s="120">
        <f>+Actuals!AK349</f>
        <v>0</v>
      </c>
      <c r="AO59" s="121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38">
        <f>'TIE-OUT'!I60+RECLASS!AC60</f>
        <v>0</v>
      </c>
      <c r="H60" s="120">
        <f>+Actuals!E350</f>
        <v>0</v>
      </c>
      <c r="I60" s="121">
        <f>+Actuals!F350</f>
        <v>0</v>
      </c>
      <c r="J60" s="120">
        <f>+Actuals!G350</f>
        <v>0</v>
      </c>
      <c r="K60" s="121">
        <f>+Actuals!H350</f>
        <v>0</v>
      </c>
      <c r="L60" s="120">
        <f>+Actuals!I350</f>
        <v>0</v>
      </c>
      <c r="M60" s="121">
        <f>+Actuals!J350</f>
        <v>0</v>
      </c>
      <c r="N60" s="120">
        <f>+Actuals!K350</f>
        <v>0</v>
      </c>
      <c r="O60" s="121">
        <f>+Actuals!L350</f>
        <v>0</v>
      </c>
      <c r="P60" s="120">
        <f>+Actuals!M350</f>
        <v>0</v>
      </c>
      <c r="Q60" s="121">
        <f>+Actuals!N350</f>
        <v>0</v>
      </c>
      <c r="R60" s="120">
        <f>+Actuals!O350</f>
        <v>0</v>
      </c>
      <c r="S60" s="121">
        <f>+Actuals!P350</f>
        <v>0</v>
      </c>
      <c r="T60" s="120">
        <f>+Actuals!Q350</f>
        <v>0</v>
      </c>
      <c r="U60" s="121">
        <f>+Actuals!R350</f>
        <v>0</v>
      </c>
      <c r="V60" s="120">
        <f>+Actuals!S350</f>
        <v>0</v>
      </c>
      <c r="W60" s="121">
        <f>+Actuals!T350</f>
        <v>0</v>
      </c>
      <c r="X60" s="120">
        <f>+Actuals!U350</f>
        <v>0</v>
      </c>
      <c r="Y60" s="121">
        <f>+Actuals!V350</f>
        <v>0</v>
      </c>
      <c r="Z60" s="120">
        <f>+Actuals!W350</f>
        <v>0</v>
      </c>
      <c r="AA60" s="121">
        <f>+Actuals!X350</f>
        <v>0</v>
      </c>
      <c r="AB60" s="120">
        <f>+Actuals!Y350</f>
        <v>0</v>
      </c>
      <c r="AC60" s="121">
        <f>+Actuals!Z350</f>
        <v>0</v>
      </c>
      <c r="AD60" s="120">
        <f>+Actuals!AA350</f>
        <v>0</v>
      </c>
      <c r="AE60" s="121">
        <f>+Actuals!AB350</f>
        <v>0</v>
      </c>
      <c r="AF60" s="120">
        <f>+Actuals!AC350</f>
        <v>0</v>
      </c>
      <c r="AG60" s="121">
        <f>+Actuals!AD350</f>
        <v>0</v>
      </c>
      <c r="AH60" s="120">
        <f>+Actuals!AE350</f>
        <v>0</v>
      </c>
      <c r="AI60" s="121">
        <f>+Actuals!AF350</f>
        <v>0</v>
      </c>
      <c r="AJ60" s="120">
        <f>+Actuals!AG350</f>
        <v>0</v>
      </c>
      <c r="AK60" s="121">
        <f>+Actuals!AH350</f>
        <v>0</v>
      </c>
      <c r="AL60" s="120">
        <f>+Actuals!AI350</f>
        <v>0</v>
      </c>
      <c r="AM60" s="121">
        <f>+Actuals!AJ350</f>
        <v>0</v>
      </c>
      <c r="AN60" s="120">
        <f>+Actuals!AK350</f>
        <v>0</v>
      </c>
      <c r="AO60" s="121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38">
        <f>'TIE-OUT'!I64+RECLASS!AC64</f>
        <v>0</v>
      </c>
      <c r="H64" s="120">
        <f>+Actuals!E351</f>
        <v>0</v>
      </c>
      <c r="I64" s="121">
        <f>+Actuals!F351</f>
        <v>0</v>
      </c>
      <c r="J64" s="120">
        <f>+Actuals!G351</f>
        <v>0</v>
      </c>
      <c r="K64" s="121">
        <f>+Actuals!H351</f>
        <v>0</v>
      </c>
      <c r="L64" s="120">
        <f>+Actuals!I351</f>
        <v>0</v>
      </c>
      <c r="M64" s="121">
        <f>+Actuals!J351</f>
        <v>0</v>
      </c>
      <c r="N64" s="120">
        <f>+Actuals!K351</f>
        <v>0</v>
      </c>
      <c r="O64" s="121">
        <f>+Actuals!L351</f>
        <v>0</v>
      </c>
      <c r="P64" s="120">
        <f>+Actuals!M351</f>
        <v>0</v>
      </c>
      <c r="Q64" s="121">
        <f>+Actuals!N351</f>
        <v>0</v>
      </c>
      <c r="R64" s="120">
        <f>+Actuals!O351</f>
        <v>0</v>
      </c>
      <c r="S64" s="121">
        <f>+Actuals!P351</f>
        <v>0</v>
      </c>
      <c r="T64" s="120">
        <f>+Actuals!Q351</f>
        <v>0</v>
      </c>
      <c r="U64" s="121">
        <f>+Actuals!R351</f>
        <v>0</v>
      </c>
      <c r="V64" s="120">
        <f>+Actuals!S351</f>
        <v>0</v>
      </c>
      <c r="W64" s="121">
        <f>+Actuals!T351</f>
        <v>0</v>
      </c>
      <c r="X64" s="120">
        <f>+Actuals!U351</f>
        <v>0</v>
      </c>
      <c r="Y64" s="121">
        <f>+Actuals!V351</f>
        <v>0</v>
      </c>
      <c r="Z64" s="120">
        <f>+Actuals!W351</f>
        <v>0</v>
      </c>
      <c r="AA64" s="121">
        <f>+Actuals!X351</f>
        <v>0</v>
      </c>
      <c r="AB64" s="120">
        <f>+Actuals!Y351</f>
        <v>0</v>
      </c>
      <c r="AC64" s="121">
        <f>+Actuals!Z351</f>
        <v>0</v>
      </c>
      <c r="AD64" s="120">
        <f>+Actuals!AA351</f>
        <v>0</v>
      </c>
      <c r="AE64" s="121">
        <f>+Actuals!AB351</f>
        <v>0</v>
      </c>
      <c r="AF64" s="120">
        <f>+Actuals!AC351</f>
        <v>0</v>
      </c>
      <c r="AG64" s="121">
        <f>+Actuals!AD351</f>
        <v>0</v>
      </c>
      <c r="AH64" s="120">
        <f>+Actuals!AE351</f>
        <v>0</v>
      </c>
      <c r="AI64" s="121">
        <f>+Actuals!AF351</f>
        <v>0</v>
      </c>
      <c r="AJ64" s="120">
        <f>+Actuals!AG351</f>
        <v>0</v>
      </c>
      <c r="AK64" s="121">
        <f>+Actuals!AH351</f>
        <v>0</v>
      </c>
      <c r="AL64" s="120">
        <f>+Actuals!AI351</f>
        <v>0</v>
      </c>
      <c r="AM64" s="121">
        <f>+Actuals!AJ351</f>
        <v>0</v>
      </c>
      <c r="AN64" s="120">
        <f>+Actuals!AK351</f>
        <v>0</v>
      </c>
      <c r="AO64" s="121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38">
        <f>'TIE-OUT'!I65+RECLASS!AC65</f>
        <v>0</v>
      </c>
      <c r="H65" s="120">
        <f>+Actuals!E352</f>
        <v>0</v>
      </c>
      <c r="I65" s="121">
        <f>+Actuals!F352</f>
        <v>0</v>
      </c>
      <c r="J65" s="120">
        <f>+Actuals!G352</f>
        <v>0</v>
      </c>
      <c r="K65" s="121">
        <f>+Actuals!H352</f>
        <v>0</v>
      </c>
      <c r="L65" s="120">
        <f>+Actuals!I352</f>
        <v>0</v>
      </c>
      <c r="M65" s="121">
        <f>+Actuals!J352</f>
        <v>0</v>
      </c>
      <c r="N65" s="120">
        <f>+Actuals!K352</f>
        <v>0</v>
      </c>
      <c r="O65" s="121">
        <f>+Actuals!L352</f>
        <v>0</v>
      </c>
      <c r="P65" s="120">
        <f>+Actuals!M352</f>
        <v>0</v>
      </c>
      <c r="Q65" s="121">
        <f>+Actuals!N352</f>
        <v>0</v>
      </c>
      <c r="R65" s="120">
        <f>+Actuals!O352</f>
        <v>0</v>
      </c>
      <c r="S65" s="121">
        <f>+Actuals!P352</f>
        <v>0</v>
      </c>
      <c r="T65" s="120">
        <f>+Actuals!Q352</f>
        <v>0</v>
      </c>
      <c r="U65" s="121">
        <f>+Actuals!R352</f>
        <v>0</v>
      </c>
      <c r="V65" s="120">
        <f>+Actuals!S352</f>
        <v>0</v>
      </c>
      <c r="W65" s="121">
        <f>+Actuals!T352</f>
        <v>0</v>
      </c>
      <c r="X65" s="120">
        <f>+Actuals!U352</f>
        <v>0</v>
      </c>
      <c r="Y65" s="121">
        <f>+Actuals!V352</f>
        <v>0</v>
      </c>
      <c r="Z65" s="120">
        <f>+Actuals!W352</f>
        <v>0</v>
      </c>
      <c r="AA65" s="121">
        <f>+Actuals!X352</f>
        <v>0</v>
      </c>
      <c r="AB65" s="120">
        <f>+Actuals!Y352</f>
        <v>0</v>
      </c>
      <c r="AC65" s="121">
        <f>+Actuals!Z352</f>
        <v>0</v>
      </c>
      <c r="AD65" s="120">
        <f>+Actuals!AA352</f>
        <v>0</v>
      </c>
      <c r="AE65" s="121">
        <f>+Actuals!AB352</f>
        <v>0</v>
      </c>
      <c r="AF65" s="120">
        <f>+Actuals!AC352</f>
        <v>0</v>
      </c>
      <c r="AG65" s="121">
        <f>+Actuals!AD352</f>
        <v>0</v>
      </c>
      <c r="AH65" s="120">
        <f>+Actuals!AE352</f>
        <v>0</v>
      </c>
      <c r="AI65" s="121">
        <f>+Actuals!AF352</f>
        <v>0</v>
      </c>
      <c r="AJ65" s="120">
        <f>+Actuals!AG352</f>
        <v>0</v>
      </c>
      <c r="AK65" s="121">
        <f>+Actuals!AH352</f>
        <v>0</v>
      </c>
      <c r="AL65" s="120">
        <f>+Actuals!AI352</f>
        <v>0</v>
      </c>
      <c r="AM65" s="121">
        <f>+Actuals!AJ352</f>
        <v>0</v>
      </c>
      <c r="AN65" s="120">
        <f>+Actuals!AK352</f>
        <v>0</v>
      </c>
      <c r="AO65" s="121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14085867</v>
      </c>
      <c r="F70" s="64">
        <f>'TIE-OUT'!H70+RECLASS!H70</f>
        <v>0</v>
      </c>
      <c r="G70" s="38">
        <f>'TIE-OUT'!I70+RECLASS!AC70</f>
        <v>14085867</v>
      </c>
      <c r="H70" s="120">
        <f>+Actuals!E353</f>
        <v>0</v>
      </c>
      <c r="I70" s="121">
        <f>+Actuals!F353</f>
        <v>0</v>
      </c>
      <c r="J70" s="120">
        <f>+Actuals!G353</f>
        <v>0</v>
      </c>
      <c r="K70" s="121">
        <f>+Actuals!H353</f>
        <v>0</v>
      </c>
      <c r="L70" s="120">
        <f>+Actuals!I353</f>
        <v>0</v>
      </c>
      <c r="M70" s="121">
        <f>+Actuals!J353</f>
        <v>0</v>
      </c>
      <c r="N70" s="120">
        <f>+Actuals!K353</f>
        <v>0</v>
      </c>
      <c r="O70" s="121">
        <f>+Actuals!L353</f>
        <v>0</v>
      </c>
      <c r="P70" s="120">
        <f>+Actuals!M353</f>
        <v>0</v>
      </c>
      <c r="Q70" s="121">
        <f>+Actuals!N353</f>
        <v>0</v>
      </c>
      <c r="R70" s="120">
        <f>+Actuals!O353</f>
        <v>0</v>
      </c>
      <c r="S70" s="121">
        <f>+Actuals!P353</f>
        <v>0</v>
      </c>
      <c r="T70" s="120">
        <f>+Actuals!Q353</f>
        <v>0</v>
      </c>
      <c r="U70" s="121">
        <f>+Actuals!R353</f>
        <v>0</v>
      </c>
      <c r="V70" s="120">
        <f>+Actuals!S353</f>
        <v>0</v>
      </c>
      <c r="W70" s="121">
        <f>+Actuals!T353</f>
        <v>0</v>
      </c>
      <c r="X70" s="120">
        <f>+Actuals!U353</f>
        <v>0</v>
      </c>
      <c r="Y70" s="121">
        <f>+Actuals!V353</f>
        <v>0</v>
      </c>
      <c r="Z70" s="120">
        <f>+Actuals!W353</f>
        <v>0</v>
      </c>
      <c r="AA70" s="121">
        <f>+Actuals!X353</f>
        <v>0</v>
      </c>
      <c r="AB70" s="120">
        <f>+Actuals!Y353</f>
        <v>0</v>
      </c>
      <c r="AC70" s="121">
        <f>+Actuals!Z353</f>
        <v>0</v>
      </c>
      <c r="AD70" s="120">
        <f>+Actuals!AA353</f>
        <v>0</v>
      </c>
      <c r="AE70" s="121">
        <f>+Actuals!AB353</f>
        <v>0</v>
      </c>
      <c r="AF70" s="120">
        <f>+Actuals!AC353</f>
        <v>0</v>
      </c>
      <c r="AG70" s="121">
        <f>+Actuals!AD353</f>
        <v>0</v>
      </c>
      <c r="AH70" s="120">
        <f>+Actuals!AE353</f>
        <v>0</v>
      </c>
      <c r="AI70" s="121">
        <f>+Actuals!AF353</f>
        <v>0</v>
      </c>
      <c r="AJ70" s="120">
        <f>+Actuals!AG353</f>
        <v>0</v>
      </c>
      <c r="AK70" s="121">
        <f>+Actuals!AH353</f>
        <v>0</v>
      </c>
      <c r="AL70" s="120">
        <f>+Actuals!AI353</f>
        <v>0</v>
      </c>
      <c r="AM70" s="121">
        <f>+Actuals!AJ353</f>
        <v>0</v>
      </c>
      <c r="AN70" s="120">
        <f>+Actuals!AK353</f>
        <v>0</v>
      </c>
      <c r="AO70" s="121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-15019906</v>
      </c>
      <c r="F71" s="81">
        <f>'TIE-OUT'!H71+RECLASS!H71</f>
        <v>0</v>
      </c>
      <c r="G71" s="38">
        <f>'TIE-OUT'!I71+RECLASS!AC71</f>
        <v>-15019906</v>
      </c>
      <c r="H71" s="120">
        <f>+Actuals!E354</f>
        <v>0</v>
      </c>
      <c r="I71" s="121">
        <f>+Actuals!F354</f>
        <v>0</v>
      </c>
      <c r="J71" s="120">
        <f>+Actuals!G354</f>
        <v>0</v>
      </c>
      <c r="K71" s="121">
        <f>+Actuals!H354</f>
        <v>0</v>
      </c>
      <c r="L71" s="120">
        <f>+Actuals!I354</f>
        <v>0</v>
      </c>
      <c r="M71" s="121">
        <f>+Actuals!J354</f>
        <v>0</v>
      </c>
      <c r="N71" s="120">
        <f>+Actuals!K354</f>
        <v>0</v>
      </c>
      <c r="O71" s="121">
        <f>+Actuals!L354</f>
        <v>0</v>
      </c>
      <c r="P71" s="120">
        <f>+Actuals!M354</f>
        <v>0</v>
      </c>
      <c r="Q71" s="121">
        <f>+Actuals!N354</f>
        <v>0</v>
      </c>
      <c r="R71" s="120">
        <f>+Actuals!O354</f>
        <v>0</v>
      </c>
      <c r="S71" s="121">
        <f>+Actuals!P354</f>
        <v>0</v>
      </c>
      <c r="T71" s="120">
        <f>+Actuals!Q354</f>
        <v>0</v>
      </c>
      <c r="U71" s="121">
        <f>+Actuals!R354</f>
        <v>0</v>
      </c>
      <c r="V71" s="120">
        <f>+Actuals!S354</f>
        <v>0</v>
      </c>
      <c r="W71" s="121">
        <f>+Actuals!T354</f>
        <v>0</v>
      </c>
      <c r="X71" s="120">
        <f>+Actuals!U354</f>
        <v>0</v>
      </c>
      <c r="Y71" s="121">
        <f>+Actuals!V354</f>
        <v>0</v>
      </c>
      <c r="Z71" s="120">
        <f>+Actuals!W354</f>
        <v>0</v>
      </c>
      <c r="AA71" s="121">
        <f>+Actuals!X354</f>
        <v>0</v>
      </c>
      <c r="AB71" s="120">
        <f>+Actuals!Y354</f>
        <v>0</v>
      </c>
      <c r="AC71" s="121">
        <f>+Actuals!Z354</f>
        <v>0</v>
      </c>
      <c r="AD71" s="120">
        <f>+Actuals!AA354</f>
        <v>0</v>
      </c>
      <c r="AE71" s="121">
        <f>+Actuals!AB354</f>
        <v>0</v>
      </c>
      <c r="AF71" s="120">
        <f>+Actuals!AC354</f>
        <v>0</v>
      </c>
      <c r="AG71" s="121">
        <f>+Actuals!AD354</f>
        <v>0</v>
      </c>
      <c r="AH71" s="120">
        <f>+Actuals!AE354</f>
        <v>0</v>
      </c>
      <c r="AI71" s="121">
        <f>+Actuals!AF354</f>
        <v>0</v>
      </c>
      <c r="AJ71" s="120">
        <f>+Actuals!AG354</f>
        <v>0</v>
      </c>
      <c r="AK71" s="121">
        <f>+Actuals!AH354</f>
        <v>0</v>
      </c>
      <c r="AL71" s="120">
        <f>+Actuals!AI354</f>
        <v>0</v>
      </c>
      <c r="AM71" s="121">
        <f>+Actuals!AJ354</f>
        <v>0</v>
      </c>
      <c r="AN71" s="120">
        <f>+Actuals!AK354</f>
        <v>0</v>
      </c>
      <c r="AO71" s="121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-934039</v>
      </c>
      <c r="F72" s="61">
        <f t="shared" si="31"/>
        <v>0</v>
      </c>
      <c r="G72" s="39">
        <f t="shared" si="31"/>
        <v>-934039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'TIE-OUT'!H73+RECLASS!H73</f>
        <v>0</v>
      </c>
      <c r="G73" s="38">
        <f>'TIE-OUT'!I73+RECLASS!AC73</f>
        <v>0</v>
      </c>
      <c r="H73" s="120">
        <f>+Actuals!E355</f>
        <v>0</v>
      </c>
      <c r="I73" s="121">
        <f>+Actuals!F355</f>
        <v>0</v>
      </c>
      <c r="J73" s="120">
        <f>+Actuals!G355</f>
        <v>0</v>
      </c>
      <c r="K73" s="121">
        <f>+Actuals!H355</f>
        <v>0</v>
      </c>
      <c r="L73" s="120">
        <f>+Actuals!I355</f>
        <v>0</v>
      </c>
      <c r="M73" s="121">
        <f>+Actuals!J355</f>
        <v>0</v>
      </c>
      <c r="N73" s="120">
        <f>+Actuals!K355</f>
        <v>0</v>
      </c>
      <c r="O73" s="121">
        <f>+Actuals!L355</f>
        <v>0</v>
      </c>
      <c r="P73" s="120">
        <f>+Actuals!M355</f>
        <v>0</v>
      </c>
      <c r="Q73" s="121">
        <f>+Actuals!N355</f>
        <v>0</v>
      </c>
      <c r="R73" s="120">
        <f>+Actuals!O355</f>
        <v>0</v>
      </c>
      <c r="S73" s="121">
        <f>+Actuals!P355</f>
        <v>0</v>
      </c>
      <c r="T73" s="120">
        <f>+Actuals!Q355</f>
        <v>0</v>
      </c>
      <c r="U73" s="121">
        <f>+Actuals!R355</f>
        <v>0</v>
      </c>
      <c r="V73" s="120">
        <f>+Actuals!S355</f>
        <v>0</v>
      </c>
      <c r="W73" s="121">
        <f>+Actuals!T355</f>
        <v>0</v>
      </c>
      <c r="X73" s="120">
        <f>+Actuals!U355</f>
        <v>0</v>
      </c>
      <c r="Y73" s="121">
        <f>+Actuals!V355</f>
        <v>0</v>
      </c>
      <c r="Z73" s="120">
        <f>+Actuals!W355</f>
        <v>0</v>
      </c>
      <c r="AA73" s="121">
        <f>+Actuals!X355</f>
        <v>0</v>
      </c>
      <c r="AB73" s="120">
        <f>+Actuals!Y355</f>
        <v>0</v>
      </c>
      <c r="AC73" s="121">
        <f>+Actuals!Z355</f>
        <v>0</v>
      </c>
      <c r="AD73" s="120">
        <f>+Actuals!AA355</f>
        <v>0</v>
      </c>
      <c r="AE73" s="121">
        <f>+Actuals!AB355</f>
        <v>0</v>
      </c>
      <c r="AF73" s="120">
        <f>+Actuals!AC355</f>
        <v>0</v>
      </c>
      <c r="AG73" s="121">
        <f>+Actuals!AD355</f>
        <v>0</v>
      </c>
      <c r="AH73" s="120">
        <f>+Actuals!AE355</f>
        <v>0</v>
      </c>
      <c r="AI73" s="121">
        <f>+Actuals!AF355</f>
        <v>0</v>
      </c>
      <c r="AJ73" s="120">
        <f>+Actuals!AG355</f>
        <v>0</v>
      </c>
      <c r="AK73" s="121">
        <f>+Actuals!AH355</f>
        <v>0</v>
      </c>
      <c r="AL73" s="120">
        <f>+Actuals!AI355</f>
        <v>0</v>
      </c>
      <c r="AM73" s="121">
        <f>+Actuals!AJ355</f>
        <v>0</v>
      </c>
      <c r="AN73" s="120">
        <f>+Actuals!AK355</f>
        <v>0</v>
      </c>
      <c r="AO73" s="121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1439044</v>
      </c>
      <c r="F74" s="60">
        <f>'TIE-OUT'!H74+RECLASS!H74</f>
        <v>0</v>
      </c>
      <c r="G74" s="38">
        <f>'TIE-OUT'!I74+RECLASS!AC74</f>
        <v>1439044</v>
      </c>
      <c r="H74" s="120">
        <f>+Actuals!E356</f>
        <v>0</v>
      </c>
      <c r="I74" s="121">
        <f>+Actuals!F356</f>
        <v>0</v>
      </c>
      <c r="J74" s="120">
        <f>+Actuals!G356</f>
        <v>0</v>
      </c>
      <c r="K74" s="121">
        <f>+Actuals!H356</f>
        <v>0</v>
      </c>
      <c r="L74" s="120">
        <f>+Actuals!I356</f>
        <v>0</v>
      </c>
      <c r="M74" s="121">
        <f>+Actuals!J356</f>
        <v>0</v>
      </c>
      <c r="N74" s="120">
        <f>+Actuals!K356</f>
        <v>0</v>
      </c>
      <c r="O74" s="121">
        <f>+Actuals!L356</f>
        <v>0</v>
      </c>
      <c r="P74" s="120">
        <f>+Actuals!M356</f>
        <v>0</v>
      </c>
      <c r="Q74" s="121">
        <f>+Actuals!N356</f>
        <v>0</v>
      </c>
      <c r="R74" s="120">
        <f>+Actuals!O356</f>
        <v>0</v>
      </c>
      <c r="S74" s="121">
        <f>+Actuals!P356</f>
        <v>0</v>
      </c>
      <c r="T74" s="120">
        <f>+Actuals!Q356</f>
        <v>0</v>
      </c>
      <c r="U74" s="121">
        <f>+Actuals!R356</f>
        <v>0</v>
      </c>
      <c r="V74" s="120">
        <f>+Actuals!S356</f>
        <v>0</v>
      </c>
      <c r="W74" s="121">
        <f>+Actuals!T356</f>
        <v>0</v>
      </c>
      <c r="X74" s="120">
        <f>+Actuals!U356</f>
        <v>0</v>
      </c>
      <c r="Y74" s="121">
        <f>+Actuals!V356</f>
        <v>0</v>
      </c>
      <c r="Z74" s="120">
        <f>+Actuals!W356</f>
        <v>0</v>
      </c>
      <c r="AA74" s="121">
        <f>+Actuals!X356</f>
        <v>0</v>
      </c>
      <c r="AB74" s="120">
        <f>+Actuals!Y356</f>
        <v>0</v>
      </c>
      <c r="AC74" s="121">
        <f>+Actuals!Z356</f>
        <v>0</v>
      </c>
      <c r="AD74" s="120">
        <f>+Actuals!AA356</f>
        <v>0</v>
      </c>
      <c r="AE74" s="121">
        <f>+Actuals!AB356</f>
        <v>0</v>
      </c>
      <c r="AF74" s="120">
        <f>+Actuals!AC356</f>
        <v>0</v>
      </c>
      <c r="AG74" s="121">
        <f>+Actuals!AD356</f>
        <v>0</v>
      </c>
      <c r="AH74" s="120">
        <f>+Actuals!AE356</f>
        <v>0</v>
      </c>
      <c r="AI74" s="121">
        <f>+Actuals!AF356</f>
        <v>0</v>
      </c>
      <c r="AJ74" s="120">
        <f>+Actuals!AG356</f>
        <v>0</v>
      </c>
      <c r="AK74" s="121">
        <f>+Actuals!AH356</f>
        <v>0</v>
      </c>
      <c r="AL74" s="120">
        <f>+Actuals!AI356</f>
        <v>0</v>
      </c>
      <c r="AM74" s="121">
        <f>+Actuals!AJ356</f>
        <v>0</v>
      </c>
      <c r="AN74" s="120">
        <f>+Actuals!AK356</f>
        <v>0</v>
      </c>
      <c r="AO74" s="121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0</v>
      </c>
      <c r="F75" s="60">
        <f>'TIE-OUT'!H75+RECLASS!H75</f>
        <v>0</v>
      </c>
      <c r="G75" s="38">
        <f>'TIE-OUT'!I75+RECLASS!AC75</f>
        <v>0</v>
      </c>
      <c r="H75" s="120">
        <f>+Actuals!E357</f>
        <v>0</v>
      </c>
      <c r="I75" s="121">
        <f>+Actuals!F357</f>
        <v>0</v>
      </c>
      <c r="J75" s="120">
        <f>+Actuals!G357</f>
        <v>0</v>
      </c>
      <c r="K75" s="121">
        <f>+Actuals!H357</f>
        <v>0</v>
      </c>
      <c r="L75" s="120">
        <f>+Actuals!I357</f>
        <v>0</v>
      </c>
      <c r="M75" s="121">
        <f>+Actuals!J357</f>
        <v>0</v>
      </c>
      <c r="N75" s="120">
        <f>+Actuals!K357</f>
        <v>0</v>
      </c>
      <c r="O75" s="121">
        <f>+Actuals!L357</f>
        <v>0</v>
      </c>
      <c r="P75" s="120">
        <f>+Actuals!M357</f>
        <v>0</v>
      </c>
      <c r="Q75" s="121">
        <f>+Actuals!N357</f>
        <v>0</v>
      </c>
      <c r="R75" s="120">
        <f>+Actuals!O357</f>
        <v>0</v>
      </c>
      <c r="S75" s="121">
        <f>+Actuals!P357</f>
        <v>0</v>
      </c>
      <c r="T75" s="120">
        <f>+Actuals!Q357</f>
        <v>0</v>
      </c>
      <c r="U75" s="121">
        <f>+Actuals!R357</f>
        <v>0</v>
      </c>
      <c r="V75" s="120">
        <f>+Actuals!S357</f>
        <v>0</v>
      </c>
      <c r="W75" s="121">
        <f>+Actuals!T357</f>
        <v>0</v>
      </c>
      <c r="X75" s="120">
        <f>+Actuals!U357</f>
        <v>0</v>
      </c>
      <c r="Y75" s="121">
        <f>+Actuals!V357</f>
        <v>0</v>
      </c>
      <c r="Z75" s="120">
        <f>+Actuals!W357</f>
        <v>0</v>
      </c>
      <c r="AA75" s="121">
        <f>+Actuals!X357</f>
        <v>0</v>
      </c>
      <c r="AB75" s="120">
        <f>+Actuals!Y357</f>
        <v>0</v>
      </c>
      <c r="AC75" s="121">
        <f>+Actuals!Z357</f>
        <v>0</v>
      </c>
      <c r="AD75" s="120">
        <f>+Actuals!AA357</f>
        <v>0</v>
      </c>
      <c r="AE75" s="121">
        <f>+Actuals!AB357</f>
        <v>0</v>
      </c>
      <c r="AF75" s="120">
        <f>+Actuals!AC357</f>
        <v>0</v>
      </c>
      <c r="AG75" s="121">
        <f>+Actuals!AD357</f>
        <v>0</v>
      </c>
      <c r="AH75" s="120">
        <f>+Actuals!AE357</f>
        <v>0</v>
      </c>
      <c r="AI75" s="121">
        <f>+Actuals!AF357</f>
        <v>0</v>
      </c>
      <c r="AJ75" s="120">
        <f>+Actuals!AG357</f>
        <v>0</v>
      </c>
      <c r="AK75" s="121">
        <f>+Actuals!AH357</f>
        <v>0</v>
      </c>
      <c r="AL75" s="120">
        <f>+Actuals!AI357</f>
        <v>0</v>
      </c>
      <c r="AM75" s="121">
        <f>+Actuals!AJ357</f>
        <v>0</v>
      </c>
      <c r="AN75" s="120">
        <f>+Actuals!AK357</f>
        <v>0</v>
      </c>
      <c r="AO75" s="121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0</v>
      </c>
      <c r="F76" s="60">
        <f>'TIE-OUT'!H76+RECLASS!H76</f>
        <v>0</v>
      </c>
      <c r="G76" s="38">
        <f>'TIE-OUT'!I76+RECLASS!AC76</f>
        <v>0</v>
      </c>
      <c r="H76" s="120">
        <f>+Actuals!E358</f>
        <v>0</v>
      </c>
      <c r="I76" s="121">
        <f>+Actuals!F358</f>
        <v>0</v>
      </c>
      <c r="J76" s="120">
        <f>+Actuals!G358</f>
        <v>0</v>
      </c>
      <c r="K76" s="121">
        <f>+Actuals!H358</f>
        <v>0</v>
      </c>
      <c r="L76" s="120">
        <f>+Actuals!I358</f>
        <v>0</v>
      </c>
      <c r="M76" s="121">
        <f>+Actuals!J358</f>
        <v>0</v>
      </c>
      <c r="N76" s="120">
        <f>+Actuals!K358</f>
        <v>0</v>
      </c>
      <c r="O76" s="121">
        <f>+Actuals!L358</f>
        <v>0</v>
      </c>
      <c r="P76" s="120">
        <f>+Actuals!M358</f>
        <v>0</v>
      </c>
      <c r="Q76" s="121">
        <f>+Actuals!N358</f>
        <v>0</v>
      </c>
      <c r="R76" s="120">
        <f>+Actuals!O358</f>
        <v>0</v>
      </c>
      <c r="S76" s="121">
        <f>+Actuals!P358</f>
        <v>0</v>
      </c>
      <c r="T76" s="120">
        <f>+Actuals!Q358</f>
        <v>0</v>
      </c>
      <c r="U76" s="121">
        <f>+Actuals!R358</f>
        <v>0</v>
      </c>
      <c r="V76" s="120">
        <f>+Actuals!S358</f>
        <v>0</v>
      </c>
      <c r="W76" s="121">
        <f>+Actuals!T358</f>
        <v>0</v>
      </c>
      <c r="X76" s="120">
        <f>+Actuals!U358</f>
        <v>0</v>
      </c>
      <c r="Y76" s="121">
        <f>+Actuals!V358</f>
        <v>0</v>
      </c>
      <c r="Z76" s="120">
        <f>+Actuals!W358</f>
        <v>0</v>
      </c>
      <c r="AA76" s="121">
        <f>+Actuals!X358</f>
        <v>0</v>
      </c>
      <c r="AB76" s="120">
        <f>+Actuals!Y358</f>
        <v>0</v>
      </c>
      <c r="AC76" s="121">
        <f>+Actuals!Z358</f>
        <v>0</v>
      </c>
      <c r="AD76" s="120">
        <f>+Actuals!AA358</f>
        <v>0</v>
      </c>
      <c r="AE76" s="121">
        <f>+Actuals!AB358</f>
        <v>0</v>
      </c>
      <c r="AF76" s="120">
        <f>+Actuals!AC358</f>
        <v>0</v>
      </c>
      <c r="AG76" s="121">
        <f>+Actuals!AD358</f>
        <v>0</v>
      </c>
      <c r="AH76" s="120">
        <f>+Actuals!AE358</f>
        <v>0</v>
      </c>
      <c r="AI76" s="121">
        <f>+Actuals!AF358</f>
        <v>0</v>
      </c>
      <c r="AJ76" s="120">
        <f>+Actuals!AG358</f>
        <v>0</v>
      </c>
      <c r="AK76" s="121">
        <f>+Actuals!AH358</f>
        <v>0</v>
      </c>
      <c r="AL76" s="120">
        <f>+Actuals!AI358</f>
        <v>0</v>
      </c>
      <c r="AM76" s="121">
        <f>+Actuals!AJ358</f>
        <v>0</v>
      </c>
      <c r="AN76" s="120">
        <f>+Actuals!AK358</f>
        <v>0</v>
      </c>
      <c r="AO76" s="121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'TIE-OUT'!H77+RECLASS!H77</f>
        <v>0</v>
      </c>
      <c r="G77" s="38">
        <f>'TIE-OUT'!I77+RECLASS!AC77</f>
        <v>0</v>
      </c>
      <c r="H77" s="120">
        <f>+Actuals!E359</f>
        <v>0</v>
      </c>
      <c r="I77" s="121">
        <f>+Actuals!F359</f>
        <v>0</v>
      </c>
      <c r="J77" s="120">
        <f>+Actuals!G359</f>
        <v>0</v>
      </c>
      <c r="K77" s="121">
        <f>+Actuals!H359</f>
        <v>0</v>
      </c>
      <c r="L77" s="120">
        <f>+Actuals!I359</f>
        <v>0</v>
      </c>
      <c r="M77" s="121">
        <f>+Actuals!J359</f>
        <v>0</v>
      </c>
      <c r="N77" s="120">
        <f>+Actuals!K359</f>
        <v>0</v>
      </c>
      <c r="O77" s="121">
        <f>+Actuals!L359</f>
        <v>0</v>
      </c>
      <c r="P77" s="120">
        <f>+Actuals!M359</f>
        <v>0</v>
      </c>
      <c r="Q77" s="121">
        <f>+Actuals!N359</f>
        <v>0</v>
      </c>
      <c r="R77" s="120">
        <f>+Actuals!O359</f>
        <v>0</v>
      </c>
      <c r="S77" s="121">
        <f>+Actuals!P359</f>
        <v>0</v>
      </c>
      <c r="T77" s="120">
        <f>+Actuals!Q359</f>
        <v>0</v>
      </c>
      <c r="U77" s="121">
        <f>+Actuals!R359</f>
        <v>0</v>
      </c>
      <c r="V77" s="120">
        <f>+Actuals!S359</f>
        <v>0</v>
      </c>
      <c r="W77" s="121">
        <f>+Actuals!T359</f>
        <v>0</v>
      </c>
      <c r="X77" s="120">
        <f>+Actuals!U359</f>
        <v>0</v>
      </c>
      <c r="Y77" s="121">
        <f>+Actuals!V359</f>
        <v>0</v>
      </c>
      <c r="Z77" s="120">
        <f>+Actuals!W359</f>
        <v>0</v>
      </c>
      <c r="AA77" s="121">
        <f>+Actuals!X359</f>
        <v>0</v>
      </c>
      <c r="AB77" s="120">
        <f>+Actuals!Y359</f>
        <v>0</v>
      </c>
      <c r="AC77" s="121">
        <f>+Actuals!Z359</f>
        <v>0</v>
      </c>
      <c r="AD77" s="120">
        <f>+Actuals!AA359</f>
        <v>0</v>
      </c>
      <c r="AE77" s="121">
        <f>+Actuals!AB359</f>
        <v>0</v>
      </c>
      <c r="AF77" s="120">
        <f>+Actuals!AC359</f>
        <v>0</v>
      </c>
      <c r="AG77" s="121">
        <f>+Actuals!AD359</f>
        <v>0</v>
      </c>
      <c r="AH77" s="120">
        <f>+Actuals!AE359</f>
        <v>0</v>
      </c>
      <c r="AI77" s="121">
        <f>+Actuals!AF359</f>
        <v>0</v>
      </c>
      <c r="AJ77" s="120">
        <f>+Actuals!AG359</f>
        <v>0</v>
      </c>
      <c r="AK77" s="121">
        <f>+Actuals!AH359</f>
        <v>0</v>
      </c>
      <c r="AL77" s="120">
        <f>+Actuals!AI359</f>
        <v>0</v>
      </c>
      <c r="AM77" s="121">
        <f>+Actuals!AJ359</f>
        <v>0</v>
      </c>
      <c r="AN77" s="120">
        <f>+Actuals!AK359</f>
        <v>0</v>
      </c>
      <c r="AO77" s="121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'TIE-OUT'!H78+RECLASS!H78</f>
        <v>0</v>
      </c>
      <c r="G78" s="38">
        <f>'TIE-OUT'!I78+RECLASS!AC78</f>
        <v>0</v>
      </c>
      <c r="H78" s="120">
        <f>+Actuals!E360</f>
        <v>0</v>
      </c>
      <c r="I78" s="121">
        <f>+Actuals!F360</f>
        <v>0</v>
      </c>
      <c r="J78" s="120">
        <f>+Actuals!G360</f>
        <v>0</v>
      </c>
      <c r="K78" s="121">
        <f>+Actuals!H360</f>
        <v>0</v>
      </c>
      <c r="L78" s="120">
        <f>+Actuals!I360</f>
        <v>0</v>
      </c>
      <c r="M78" s="121">
        <f>+Actuals!J360</f>
        <v>0</v>
      </c>
      <c r="N78" s="120">
        <f>+Actuals!K360</f>
        <v>0</v>
      </c>
      <c r="O78" s="121">
        <f>+Actuals!L360</f>
        <v>0</v>
      </c>
      <c r="P78" s="120">
        <f>+Actuals!M360</f>
        <v>0</v>
      </c>
      <c r="Q78" s="121">
        <f>+Actuals!N360</f>
        <v>0</v>
      </c>
      <c r="R78" s="120">
        <f>+Actuals!O360</f>
        <v>0</v>
      </c>
      <c r="S78" s="121">
        <f>+Actuals!P360</f>
        <v>0</v>
      </c>
      <c r="T78" s="120">
        <f>+Actuals!Q360</f>
        <v>0</v>
      </c>
      <c r="U78" s="121">
        <f>+Actuals!R360</f>
        <v>0</v>
      </c>
      <c r="V78" s="120">
        <f>+Actuals!S360</f>
        <v>0</v>
      </c>
      <c r="W78" s="121">
        <f>+Actuals!T360</f>
        <v>0</v>
      </c>
      <c r="X78" s="120">
        <f>+Actuals!U360</f>
        <v>0</v>
      </c>
      <c r="Y78" s="121">
        <f>+Actuals!V360</f>
        <v>0</v>
      </c>
      <c r="Z78" s="120">
        <f>+Actuals!W360</f>
        <v>0</v>
      </c>
      <c r="AA78" s="121">
        <f>+Actuals!X360</f>
        <v>0</v>
      </c>
      <c r="AB78" s="120">
        <f>+Actuals!Y360</f>
        <v>0</v>
      </c>
      <c r="AC78" s="121">
        <f>+Actuals!Z360</f>
        <v>0</v>
      </c>
      <c r="AD78" s="120">
        <f>+Actuals!AA360</f>
        <v>0</v>
      </c>
      <c r="AE78" s="121">
        <f>+Actuals!AB360</f>
        <v>0</v>
      </c>
      <c r="AF78" s="120">
        <f>+Actuals!AC360</f>
        <v>0</v>
      </c>
      <c r="AG78" s="121">
        <f>+Actuals!AD360</f>
        <v>0</v>
      </c>
      <c r="AH78" s="120">
        <f>+Actuals!AE360</f>
        <v>0</v>
      </c>
      <c r="AI78" s="121">
        <f>+Actuals!AF360</f>
        <v>0</v>
      </c>
      <c r="AJ78" s="120">
        <f>+Actuals!AG360</f>
        <v>0</v>
      </c>
      <c r="AK78" s="121">
        <f>+Actuals!AH360</f>
        <v>0</v>
      </c>
      <c r="AL78" s="120">
        <f>+Actuals!AI360</f>
        <v>0</v>
      </c>
      <c r="AM78" s="121">
        <f>+Actuals!AJ360</f>
        <v>0</v>
      </c>
      <c r="AN78" s="120">
        <f>+Actuals!AK360</f>
        <v>0</v>
      </c>
      <c r="AO78" s="121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'TIE-OUT'!H79+RECLASS!H79</f>
        <v>0</v>
      </c>
      <c r="G79" s="38">
        <f>'TIE-OUT'!I79+RECLASS!AC79</f>
        <v>0</v>
      </c>
      <c r="H79" s="120">
        <f>+Actuals!E361</f>
        <v>0</v>
      </c>
      <c r="I79" s="121">
        <f>+Actuals!F361</f>
        <v>0</v>
      </c>
      <c r="J79" s="120">
        <f>+Actuals!G361</f>
        <v>0</v>
      </c>
      <c r="K79" s="121">
        <f>+Actuals!H361</f>
        <v>0</v>
      </c>
      <c r="L79" s="120">
        <f>+Actuals!I361</f>
        <v>0</v>
      </c>
      <c r="M79" s="121">
        <f>+Actuals!J361</f>
        <v>0</v>
      </c>
      <c r="N79" s="120">
        <f>+Actuals!K361</f>
        <v>0</v>
      </c>
      <c r="O79" s="121">
        <f>+Actuals!L361</f>
        <v>0</v>
      </c>
      <c r="P79" s="120">
        <f>+Actuals!M361</f>
        <v>0</v>
      </c>
      <c r="Q79" s="121">
        <f>+Actuals!N361</f>
        <v>0</v>
      </c>
      <c r="R79" s="120">
        <f>+Actuals!O361</f>
        <v>0</v>
      </c>
      <c r="S79" s="121">
        <f>+Actuals!P361</f>
        <v>0</v>
      </c>
      <c r="T79" s="120">
        <f>+Actuals!Q361</f>
        <v>0</v>
      </c>
      <c r="U79" s="121">
        <f>+Actuals!R361</f>
        <v>0</v>
      </c>
      <c r="V79" s="120">
        <f>+Actuals!S361</f>
        <v>0</v>
      </c>
      <c r="W79" s="121">
        <f>+Actuals!T361</f>
        <v>0</v>
      </c>
      <c r="X79" s="120">
        <f>+Actuals!U361</f>
        <v>0</v>
      </c>
      <c r="Y79" s="121">
        <f>+Actuals!V361</f>
        <v>0</v>
      </c>
      <c r="Z79" s="120">
        <f>+Actuals!W361</f>
        <v>0</v>
      </c>
      <c r="AA79" s="121">
        <f>+Actuals!X361</f>
        <v>0</v>
      </c>
      <c r="AB79" s="120">
        <f>+Actuals!Y361</f>
        <v>0</v>
      </c>
      <c r="AC79" s="121">
        <f>+Actuals!Z361</f>
        <v>0</v>
      </c>
      <c r="AD79" s="120">
        <f>+Actuals!AA361</f>
        <v>0</v>
      </c>
      <c r="AE79" s="121">
        <f>+Actuals!AB361</f>
        <v>0</v>
      </c>
      <c r="AF79" s="120">
        <f>+Actuals!AC361</f>
        <v>0</v>
      </c>
      <c r="AG79" s="121">
        <f>+Actuals!AD361</f>
        <v>0</v>
      </c>
      <c r="AH79" s="120">
        <f>+Actuals!AE361</f>
        <v>0</v>
      </c>
      <c r="AI79" s="121">
        <f>+Actuals!AF361</f>
        <v>0</v>
      </c>
      <c r="AJ79" s="120">
        <f>+Actuals!AG361</f>
        <v>0</v>
      </c>
      <c r="AK79" s="121">
        <f>+Actuals!AH361</f>
        <v>0</v>
      </c>
      <c r="AL79" s="120">
        <f>+Actuals!AI361</f>
        <v>0</v>
      </c>
      <c r="AM79" s="121">
        <f>+Actuals!AJ361</f>
        <v>0</v>
      </c>
      <c r="AN79" s="120">
        <f>+Actuals!AK361</f>
        <v>0</v>
      </c>
      <c r="AO79" s="121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'TIE-OUT'!H80+RECLASS!H80</f>
        <v>0</v>
      </c>
      <c r="G80" s="38">
        <f>'TIE-OUT'!I80+RECLASS!AC80</f>
        <v>0</v>
      </c>
      <c r="H80" s="120">
        <f>+Actuals!E362</f>
        <v>0</v>
      </c>
      <c r="I80" s="121">
        <f>+Actuals!F362</f>
        <v>0</v>
      </c>
      <c r="J80" s="120">
        <f>+Actuals!G362</f>
        <v>0</v>
      </c>
      <c r="K80" s="121">
        <f>+Actuals!H362</f>
        <v>0</v>
      </c>
      <c r="L80" s="120">
        <f>+Actuals!I362</f>
        <v>0</v>
      </c>
      <c r="M80" s="121">
        <f>+Actuals!J362</f>
        <v>0</v>
      </c>
      <c r="N80" s="120">
        <f>+Actuals!K362</f>
        <v>0</v>
      </c>
      <c r="O80" s="121">
        <f>+Actuals!L362</f>
        <v>0</v>
      </c>
      <c r="P80" s="120">
        <f>+Actuals!M362</f>
        <v>0</v>
      </c>
      <c r="Q80" s="121">
        <f>+Actuals!N362</f>
        <v>0</v>
      </c>
      <c r="R80" s="120">
        <f>+Actuals!O362</f>
        <v>0</v>
      </c>
      <c r="S80" s="121">
        <f>+Actuals!P362</f>
        <v>0</v>
      </c>
      <c r="T80" s="120">
        <f>+Actuals!Q362</f>
        <v>0</v>
      </c>
      <c r="U80" s="121">
        <f>+Actuals!R362</f>
        <v>0</v>
      </c>
      <c r="V80" s="120">
        <f>+Actuals!S362</f>
        <v>0</v>
      </c>
      <c r="W80" s="121">
        <f>+Actuals!T362</f>
        <v>0</v>
      </c>
      <c r="X80" s="120">
        <f>+Actuals!U362</f>
        <v>0</v>
      </c>
      <c r="Y80" s="121">
        <f>+Actuals!V362</f>
        <v>0</v>
      </c>
      <c r="Z80" s="120">
        <f>+Actuals!W362</f>
        <v>0</v>
      </c>
      <c r="AA80" s="121">
        <f>+Actuals!X362</f>
        <v>0</v>
      </c>
      <c r="AB80" s="120">
        <f>+Actuals!Y362</f>
        <v>0</v>
      </c>
      <c r="AC80" s="121">
        <f>+Actuals!Z362</f>
        <v>0</v>
      </c>
      <c r="AD80" s="120">
        <f>+Actuals!AA362</f>
        <v>0</v>
      </c>
      <c r="AE80" s="121">
        <f>+Actuals!AB362</f>
        <v>0</v>
      </c>
      <c r="AF80" s="120">
        <f>+Actuals!AC362</f>
        <v>0</v>
      </c>
      <c r="AG80" s="121">
        <f>+Actuals!AD362</f>
        <v>0</v>
      </c>
      <c r="AH80" s="120">
        <f>+Actuals!AE362</f>
        <v>0</v>
      </c>
      <c r="AI80" s="121">
        <f>+Actuals!AF362</f>
        <v>0</v>
      </c>
      <c r="AJ80" s="120">
        <f>+Actuals!AG362</f>
        <v>0</v>
      </c>
      <c r="AK80" s="121">
        <f>+Actuals!AH362</f>
        <v>0</v>
      </c>
      <c r="AL80" s="120">
        <f>+Actuals!AI362</f>
        <v>0</v>
      </c>
      <c r="AM80" s="121">
        <f>+Actuals!AJ362</f>
        <v>0</v>
      </c>
      <c r="AN80" s="120">
        <f>+Actuals!AK362</f>
        <v>0</v>
      </c>
      <c r="AO80" s="121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60">
        <f>'TIE-OUT'!H81+RECLASS!H81</f>
        <v>0</v>
      </c>
      <c r="G81" s="38">
        <f>'TIE-OUT'!I81+RECLASS!AC81</f>
        <v>0</v>
      </c>
      <c r="H81" s="120">
        <f>+Actuals!E363</f>
        <v>0</v>
      </c>
      <c r="I81" s="121">
        <f>+Actuals!F363</f>
        <v>0</v>
      </c>
      <c r="J81" s="120">
        <f>+Actuals!G363</f>
        <v>0</v>
      </c>
      <c r="K81" s="121">
        <f>+Actuals!H363</f>
        <v>0</v>
      </c>
      <c r="L81" s="120">
        <f>+Actuals!I363</f>
        <v>0</v>
      </c>
      <c r="M81" s="121">
        <f>+Actuals!J363</f>
        <v>0</v>
      </c>
      <c r="N81" s="120">
        <f>+Actuals!K363</f>
        <v>0</v>
      </c>
      <c r="O81" s="121">
        <f>+Actuals!L363</f>
        <v>0</v>
      </c>
      <c r="P81" s="120">
        <f>+Actuals!M363</f>
        <v>0</v>
      </c>
      <c r="Q81" s="121">
        <f>+Actuals!N363</f>
        <v>0</v>
      </c>
      <c r="R81" s="120">
        <f>+Actuals!O363</f>
        <v>0</v>
      </c>
      <c r="S81" s="121">
        <f>+Actuals!P363</f>
        <v>0</v>
      </c>
      <c r="T81" s="120">
        <f>+Actuals!Q363</f>
        <v>0</v>
      </c>
      <c r="U81" s="121">
        <f>+Actuals!R363</f>
        <v>0</v>
      </c>
      <c r="V81" s="120">
        <f>+Actuals!S363</f>
        <v>0</v>
      </c>
      <c r="W81" s="121">
        <f>+Actuals!T363</f>
        <v>0</v>
      </c>
      <c r="X81" s="120">
        <f>+Actuals!U363</f>
        <v>0</v>
      </c>
      <c r="Y81" s="121">
        <f>+Actuals!V363</f>
        <v>0</v>
      </c>
      <c r="Z81" s="120">
        <f>+Actuals!W363</f>
        <v>0</v>
      </c>
      <c r="AA81" s="121">
        <f>+Actuals!X363</f>
        <v>0</v>
      </c>
      <c r="AB81" s="120">
        <f>+Actuals!Y363</f>
        <v>0</v>
      </c>
      <c r="AC81" s="121">
        <f>+Actuals!Z363</f>
        <v>0</v>
      </c>
      <c r="AD81" s="120">
        <f>+Actuals!AA363</f>
        <v>0</v>
      </c>
      <c r="AE81" s="121">
        <f>+Actuals!AB363</f>
        <v>0</v>
      </c>
      <c r="AF81" s="120">
        <f>+Actuals!AC363</f>
        <v>0</v>
      </c>
      <c r="AG81" s="121">
        <f>+Actuals!AD363</f>
        <v>0</v>
      </c>
      <c r="AH81" s="120">
        <f>+Actuals!AE363</f>
        <v>0</v>
      </c>
      <c r="AI81" s="121">
        <f>+Actuals!AF363</f>
        <v>0</v>
      </c>
      <c r="AJ81" s="120">
        <f>+Actuals!AG363</f>
        <v>0</v>
      </c>
      <c r="AK81" s="121">
        <f>+Actuals!AH363</f>
        <v>0</v>
      </c>
      <c r="AL81" s="120">
        <f>+Actuals!AI363</f>
        <v>0</v>
      </c>
      <c r="AM81" s="121">
        <f>+Actuals!AJ363</f>
        <v>0</v>
      </c>
      <c r="AN81" s="120">
        <f>+Actuals!AK363</f>
        <v>0</v>
      </c>
      <c r="AO81" s="121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2149176.2920000027</v>
      </c>
      <c r="F82" s="91">
        <f>F16+F24+F29+F36+F43+F45+F47+F49</f>
        <v>0</v>
      </c>
      <c r="G82" s="92">
        <f>SUM(G72:G81)+G16+G24+G29+G36+G43+G45+G47+G49+G51+G56+G61+G66</f>
        <v>713061.26</v>
      </c>
      <c r="H82" s="91">
        <f>H16+H24+H29+H36+H43+H45+H47+H49</f>
        <v>0</v>
      </c>
      <c r="I82" s="139">
        <f>SUM(I72:I81)+I16+I24+I29+I36+I43+I45+I47+I49+I51+I56+I61+I66</f>
        <v>-463956.93800000893</v>
      </c>
      <c r="J82" s="91">
        <f>J16+J24+J29+J36+J43+J45+J47+J49</f>
        <v>0</v>
      </c>
      <c r="K82" s="139">
        <f>SUM(K72:K81)+K16+K24+K29+K36+K43+K45+K47+K49+K51+K56+K61+K66</f>
        <v>5129482.0710000014</v>
      </c>
      <c r="L82" s="91">
        <f>L16+L24+L29+L36+L43+L45+L47+L49</f>
        <v>0</v>
      </c>
      <c r="M82" s="92">
        <f>SUM(M72:M81)+M16+M24+M29+M36+M43+M45+M47+M49+M51+M56+M61+M66</f>
        <v>-2773623.02</v>
      </c>
      <c r="N82" s="91">
        <f>N16+N24+N29+N36+N43+N45+N47+N49</f>
        <v>0</v>
      </c>
      <c r="O82" s="92">
        <f>SUM(O72:O81)+O16+O24+O29+O36+O43+O45+O47+O49+O51+O56+O61+O66</f>
        <v>-478918.78299999994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23131.702000000005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V187"/>
  <sheetViews>
    <sheetView zoomScale="75" workbookViewId="0">
      <pane xSplit="3" ySplit="9" topLeftCell="S57" activePane="bottomRight" state="frozen"/>
      <selection activeCell="Z9" sqref="Z9"/>
      <selection pane="topRight" activeCell="Z9" sqref="Z9"/>
      <selection pane="bottomLeft" activeCell="Z9" sqref="Z9"/>
      <selection pane="bottomRight" activeCell="AA90" sqref="AA9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108562799</v>
      </c>
      <c r="E11" s="38">
        <f>SUM(G11,I11,K11,M11,O11,Q11,S11,U11,W11,Y11,AA11,AC11,AE11)</f>
        <v>255183754.83599997</v>
      </c>
      <c r="F11" s="60">
        <f>'TIE-OUT'!J11+RECLASS!H11</f>
        <v>0</v>
      </c>
      <c r="G11" s="38">
        <f>'TIE-OUT'!K11+RECLASS!I11</f>
        <v>1531784</v>
      </c>
      <c r="H11" s="120">
        <f>+Actuals!E244</f>
        <v>105737099</v>
      </c>
      <c r="I11" s="121">
        <f>+Actuals!F244</f>
        <v>247932358.13</v>
      </c>
      <c r="J11" s="120">
        <f>+Actuals!G244</f>
        <v>2837502</v>
      </c>
      <c r="K11" s="121">
        <f>+Actuals!H244</f>
        <v>6493018.04</v>
      </c>
      <c r="L11" s="120">
        <f>+Actuals!I244</f>
        <v>354403</v>
      </c>
      <c r="M11" s="121">
        <f>+Actuals!J244</f>
        <v>1004955.17</v>
      </c>
      <c r="N11" s="120">
        <f>+Actuals!K244</f>
        <v>-369578</v>
      </c>
      <c r="O11" s="121">
        <f>+Actuals!L244</f>
        <v>-706700.5</v>
      </c>
      <c r="P11" s="120">
        <f>+Actuals!M244</f>
        <v>3437</v>
      </c>
      <c r="Q11" s="121">
        <f>+Actuals!N244</f>
        <v>10113.719999999999</v>
      </c>
      <c r="R11" s="120">
        <f>+Actuals!O244</f>
        <v>264</v>
      </c>
      <c r="S11" s="121">
        <f>+Actuals!P244</f>
        <v>370.32</v>
      </c>
      <c r="T11" s="120">
        <f>+Actuals!Q244</f>
        <v>0</v>
      </c>
      <c r="U11" s="121">
        <f>+Actuals!R244</f>
        <v>-1084589.5900000001</v>
      </c>
      <c r="V11" s="120">
        <v>-328</v>
      </c>
      <c r="W11" s="121">
        <v>-623.01400000000001</v>
      </c>
      <c r="X11" s="120">
        <f>+Actuals!U244</f>
        <v>0</v>
      </c>
      <c r="Y11" s="121">
        <f>+Actuals!V244</f>
        <v>0</v>
      </c>
      <c r="Z11" s="120">
        <v>0</v>
      </c>
      <c r="AA11" s="121">
        <v>3068.56</v>
      </c>
      <c r="AB11" s="120">
        <f>+Actuals!Y244</f>
        <v>0</v>
      </c>
      <c r="AC11" s="121">
        <f>+Actuals!Z244</f>
        <v>0</v>
      </c>
      <c r="AD11" s="120">
        <f>+Actuals!AA244</f>
        <v>0</v>
      </c>
      <c r="AE11" s="121">
        <f>+Actuals!AB244</f>
        <v>0</v>
      </c>
      <c r="AF11" s="120">
        <f>+Actuals!AC244</f>
        <v>0</v>
      </c>
      <c r="AG11" s="121">
        <f>+Actuals!AD244</f>
        <v>0</v>
      </c>
      <c r="AH11" s="120">
        <f>+Actuals!AE244</f>
        <v>0</v>
      </c>
      <c r="AI11" s="121">
        <f>+Actuals!AF244</f>
        <v>0</v>
      </c>
      <c r="AJ11" s="120">
        <f>+Actuals!AG244</f>
        <v>0</v>
      </c>
      <c r="AK11" s="121">
        <f>+Actuals!AH244</f>
        <v>0</v>
      </c>
      <c r="AL11" s="120">
        <f>+Actuals!AI244</f>
        <v>0</v>
      </c>
      <c r="AM11" s="121">
        <f>+Actuals!AJ244</f>
        <v>0</v>
      </c>
      <c r="AN11" s="120">
        <f>+Actuals!AK244</f>
        <v>0</v>
      </c>
      <c r="AO11" s="121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-7661463.1100000003</v>
      </c>
      <c r="F12" s="60">
        <f>'TIE-OUT'!J12+RECLASS!H12</f>
        <v>0</v>
      </c>
      <c r="G12" s="38">
        <f>'TIE-OUT'!K12+RECLASS!I12</f>
        <v>-7661463.1100000003</v>
      </c>
      <c r="H12" s="120">
        <f>+Actuals!E245</f>
        <v>0</v>
      </c>
      <c r="I12" s="121">
        <f>+Actuals!F245</f>
        <v>0</v>
      </c>
      <c r="J12" s="120">
        <f>+Actuals!G245</f>
        <v>0</v>
      </c>
      <c r="K12" s="121">
        <f>+Actuals!H245</f>
        <v>0</v>
      </c>
      <c r="L12" s="120">
        <f>+Actuals!I245</f>
        <v>0</v>
      </c>
      <c r="M12" s="121">
        <f>+Actuals!J245</f>
        <v>0</v>
      </c>
      <c r="N12" s="120">
        <f>+Actuals!K245</f>
        <v>0</v>
      </c>
      <c r="O12" s="121">
        <f>+Actuals!L245</f>
        <v>0</v>
      </c>
      <c r="P12" s="120">
        <f>+Actuals!M245</f>
        <v>0</v>
      </c>
      <c r="Q12" s="121">
        <f>+Actuals!N245</f>
        <v>0</v>
      </c>
      <c r="R12" s="120">
        <f>+Actuals!O245</f>
        <v>0</v>
      </c>
      <c r="S12" s="121">
        <f>+Actuals!P245</f>
        <v>0</v>
      </c>
      <c r="T12" s="120">
        <f>+Actuals!Q245</f>
        <v>0</v>
      </c>
      <c r="U12" s="121">
        <f>+Actuals!R245</f>
        <v>0</v>
      </c>
      <c r="V12" s="120">
        <f>+Actuals!S245</f>
        <v>0</v>
      </c>
      <c r="W12" s="121">
        <f>+Actuals!T245</f>
        <v>0</v>
      </c>
      <c r="X12" s="120">
        <f>+Actuals!U245</f>
        <v>0</v>
      </c>
      <c r="Y12" s="121">
        <f>+Actuals!V245</f>
        <v>0</v>
      </c>
      <c r="Z12" s="120">
        <f>+Actuals!W245</f>
        <v>0</v>
      </c>
      <c r="AA12" s="121">
        <f>+Actuals!X245</f>
        <v>0</v>
      </c>
      <c r="AB12" s="120">
        <f>+Actuals!Y245</f>
        <v>0</v>
      </c>
      <c r="AC12" s="121">
        <f>+Actuals!Z245</f>
        <v>0</v>
      </c>
      <c r="AD12" s="120">
        <f>+Actuals!AA245</f>
        <v>0</v>
      </c>
      <c r="AE12" s="121">
        <f>+Actuals!AB245</f>
        <v>0</v>
      </c>
      <c r="AF12" s="120">
        <f>+Actuals!AC245</f>
        <v>0</v>
      </c>
      <c r="AG12" s="121">
        <f>+Actuals!AD245</f>
        <v>0</v>
      </c>
      <c r="AH12" s="120">
        <f>+Actuals!AE245</f>
        <v>0</v>
      </c>
      <c r="AI12" s="121">
        <f>+Actuals!AF245</f>
        <v>0</v>
      </c>
      <c r="AJ12" s="120">
        <f>+Actuals!AG245</f>
        <v>0</v>
      </c>
      <c r="AK12" s="121">
        <f>+Actuals!AH245</f>
        <v>0</v>
      </c>
      <c r="AL12" s="120">
        <f>+Actuals!AI245</f>
        <v>0</v>
      </c>
      <c r="AM12" s="121">
        <f>+Actuals!AJ245</f>
        <v>0</v>
      </c>
      <c r="AN12" s="120">
        <f>+Actuals!AK245</f>
        <v>0</v>
      </c>
      <c r="AO12" s="121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37550214</v>
      </c>
      <c r="E13" s="38">
        <f t="shared" si="0"/>
        <v>88583524</v>
      </c>
      <c r="F13" s="60">
        <f>'TIE-OUT'!J13+RECLASS!H13</f>
        <v>0</v>
      </c>
      <c r="G13" s="38">
        <f>'TIE-OUT'!K13+RECLASS!I13</f>
        <v>0</v>
      </c>
      <c r="H13" s="120">
        <f>+Actuals!E246</f>
        <v>37570214</v>
      </c>
      <c r="I13" s="121">
        <f>+Actuals!F246</f>
        <v>88625124</v>
      </c>
      <c r="J13" s="120">
        <f>+Actuals!G246</f>
        <v>-26364091</v>
      </c>
      <c r="K13" s="121">
        <f>+Actuals!H246</f>
        <v>-63661092</v>
      </c>
      <c r="L13" s="120">
        <f>+Actuals!I246</f>
        <v>0</v>
      </c>
      <c r="M13" s="121">
        <f>+Actuals!J246</f>
        <v>0</v>
      </c>
      <c r="N13" s="120">
        <f>+Actuals!K246</f>
        <v>0</v>
      </c>
      <c r="O13" s="121">
        <f>+Actuals!L246</f>
        <v>0</v>
      </c>
      <c r="P13" s="120">
        <f>+Actuals!M246</f>
        <v>0</v>
      </c>
      <c r="Q13" s="121">
        <f>+Actuals!N246</f>
        <v>0</v>
      </c>
      <c r="R13" s="120">
        <f>+Actuals!O246</f>
        <v>0</v>
      </c>
      <c r="S13" s="121">
        <f>+Actuals!P246</f>
        <v>0</v>
      </c>
      <c r="T13" s="120">
        <f>+Actuals!Q246</f>
        <v>26344091</v>
      </c>
      <c r="U13" s="121">
        <f>+Actuals!R246</f>
        <v>63619492</v>
      </c>
      <c r="V13" s="120">
        <f>+Actuals!S246</f>
        <v>0</v>
      </c>
      <c r="W13" s="121">
        <f>+Actuals!T246</f>
        <v>0</v>
      </c>
      <c r="X13" s="120">
        <f>+Actuals!U246</f>
        <v>0</v>
      </c>
      <c r="Y13" s="121">
        <f>+Actuals!V246</f>
        <v>0</v>
      </c>
      <c r="Z13" s="120">
        <f>+Actuals!W246</f>
        <v>0</v>
      </c>
      <c r="AA13" s="121">
        <f>+Actuals!X246</f>
        <v>0</v>
      </c>
      <c r="AB13" s="120">
        <f>+Actuals!Y246</f>
        <v>0</v>
      </c>
      <c r="AC13" s="121">
        <f>+Actuals!Z246</f>
        <v>0</v>
      </c>
      <c r="AD13" s="120">
        <f>+Actuals!AA246</f>
        <v>0</v>
      </c>
      <c r="AE13" s="121">
        <f>+Actuals!AB246</f>
        <v>0</v>
      </c>
      <c r="AF13" s="120">
        <f>+Actuals!AC246</f>
        <v>0</v>
      </c>
      <c r="AG13" s="121">
        <f>+Actuals!AD246</f>
        <v>0</v>
      </c>
      <c r="AH13" s="120">
        <f>+Actuals!AE246</f>
        <v>0</v>
      </c>
      <c r="AI13" s="121">
        <f>+Actuals!AF246</f>
        <v>0</v>
      </c>
      <c r="AJ13" s="120">
        <f>+Actuals!AG246</f>
        <v>0</v>
      </c>
      <c r="AK13" s="121">
        <f>+Actuals!AH246</f>
        <v>0</v>
      </c>
      <c r="AL13" s="120">
        <f>+Actuals!AI246</f>
        <v>0</v>
      </c>
      <c r="AM13" s="121">
        <f>+Actuals!AJ246</f>
        <v>0</v>
      </c>
      <c r="AN13" s="120">
        <f>+Actuals!AK246</f>
        <v>0</v>
      </c>
      <c r="AO13" s="121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20">
        <f>+Actuals!E247</f>
        <v>0</v>
      </c>
      <c r="I14" s="121">
        <f>+Actuals!F247</f>
        <v>0</v>
      </c>
      <c r="J14" s="120">
        <f>+Actuals!G247</f>
        <v>0</v>
      </c>
      <c r="K14" s="121">
        <f>+Actuals!H247</f>
        <v>0</v>
      </c>
      <c r="L14" s="120">
        <f>+Actuals!I247</f>
        <v>0</v>
      </c>
      <c r="M14" s="121">
        <f>+Actuals!J247</f>
        <v>0</v>
      </c>
      <c r="N14" s="120">
        <f>+Actuals!K247</f>
        <v>0</v>
      </c>
      <c r="O14" s="121">
        <f>+Actuals!L247</f>
        <v>0</v>
      </c>
      <c r="P14" s="120">
        <f>+Actuals!M247</f>
        <v>0</v>
      </c>
      <c r="Q14" s="121">
        <f>+Actuals!N247</f>
        <v>0</v>
      </c>
      <c r="R14" s="120">
        <f>+Actuals!O247</f>
        <v>0</v>
      </c>
      <c r="S14" s="121">
        <f>+Actuals!P247</f>
        <v>0</v>
      </c>
      <c r="T14" s="120">
        <f>+Actuals!Q247</f>
        <v>0</v>
      </c>
      <c r="U14" s="121">
        <f>+Actuals!R247</f>
        <v>0</v>
      </c>
      <c r="V14" s="120">
        <f>+Actuals!S247</f>
        <v>0</v>
      </c>
      <c r="W14" s="121">
        <f>+Actuals!T247</f>
        <v>0</v>
      </c>
      <c r="X14" s="120">
        <f>+Actuals!U247</f>
        <v>0</v>
      </c>
      <c r="Y14" s="121">
        <f>+Actuals!V247</f>
        <v>0</v>
      </c>
      <c r="Z14" s="120">
        <f>+Actuals!W247</f>
        <v>0</v>
      </c>
      <c r="AA14" s="121">
        <f>+Actuals!X247</f>
        <v>0</v>
      </c>
      <c r="AB14" s="120">
        <f>+Actuals!Y247</f>
        <v>0</v>
      </c>
      <c r="AC14" s="121">
        <f>+Actuals!Z247</f>
        <v>0</v>
      </c>
      <c r="AD14" s="120">
        <f>+Actuals!AA247</f>
        <v>0</v>
      </c>
      <c r="AE14" s="121">
        <f>+Actuals!AB247</f>
        <v>0</v>
      </c>
      <c r="AF14" s="120">
        <f>+Actuals!AC247</f>
        <v>0</v>
      </c>
      <c r="AG14" s="121">
        <f>+Actuals!AD247</f>
        <v>0</v>
      </c>
      <c r="AH14" s="120">
        <f>+Actuals!AE247</f>
        <v>0</v>
      </c>
      <c r="AI14" s="121">
        <f>+Actuals!AF247</f>
        <v>0</v>
      </c>
      <c r="AJ14" s="120">
        <f>+Actuals!AG247</f>
        <v>0</v>
      </c>
      <c r="AK14" s="121">
        <f>+Actuals!AH247</f>
        <v>0</v>
      </c>
      <c r="AL14" s="120">
        <f>+Actuals!AI247</f>
        <v>0</v>
      </c>
      <c r="AM14" s="121">
        <f>+Actuals!AJ247</f>
        <v>0</v>
      </c>
      <c r="AN14" s="120">
        <f>+Actuals!AK247</f>
        <v>0</v>
      </c>
      <c r="AO14" s="121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879055.2699999999</v>
      </c>
      <c r="F15" s="81">
        <f>'TIE-OUT'!J15+RECLASS!H15</f>
        <v>0</v>
      </c>
      <c r="G15" s="82">
        <f>'TIE-OUT'!K15+RECLASS!I15</f>
        <v>-1299073</v>
      </c>
      <c r="H15" s="120">
        <f>+Actuals!E248</f>
        <v>0</v>
      </c>
      <c r="I15" s="121">
        <f>+Actuals!F248</f>
        <v>2073543.27</v>
      </c>
      <c r="J15" s="120">
        <f>+Actuals!G248</f>
        <v>0</v>
      </c>
      <c r="K15" s="121">
        <f>+Actuals!H248</f>
        <v>102064.44</v>
      </c>
      <c r="L15" s="120">
        <f>+Actuals!I248</f>
        <v>0</v>
      </c>
      <c r="M15" s="121">
        <f>+Actuals!J248</f>
        <v>-18.850000000000001</v>
      </c>
      <c r="N15" s="120">
        <f>+Actuals!K248</f>
        <v>0</v>
      </c>
      <c r="O15" s="121">
        <f>+Actuals!L248</f>
        <v>1842.46</v>
      </c>
      <c r="P15" s="120">
        <f>+Actuals!M248</f>
        <v>0</v>
      </c>
      <c r="Q15" s="121">
        <f>+Actuals!N248</f>
        <v>696.95</v>
      </c>
      <c r="R15" s="120">
        <f>+Actuals!O248</f>
        <v>0</v>
      </c>
      <c r="S15" s="121">
        <f>+Actuals!P248</f>
        <v>0</v>
      </c>
      <c r="T15" s="120">
        <f>+Actuals!Q248</f>
        <v>0</v>
      </c>
      <c r="U15" s="121">
        <f>+Actuals!R248</f>
        <v>0</v>
      </c>
      <c r="V15" s="120">
        <f>+Actuals!S248</f>
        <v>0</v>
      </c>
      <c r="W15" s="121">
        <f>+Actuals!T248</f>
        <v>0</v>
      </c>
      <c r="X15" s="120">
        <f>+Actuals!U248</f>
        <v>0</v>
      </c>
      <c r="Y15" s="121">
        <f>+Actuals!V248</f>
        <v>0</v>
      </c>
      <c r="Z15" s="120">
        <f>+Actuals!W248</f>
        <v>0</v>
      </c>
      <c r="AA15" s="121">
        <f>+Actuals!X248</f>
        <v>0</v>
      </c>
      <c r="AB15" s="120">
        <f>+Actuals!Y248</f>
        <v>0</v>
      </c>
      <c r="AC15" s="121">
        <f>+Actuals!Z248</f>
        <v>0</v>
      </c>
      <c r="AD15" s="120">
        <f>+Actuals!AA248</f>
        <v>0</v>
      </c>
      <c r="AE15" s="121">
        <f>+Actuals!AB248</f>
        <v>0</v>
      </c>
      <c r="AF15" s="120">
        <f>+Actuals!AC248</f>
        <v>0</v>
      </c>
      <c r="AG15" s="121">
        <f>+Actuals!AD248</f>
        <v>0</v>
      </c>
      <c r="AH15" s="120">
        <f>+Actuals!AE248</f>
        <v>0</v>
      </c>
      <c r="AI15" s="121">
        <f>+Actuals!AF248</f>
        <v>0</v>
      </c>
      <c r="AJ15" s="120">
        <f>+Actuals!AG248</f>
        <v>0</v>
      </c>
      <c r="AK15" s="121">
        <f>+Actuals!AH248</f>
        <v>0</v>
      </c>
      <c r="AL15" s="120">
        <f>+Actuals!AI248</f>
        <v>0</v>
      </c>
      <c r="AM15" s="121">
        <f>+Actuals!AJ248</f>
        <v>0</v>
      </c>
      <c r="AN15" s="120">
        <f>+Actuals!AK248</f>
        <v>0</v>
      </c>
      <c r="AO15" s="121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146113013</v>
      </c>
      <c r="E16" s="39">
        <f t="shared" si="1"/>
        <v>336984870.99599993</v>
      </c>
      <c r="F16" s="61">
        <f t="shared" si="1"/>
        <v>0</v>
      </c>
      <c r="G16" s="39">
        <f t="shared" si="1"/>
        <v>-7428752.1100000003</v>
      </c>
      <c r="H16" s="61">
        <f t="shared" si="1"/>
        <v>143307313</v>
      </c>
      <c r="I16" s="39">
        <f t="shared" si="1"/>
        <v>338631025.39999998</v>
      </c>
      <c r="J16" s="61">
        <f t="shared" ref="J16:AO16" si="2">SUM(J11:J15)</f>
        <v>-23526589</v>
      </c>
      <c r="K16" s="39">
        <f t="shared" si="2"/>
        <v>-57066009.520000003</v>
      </c>
      <c r="L16" s="61">
        <f t="shared" si="2"/>
        <v>354403</v>
      </c>
      <c r="M16" s="39">
        <f t="shared" si="2"/>
        <v>1004936.3200000001</v>
      </c>
      <c r="N16" s="61">
        <f t="shared" ref="N16:S16" si="3">SUM(N11:N15)</f>
        <v>-369578</v>
      </c>
      <c r="O16" s="39">
        <f t="shared" si="3"/>
        <v>-704858.04</v>
      </c>
      <c r="P16" s="61">
        <f t="shared" si="3"/>
        <v>3437</v>
      </c>
      <c r="Q16" s="39">
        <f t="shared" si="3"/>
        <v>10810.67</v>
      </c>
      <c r="R16" s="61">
        <f t="shared" si="3"/>
        <v>264</v>
      </c>
      <c r="S16" s="39">
        <f t="shared" si="3"/>
        <v>370.32</v>
      </c>
      <c r="T16" s="61">
        <f t="shared" si="2"/>
        <v>26344091</v>
      </c>
      <c r="U16" s="39">
        <f t="shared" si="2"/>
        <v>62534902.409999996</v>
      </c>
      <c r="V16" s="61">
        <f t="shared" si="2"/>
        <v>-328</v>
      </c>
      <c r="W16" s="39">
        <f t="shared" si="2"/>
        <v>-623.01400000000001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3068.56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-120375059</v>
      </c>
      <c r="E19" s="38">
        <f t="shared" si="4"/>
        <v>-270529376.24999994</v>
      </c>
      <c r="F19" s="64">
        <f>'TIE-OUT'!J19+RECLASS!H19</f>
        <v>0</v>
      </c>
      <c r="G19" s="68">
        <f>'TIE-OUT'!K19+RECLASS!I19</f>
        <v>3656085</v>
      </c>
      <c r="H19" s="120">
        <f>+Actuals!E249</f>
        <v>-108052123</v>
      </c>
      <c r="I19" s="121">
        <f>+Actuals!F249</f>
        <v>-246022805.36999997</v>
      </c>
      <c r="J19" s="120">
        <f>+Actuals!G249</f>
        <v>-7492000</v>
      </c>
      <c r="K19" s="121">
        <f>+Actuals!H249</f>
        <v>-13588641.219999999</v>
      </c>
      <c r="L19" s="120">
        <f>+Actuals!I249</f>
        <v>187153</v>
      </c>
      <c r="M19" s="121">
        <f>+Actuals!J249</f>
        <v>-1700987.98</v>
      </c>
      <c r="N19" s="120">
        <f>+Actuals!K249</f>
        <v>-5007645</v>
      </c>
      <c r="O19" s="121">
        <f>+Actuals!L249</f>
        <v>-12987787.6</v>
      </c>
      <c r="P19" s="120">
        <f>+Actuals!M249</f>
        <v>-6687</v>
      </c>
      <c r="Q19" s="121">
        <f>+Actuals!N249</f>
        <v>114707.03</v>
      </c>
      <c r="R19" s="120">
        <f>+Actuals!O249</f>
        <v>-4008</v>
      </c>
      <c r="S19" s="121">
        <f>+Actuals!P249</f>
        <v>-17042.96</v>
      </c>
      <c r="T19" s="120">
        <f>+Actuals!Q249</f>
        <v>-3277</v>
      </c>
      <c r="U19" s="121">
        <f>+Actuals!R249</f>
        <v>-6426.71</v>
      </c>
      <c r="V19" s="120">
        <v>-30087</v>
      </c>
      <c r="W19" s="121">
        <v>82.92</v>
      </c>
      <c r="X19" s="120">
        <v>-4785312</v>
      </c>
      <c r="Y19" s="121">
        <v>-10502561.880000001</v>
      </c>
      <c r="Z19" s="120">
        <v>4818927</v>
      </c>
      <c r="AA19" s="121">
        <v>10526002.52</v>
      </c>
      <c r="AB19" s="120">
        <f>+Actuals!Y249</f>
        <v>0</v>
      </c>
      <c r="AC19" s="121">
        <f>+Actuals!Z249</f>
        <v>0</v>
      </c>
      <c r="AD19" s="120">
        <f>+Actuals!AA249</f>
        <v>0</v>
      </c>
      <c r="AE19" s="121">
        <f>+Actuals!AB249</f>
        <v>0</v>
      </c>
      <c r="AF19" s="120">
        <f>+Actuals!AC249</f>
        <v>0</v>
      </c>
      <c r="AG19" s="121">
        <f>+Actuals!AD249</f>
        <v>0</v>
      </c>
      <c r="AH19" s="120">
        <f>+Actuals!AE249</f>
        <v>0</v>
      </c>
      <c r="AI19" s="121">
        <f>+Actuals!AF249</f>
        <v>0</v>
      </c>
      <c r="AJ19" s="120">
        <f>+Actuals!AG249</f>
        <v>0</v>
      </c>
      <c r="AK19" s="121">
        <f>+Actuals!AH249</f>
        <v>0</v>
      </c>
      <c r="AL19" s="120">
        <f>+Actuals!AI249</f>
        <v>0</v>
      </c>
      <c r="AM19" s="121">
        <f>+Actuals!AJ249</f>
        <v>0</v>
      </c>
      <c r="AN19" s="120">
        <f>+Actuals!AK249</f>
        <v>0</v>
      </c>
      <c r="AO19" s="121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3736298.0500000003</v>
      </c>
      <c r="F20" s="60">
        <f>'TIE-OUT'!J20+RECLASS!H20</f>
        <v>0</v>
      </c>
      <c r="G20" s="38">
        <f>'TIE-OUT'!K20+RECLASS!I20</f>
        <v>3346971.85</v>
      </c>
      <c r="H20" s="120">
        <f>+Actuals!E250</f>
        <v>0</v>
      </c>
      <c r="I20" s="121">
        <f>+Actuals!F250</f>
        <v>0</v>
      </c>
      <c r="J20" s="120">
        <f>+Actuals!G250</f>
        <v>0</v>
      </c>
      <c r="K20" s="219">
        <f>10144-60470.15-28674.57+19588.9+448738.02</f>
        <v>389326.2</v>
      </c>
      <c r="L20" s="120">
        <f>+Actuals!I250</f>
        <v>0</v>
      </c>
      <c r="M20" s="121">
        <f>+Actuals!J250</f>
        <v>0</v>
      </c>
      <c r="N20" s="120">
        <f>+Actuals!K250</f>
        <v>0</v>
      </c>
      <c r="O20" s="121">
        <f>+Actuals!L250</f>
        <v>0</v>
      </c>
      <c r="P20" s="120">
        <f>+Actuals!M250</f>
        <v>0</v>
      </c>
      <c r="Q20" s="121">
        <f>+Actuals!N250</f>
        <v>0</v>
      </c>
      <c r="R20" s="120">
        <f>+Actuals!O250</f>
        <v>0</v>
      </c>
      <c r="S20" s="121">
        <f>+Actuals!P250</f>
        <v>0</v>
      </c>
      <c r="T20" s="120">
        <f>+Actuals!Q250</f>
        <v>0</v>
      </c>
      <c r="U20" s="121">
        <f>+Actuals!R250</f>
        <v>0</v>
      </c>
      <c r="V20" s="120">
        <f>+Actuals!S250</f>
        <v>0</v>
      </c>
      <c r="W20" s="121">
        <f>+Actuals!T250</f>
        <v>0</v>
      </c>
      <c r="X20" s="120">
        <f>+Actuals!U250</f>
        <v>0</v>
      </c>
      <c r="Y20" s="121">
        <f>+Actuals!V250</f>
        <v>0</v>
      </c>
      <c r="Z20" s="120">
        <f>+Actuals!W250</f>
        <v>0</v>
      </c>
      <c r="AA20" s="121">
        <f>+Actuals!X250</f>
        <v>0</v>
      </c>
      <c r="AB20" s="120">
        <f>+Actuals!Y250</f>
        <v>0</v>
      </c>
      <c r="AC20" s="121">
        <f>+Actuals!Z250</f>
        <v>0</v>
      </c>
      <c r="AD20" s="120">
        <f>+Actuals!AA250</f>
        <v>0</v>
      </c>
      <c r="AE20" s="121">
        <f>+Actuals!AB250</f>
        <v>0</v>
      </c>
      <c r="AF20" s="120">
        <f>+Actuals!AC250</f>
        <v>0</v>
      </c>
      <c r="AG20" s="121">
        <f>+Actuals!AD250</f>
        <v>0</v>
      </c>
      <c r="AH20" s="120">
        <f>+Actuals!AE250</f>
        <v>0</v>
      </c>
      <c r="AI20" s="121">
        <f>+Actuals!AF250</f>
        <v>0</v>
      </c>
      <c r="AJ20" s="120">
        <f>+Actuals!AG250</f>
        <v>0</v>
      </c>
      <c r="AK20" s="121">
        <f>+Actuals!AH250</f>
        <v>0</v>
      </c>
      <c r="AL20" s="120">
        <f>+Actuals!AI250</f>
        <v>0</v>
      </c>
      <c r="AM20" s="121">
        <f>+Actuals!AJ250</f>
        <v>0</v>
      </c>
      <c r="AN20" s="120">
        <f>+Actuals!AK250</f>
        <v>0</v>
      </c>
      <c r="AO20" s="121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-37105350</v>
      </c>
      <c r="E21" s="38">
        <f t="shared" si="4"/>
        <v>-90701481</v>
      </c>
      <c r="F21" s="60">
        <f>'TIE-OUT'!J21+RECLASS!H21</f>
        <v>0</v>
      </c>
      <c r="G21" s="38">
        <f>'TIE-OUT'!K21+RECLASS!I21</f>
        <v>0</v>
      </c>
      <c r="H21" s="120">
        <f>+Actuals!E251</f>
        <v>-36918673</v>
      </c>
      <c r="I21" s="121">
        <f>+Actuals!F251</f>
        <v>-90246395</v>
      </c>
      <c r="J21" s="120">
        <f>+Actuals!G251</f>
        <v>26375154</v>
      </c>
      <c r="K21" s="121">
        <f>+Actuals!H251</f>
        <v>63797158</v>
      </c>
      <c r="L21" s="120">
        <f>+Actuals!I251</f>
        <v>0</v>
      </c>
      <c r="M21" s="121">
        <f>+Actuals!J251</f>
        <v>0</v>
      </c>
      <c r="N21" s="120">
        <f>+Actuals!K251</f>
        <v>0</v>
      </c>
      <c r="O21" s="121">
        <f>+Actuals!L251</f>
        <v>0</v>
      </c>
      <c r="P21" s="120">
        <f>+Actuals!M251</f>
        <v>-2991</v>
      </c>
      <c r="Q21" s="121">
        <f>+Actuals!N251</f>
        <v>-7473</v>
      </c>
      <c r="R21" s="120">
        <f>+Actuals!O251</f>
        <v>0</v>
      </c>
      <c r="S21" s="121">
        <f>+Actuals!P251</f>
        <v>0</v>
      </c>
      <c r="T21" s="120">
        <f>+Actuals!Q251</f>
        <v>-26558840</v>
      </c>
      <c r="U21" s="121">
        <f>+Actuals!R251</f>
        <v>-64244771</v>
      </c>
      <c r="V21" s="120">
        <f>+Actuals!S251</f>
        <v>0</v>
      </c>
      <c r="W21" s="121">
        <f>+Actuals!T251</f>
        <v>0</v>
      </c>
      <c r="X21" s="120">
        <f>+Actuals!U251</f>
        <v>0</v>
      </c>
      <c r="Y21" s="121">
        <f>+Actuals!V251</f>
        <v>0</v>
      </c>
      <c r="Z21" s="120">
        <f>+Actuals!W251</f>
        <v>0</v>
      </c>
      <c r="AA21" s="121">
        <f>+Actuals!X251</f>
        <v>0</v>
      </c>
      <c r="AB21" s="120">
        <f>+Actuals!Y251</f>
        <v>0</v>
      </c>
      <c r="AC21" s="121">
        <f>+Actuals!Z251</f>
        <v>0</v>
      </c>
      <c r="AD21" s="120">
        <f>+Actuals!AA251</f>
        <v>0</v>
      </c>
      <c r="AE21" s="121">
        <f>+Actuals!AB251</f>
        <v>0</v>
      </c>
      <c r="AF21" s="120">
        <f>+Actuals!AC251</f>
        <v>0</v>
      </c>
      <c r="AG21" s="121">
        <f>+Actuals!AD251</f>
        <v>0</v>
      </c>
      <c r="AH21" s="120">
        <f>+Actuals!AE251</f>
        <v>0</v>
      </c>
      <c r="AI21" s="121">
        <f>+Actuals!AF251</f>
        <v>0</v>
      </c>
      <c r="AJ21" s="120">
        <f>+Actuals!AG251</f>
        <v>0</v>
      </c>
      <c r="AK21" s="121">
        <f>+Actuals!AH251</f>
        <v>0</v>
      </c>
      <c r="AL21" s="120">
        <f>+Actuals!AI251</f>
        <v>0</v>
      </c>
      <c r="AM21" s="121">
        <f>+Actuals!AJ251</f>
        <v>0</v>
      </c>
      <c r="AN21" s="120">
        <f>+Actuals!AK251</f>
        <v>0</v>
      </c>
      <c r="AO21" s="121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'TIE-OUT'!J22+RECLASS!H22</f>
        <v>0</v>
      </c>
      <c r="G22" s="38">
        <f>'TIE-OUT'!K22+RECLASS!I22</f>
        <v>0</v>
      </c>
      <c r="H22" s="120">
        <f>+Actuals!E252</f>
        <v>0</v>
      </c>
      <c r="I22" s="121">
        <f>+Actuals!F252</f>
        <v>0</v>
      </c>
      <c r="J22" s="120">
        <f>+Actuals!G252</f>
        <v>0</v>
      </c>
      <c r="K22" s="121">
        <f>+Actuals!H252</f>
        <v>0</v>
      </c>
      <c r="L22" s="120">
        <f>+Actuals!I252</f>
        <v>0</v>
      </c>
      <c r="M22" s="121">
        <f>+Actuals!J252</f>
        <v>0</v>
      </c>
      <c r="N22" s="120">
        <f>+Actuals!K252</f>
        <v>0</v>
      </c>
      <c r="O22" s="121">
        <f>+Actuals!L252</f>
        <v>0</v>
      </c>
      <c r="P22" s="120">
        <f>+Actuals!M252</f>
        <v>0</v>
      </c>
      <c r="Q22" s="121">
        <f>+Actuals!N252</f>
        <v>0</v>
      </c>
      <c r="R22" s="120">
        <f>+Actuals!O252</f>
        <v>0</v>
      </c>
      <c r="S22" s="121">
        <f>+Actuals!P252</f>
        <v>0</v>
      </c>
      <c r="T22" s="120">
        <f>+Actuals!Q252</f>
        <v>0</v>
      </c>
      <c r="U22" s="121">
        <f>+Actuals!R252</f>
        <v>0</v>
      </c>
      <c r="V22" s="120">
        <f>+Actuals!S252</f>
        <v>0</v>
      </c>
      <c r="W22" s="121">
        <f>+Actuals!T252</f>
        <v>0</v>
      </c>
      <c r="X22" s="120">
        <f>+Actuals!U252</f>
        <v>0</v>
      </c>
      <c r="Y22" s="121">
        <f>+Actuals!V252</f>
        <v>0</v>
      </c>
      <c r="Z22" s="120">
        <f>+Actuals!W252</f>
        <v>0</v>
      </c>
      <c r="AA22" s="121">
        <f>+Actuals!X252</f>
        <v>0</v>
      </c>
      <c r="AB22" s="120">
        <f>+Actuals!Y252</f>
        <v>0</v>
      </c>
      <c r="AC22" s="121">
        <f>+Actuals!Z252</f>
        <v>0</v>
      </c>
      <c r="AD22" s="120">
        <f>+Actuals!AA252</f>
        <v>0</v>
      </c>
      <c r="AE22" s="121">
        <f>+Actuals!AB252</f>
        <v>0</v>
      </c>
      <c r="AF22" s="120">
        <f>+Actuals!AC252</f>
        <v>0</v>
      </c>
      <c r="AG22" s="121">
        <f>+Actuals!AD252</f>
        <v>0</v>
      </c>
      <c r="AH22" s="120">
        <f>+Actuals!AE252</f>
        <v>0</v>
      </c>
      <c r="AI22" s="121">
        <f>+Actuals!AF252</f>
        <v>0</v>
      </c>
      <c r="AJ22" s="120">
        <f>+Actuals!AG252</f>
        <v>0</v>
      </c>
      <c r="AK22" s="121">
        <f>+Actuals!AH252</f>
        <v>0</v>
      </c>
      <c r="AL22" s="120">
        <f>+Actuals!AI252</f>
        <v>0</v>
      </c>
      <c r="AM22" s="121">
        <f>+Actuals!AJ252</f>
        <v>0</v>
      </c>
      <c r="AN22" s="120">
        <f>+Actuals!AK252</f>
        <v>0</v>
      </c>
      <c r="AO22" s="121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70225</v>
      </c>
      <c r="E23" s="38">
        <f t="shared" si="4"/>
        <v>1838709.4960000005</v>
      </c>
      <c r="F23" s="81">
        <f>'TIE-OUT'!J23+RECLASS!H23</f>
        <v>0</v>
      </c>
      <c r="G23" s="82">
        <f>'TIE-OUT'!K23+RECLASS!I23</f>
        <v>0</v>
      </c>
      <c r="H23" s="120">
        <f>+Actuals!E253</f>
        <v>1092162</v>
      </c>
      <c r="I23" s="121">
        <f>+Actuals!F253</f>
        <v>2382005.3220000002</v>
      </c>
      <c r="J23" s="120">
        <f>+Actuals!G253</f>
        <v>-49633</v>
      </c>
      <c r="K23" s="121">
        <f>+Actuals!H253</f>
        <v>-108249.573</v>
      </c>
      <c r="L23" s="120">
        <f>+Actuals!I253</f>
        <v>-767955</v>
      </c>
      <c r="M23" s="121">
        <f>+Actuals!J253</f>
        <v>10638.918</v>
      </c>
      <c r="N23" s="120">
        <f>+Actuals!K253</f>
        <v>2287</v>
      </c>
      <c r="O23" s="121">
        <f>+Actuals!L253</f>
        <v>4987.9470000000001</v>
      </c>
      <c r="P23" s="120">
        <f>+Actuals!M253</f>
        <v>-214517</v>
      </c>
      <c r="Q23" s="121">
        <f>+Actuals!N253</f>
        <v>-467861.57699999999</v>
      </c>
      <c r="R23" s="120">
        <f>+Actuals!O253</f>
        <v>7829</v>
      </c>
      <c r="S23" s="121">
        <f>+Actuals!P253</f>
        <v>17075.048999999999</v>
      </c>
      <c r="T23" s="120">
        <f>+Actuals!Q253</f>
        <v>0</v>
      </c>
      <c r="U23" s="121">
        <f>+Actuals!R253</f>
        <v>0</v>
      </c>
      <c r="V23" s="120">
        <f>+Actuals!S253</f>
        <v>0</v>
      </c>
      <c r="W23" s="121">
        <f>+Actuals!T253</f>
        <v>0</v>
      </c>
      <c r="X23" s="120">
        <v>22</v>
      </c>
      <c r="Y23" s="121">
        <v>47.98</v>
      </c>
      <c r="Z23" s="120">
        <v>30</v>
      </c>
      <c r="AA23" s="121">
        <v>65.430000000000007</v>
      </c>
      <c r="AB23" s="120">
        <f>+Actuals!Y253</f>
        <v>0</v>
      </c>
      <c r="AC23" s="121">
        <f>+Actuals!Z253</f>
        <v>0</v>
      </c>
      <c r="AD23" s="120">
        <f>+Actuals!AA253</f>
        <v>0</v>
      </c>
      <c r="AE23" s="121">
        <f>+Actuals!AB253</f>
        <v>0</v>
      </c>
      <c r="AF23" s="120">
        <f>+Actuals!AC253</f>
        <v>0</v>
      </c>
      <c r="AG23" s="121">
        <f>+Actuals!AD253</f>
        <v>0</v>
      </c>
      <c r="AH23" s="120">
        <f>+Actuals!AE253</f>
        <v>0</v>
      </c>
      <c r="AI23" s="121">
        <f>+Actuals!AF253</f>
        <v>0</v>
      </c>
      <c r="AJ23" s="120">
        <f>+Actuals!AG253</f>
        <v>0</v>
      </c>
      <c r="AK23" s="121">
        <f>+Actuals!AH253</f>
        <v>0</v>
      </c>
      <c r="AL23" s="120">
        <f>+Actuals!AI253</f>
        <v>0</v>
      </c>
      <c r="AM23" s="121">
        <f>+Actuals!AJ253</f>
        <v>0</v>
      </c>
      <c r="AN23" s="120">
        <f>+Actuals!AK253</f>
        <v>0</v>
      </c>
      <c r="AO23" s="121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-157410184</v>
      </c>
      <c r="E24" s="39">
        <f t="shared" si="5"/>
        <v>-355655849.70399994</v>
      </c>
      <c r="F24" s="61">
        <f t="shared" si="5"/>
        <v>0</v>
      </c>
      <c r="G24" s="39">
        <f t="shared" si="5"/>
        <v>7003056.8499999996</v>
      </c>
      <c r="H24" s="61">
        <f t="shared" si="5"/>
        <v>-143878634</v>
      </c>
      <c r="I24" s="39">
        <f t="shared" si="5"/>
        <v>-333887195.04799998</v>
      </c>
      <c r="J24" s="61">
        <f t="shared" ref="J24:AO24" si="6">SUM(J19:J23)</f>
        <v>18833521</v>
      </c>
      <c r="K24" s="39">
        <f t="shared" si="6"/>
        <v>50489593.407000005</v>
      </c>
      <c r="L24" s="61">
        <f t="shared" si="6"/>
        <v>-580802</v>
      </c>
      <c r="M24" s="39">
        <f t="shared" si="6"/>
        <v>-1690349.0619999999</v>
      </c>
      <c r="N24" s="61">
        <f t="shared" ref="N24:S24" si="7">SUM(N19:N23)</f>
        <v>-5005358</v>
      </c>
      <c r="O24" s="39">
        <f t="shared" si="7"/>
        <v>-12982799.652999999</v>
      </c>
      <c r="P24" s="61">
        <f t="shared" si="7"/>
        <v>-224195</v>
      </c>
      <c r="Q24" s="39">
        <f t="shared" si="7"/>
        <v>-360627.54700000002</v>
      </c>
      <c r="R24" s="61">
        <f t="shared" si="7"/>
        <v>3821</v>
      </c>
      <c r="S24" s="39">
        <f t="shared" si="7"/>
        <v>32.088999999999942</v>
      </c>
      <c r="T24" s="61">
        <f t="shared" si="6"/>
        <v>-26562117</v>
      </c>
      <c r="U24" s="39">
        <f t="shared" si="6"/>
        <v>-64251197.710000001</v>
      </c>
      <c r="V24" s="61">
        <f t="shared" si="6"/>
        <v>-30087</v>
      </c>
      <c r="W24" s="39">
        <f t="shared" si="6"/>
        <v>82.92</v>
      </c>
      <c r="X24" s="61">
        <f t="shared" si="6"/>
        <v>-4785290</v>
      </c>
      <c r="Y24" s="39">
        <f t="shared" si="6"/>
        <v>-10502513.9</v>
      </c>
      <c r="Z24" s="61">
        <f t="shared" si="6"/>
        <v>4818957</v>
      </c>
      <c r="AA24" s="39">
        <f t="shared" si="6"/>
        <v>10526067.949999999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8819141</v>
      </c>
      <c r="E27" s="38">
        <f>SUM(G27,I27,K27,M27,O27,Q27,S27,U27,W27,Y27,AA27,AC27,AE27)</f>
        <v>20761077.809999999</v>
      </c>
      <c r="F27" s="64">
        <f>'TIE-OUT'!J27+RECLASS!H27</f>
        <v>0</v>
      </c>
      <c r="G27" s="68">
        <f>'TIE-OUT'!K27+RECLASS!I27</f>
        <v>0</v>
      </c>
      <c r="H27" s="120">
        <f>+Actuals!E254</f>
        <v>8821041</v>
      </c>
      <c r="I27" s="121">
        <f>+Actuals!F254</f>
        <v>20774435.739999998</v>
      </c>
      <c r="J27" s="120">
        <f>+Actuals!G254</f>
        <v>-11900</v>
      </c>
      <c r="K27" s="121">
        <f>+Actuals!H254</f>
        <v>-35157.93</v>
      </c>
      <c r="L27" s="120">
        <f>+Actuals!I254</f>
        <v>0</v>
      </c>
      <c r="M27" s="121">
        <f>+Actuals!J254</f>
        <v>0</v>
      </c>
      <c r="N27" s="120">
        <f>+Actuals!K254</f>
        <v>10000</v>
      </c>
      <c r="O27" s="121">
        <f>+Actuals!L254</f>
        <v>21800</v>
      </c>
      <c r="P27" s="120">
        <f>+Actuals!M254</f>
        <v>0</v>
      </c>
      <c r="Q27" s="121">
        <f>+Actuals!N254</f>
        <v>0</v>
      </c>
      <c r="R27" s="120">
        <f>+Actuals!O254</f>
        <v>0</v>
      </c>
      <c r="S27" s="121">
        <f>+Actuals!P254</f>
        <v>0</v>
      </c>
      <c r="T27" s="120">
        <f>+Actuals!Q254</f>
        <v>0</v>
      </c>
      <c r="U27" s="121">
        <f>+Actuals!R254</f>
        <v>0</v>
      </c>
      <c r="V27" s="120">
        <f>+Actuals!S254</f>
        <v>0</v>
      </c>
      <c r="W27" s="121">
        <f>+Actuals!T254</f>
        <v>0</v>
      </c>
      <c r="X27" s="120">
        <f>+Actuals!U254</f>
        <v>0</v>
      </c>
      <c r="Y27" s="121">
        <f>+Actuals!V254</f>
        <v>0</v>
      </c>
      <c r="Z27" s="120">
        <f>+Actuals!W254</f>
        <v>0</v>
      </c>
      <c r="AA27" s="121">
        <f>+Actuals!X254</f>
        <v>0</v>
      </c>
      <c r="AB27" s="120">
        <f>+Actuals!Y254</f>
        <v>0</v>
      </c>
      <c r="AC27" s="121">
        <f>+Actuals!Z254</f>
        <v>0</v>
      </c>
      <c r="AD27" s="120">
        <f>+Actuals!AA254</f>
        <v>0</v>
      </c>
      <c r="AE27" s="121">
        <f>+Actuals!AB254</f>
        <v>0</v>
      </c>
      <c r="AF27" s="120">
        <f>+Actuals!AC254</f>
        <v>0</v>
      </c>
      <c r="AG27" s="121">
        <f>+Actuals!AD254</f>
        <v>0</v>
      </c>
      <c r="AH27" s="120">
        <f>+Actuals!AE254</f>
        <v>0</v>
      </c>
      <c r="AI27" s="121">
        <f>+Actuals!AF254</f>
        <v>0</v>
      </c>
      <c r="AJ27" s="120">
        <f>+Actuals!AG254</f>
        <v>0</v>
      </c>
      <c r="AK27" s="121">
        <f>+Actuals!AH254</f>
        <v>0</v>
      </c>
      <c r="AL27" s="120">
        <f>+Actuals!AI254</f>
        <v>0</v>
      </c>
      <c r="AM27" s="121">
        <f>+Actuals!AJ254</f>
        <v>0</v>
      </c>
      <c r="AN27" s="120">
        <f>+Actuals!AK254</f>
        <v>0</v>
      </c>
      <c r="AO27" s="121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-2982950</v>
      </c>
      <c r="E28" s="38">
        <f>SUM(G28,I28,K28,M28,O28,Q28,S28,U28,W28,Y28,AA28,AC28,AE28)</f>
        <v>-6878191.7900000019</v>
      </c>
      <c r="F28" s="81">
        <f>'TIE-OUT'!J28+RECLASS!H28</f>
        <v>0</v>
      </c>
      <c r="G28" s="82">
        <f>'TIE-OUT'!K28+RECLASS!I28</f>
        <v>0</v>
      </c>
      <c r="H28" s="120">
        <f>+Actuals!E255</f>
        <v>-2853092</v>
      </c>
      <c r="I28" s="121">
        <f>+Actuals!F255</f>
        <v>-6565884.9400000004</v>
      </c>
      <c r="J28" s="120">
        <f>+Actuals!G255</f>
        <v>-115929</v>
      </c>
      <c r="K28" s="121">
        <f>+Actuals!H255</f>
        <v>-282300.02</v>
      </c>
      <c r="L28" s="120">
        <f>+Actuals!I255</f>
        <v>-1686</v>
      </c>
      <c r="M28" s="121">
        <f>+Actuals!J255</f>
        <v>-3766.24</v>
      </c>
      <c r="N28" s="120">
        <f>+Actuals!K255</f>
        <v>-8259</v>
      </c>
      <c r="O28" s="121">
        <f>+Actuals!L255</f>
        <v>-16979.05</v>
      </c>
      <c r="P28" s="120">
        <f>+Actuals!M255</f>
        <v>680</v>
      </c>
      <c r="Q28" s="121">
        <f>+Actuals!N255</f>
        <v>1577.6</v>
      </c>
      <c r="R28" s="120">
        <f>+Actuals!O255</f>
        <v>0</v>
      </c>
      <c r="S28" s="121">
        <f>+Actuals!P255</f>
        <v>0</v>
      </c>
      <c r="T28" s="120">
        <f>+Actuals!Q255</f>
        <v>-1</v>
      </c>
      <c r="U28" s="121">
        <f>+Actuals!R255</f>
        <v>-2.5299999999999998</v>
      </c>
      <c r="V28" s="120">
        <f>+Actuals!S255</f>
        <v>0</v>
      </c>
      <c r="W28" s="121">
        <f>+Actuals!T255</f>
        <v>0</v>
      </c>
      <c r="X28" s="120">
        <v>-4529</v>
      </c>
      <c r="Y28" s="121">
        <v>-10571</v>
      </c>
      <c r="Z28" s="120">
        <v>-134</v>
      </c>
      <c r="AA28" s="121">
        <v>-265.61</v>
      </c>
      <c r="AB28" s="120">
        <f>+Actuals!Y255</f>
        <v>0</v>
      </c>
      <c r="AC28" s="121">
        <f>+Actuals!Z255</f>
        <v>0</v>
      </c>
      <c r="AD28" s="120">
        <f>+Actuals!AA255</f>
        <v>0</v>
      </c>
      <c r="AE28" s="121">
        <f>+Actuals!AB255</f>
        <v>0</v>
      </c>
      <c r="AF28" s="120">
        <f>+Actuals!AC255</f>
        <v>0</v>
      </c>
      <c r="AG28" s="121">
        <f>+Actuals!AD255</f>
        <v>0</v>
      </c>
      <c r="AH28" s="120">
        <f>+Actuals!AE255</f>
        <v>0</v>
      </c>
      <c r="AI28" s="121">
        <f>+Actuals!AF255</f>
        <v>0</v>
      </c>
      <c r="AJ28" s="120">
        <f>+Actuals!AG255</f>
        <v>0</v>
      </c>
      <c r="AK28" s="121">
        <f>+Actuals!AH255</f>
        <v>0</v>
      </c>
      <c r="AL28" s="120">
        <f>+Actuals!AI255</f>
        <v>0</v>
      </c>
      <c r="AM28" s="121">
        <f>+Actuals!AJ255</f>
        <v>0</v>
      </c>
      <c r="AN28" s="120">
        <f>+Actuals!AK255</f>
        <v>0</v>
      </c>
      <c r="AO28" s="121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8">SUM(D27:D28)</f>
        <v>5836191</v>
      </c>
      <c r="E29" s="39">
        <f t="shared" si="8"/>
        <v>13882886.019999996</v>
      </c>
      <c r="F29" s="61">
        <f t="shared" si="8"/>
        <v>0</v>
      </c>
      <c r="G29" s="39">
        <f t="shared" si="8"/>
        <v>0</v>
      </c>
      <c r="H29" s="61">
        <f t="shared" si="8"/>
        <v>5967949</v>
      </c>
      <c r="I29" s="39">
        <f t="shared" si="8"/>
        <v>14208550.799999997</v>
      </c>
      <c r="J29" s="61">
        <f t="shared" ref="J29:AO29" si="9">SUM(J27:J28)</f>
        <v>-127829</v>
      </c>
      <c r="K29" s="39">
        <f t="shared" si="9"/>
        <v>-317457.95</v>
      </c>
      <c r="L29" s="61">
        <f t="shared" si="9"/>
        <v>-1686</v>
      </c>
      <c r="M29" s="39">
        <f t="shared" si="9"/>
        <v>-3766.24</v>
      </c>
      <c r="N29" s="61">
        <f t="shared" ref="N29:S29" si="10">SUM(N27:N28)</f>
        <v>1741</v>
      </c>
      <c r="O29" s="39">
        <f t="shared" si="10"/>
        <v>4820.9500000000007</v>
      </c>
      <c r="P29" s="61">
        <f t="shared" si="10"/>
        <v>680</v>
      </c>
      <c r="Q29" s="39">
        <f t="shared" si="10"/>
        <v>1577.6</v>
      </c>
      <c r="R29" s="61">
        <f t="shared" si="10"/>
        <v>0</v>
      </c>
      <c r="S29" s="39">
        <f t="shared" si="10"/>
        <v>0</v>
      </c>
      <c r="T29" s="61">
        <f t="shared" si="9"/>
        <v>-1</v>
      </c>
      <c r="U29" s="39">
        <f t="shared" si="9"/>
        <v>-2.5299999999999998</v>
      </c>
      <c r="V29" s="61">
        <f t="shared" si="9"/>
        <v>0</v>
      </c>
      <c r="W29" s="39">
        <f t="shared" si="9"/>
        <v>0</v>
      </c>
      <c r="X29" s="61">
        <f t="shared" si="9"/>
        <v>-4529</v>
      </c>
      <c r="Y29" s="39">
        <f t="shared" si="9"/>
        <v>-10571</v>
      </c>
      <c r="Z29" s="61">
        <f t="shared" si="9"/>
        <v>-134</v>
      </c>
      <c r="AA29" s="39">
        <f t="shared" si="9"/>
        <v>-265.61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-223435</v>
      </c>
      <c r="E32" s="38">
        <f t="shared" si="11"/>
        <v>-487311.72600000002</v>
      </c>
      <c r="F32" s="64">
        <f>'TIE-OUT'!J32+RECLASS!H32</f>
        <v>0</v>
      </c>
      <c r="G32" s="68">
        <f>'TIE-OUT'!K32+RECLASS!I32</f>
        <v>0</v>
      </c>
      <c r="H32" s="120">
        <f>+Actuals!E256</f>
        <v>-105422</v>
      </c>
      <c r="I32" s="121">
        <f>+Actuals!F256</f>
        <v>-229925.38200000001</v>
      </c>
      <c r="J32" s="120">
        <f>+Actuals!G256</f>
        <v>-1544774</v>
      </c>
      <c r="K32" s="121">
        <f>+Actuals!H256</f>
        <v>-3369152.094</v>
      </c>
      <c r="L32" s="120">
        <f>+Actuals!I256</f>
        <v>134878</v>
      </c>
      <c r="M32" s="121">
        <f>+Actuals!J256</f>
        <v>294168.91800000001</v>
      </c>
      <c r="N32" s="120">
        <f>+Actuals!K256</f>
        <v>1134016</v>
      </c>
      <c r="O32" s="121">
        <f>+Actuals!L256</f>
        <v>2473288.8960000002</v>
      </c>
      <c r="P32" s="120">
        <f>+Actuals!M256</f>
        <v>212362</v>
      </c>
      <c r="Q32" s="121">
        <f>+Actuals!N256</f>
        <v>463161.522</v>
      </c>
      <c r="R32" s="120">
        <f>+Actuals!O256</f>
        <v>-7</v>
      </c>
      <c r="S32" s="121">
        <f>+Actuals!P256</f>
        <v>-15.266999999999999</v>
      </c>
      <c r="T32" s="120">
        <f>+Actuals!Q256</f>
        <v>4221</v>
      </c>
      <c r="U32" s="121">
        <f>+Actuals!R256</f>
        <v>9206.0010000000002</v>
      </c>
      <c r="V32" s="120">
        <v>-9182</v>
      </c>
      <c r="W32" s="121">
        <v>-20025.939999999999</v>
      </c>
      <c r="X32" s="120">
        <v>47787</v>
      </c>
      <c r="Y32" s="121">
        <v>104223.45</v>
      </c>
      <c r="Z32" s="120">
        <v>-97314</v>
      </c>
      <c r="AA32" s="121">
        <v>-212241.83</v>
      </c>
      <c r="AB32" s="120">
        <f>+Actuals!Y256</f>
        <v>0</v>
      </c>
      <c r="AC32" s="121">
        <f>+Actuals!Z256</f>
        <v>0</v>
      </c>
      <c r="AD32" s="120">
        <f>+Actuals!AA256</f>
        <v>0</v>
      </c>
      <c r="AE32" s="121">
        <f>+Actuals!AB256</f>
        <v>0</v>
      </c>
      <c r="AF32" s="120">
        <f>+Actuals!AC256</f>
        <v>0</v>
      </c>
      <c r="AG32" s="121">
        <f>+Actuals!AD256</f>
        <v>0</v>
      </c>
      <c r="AH32" s="120">
        <f>+Actuals!AE256</f>
        <v>0</v>
      </c>
      <c r="AI32" s="121">
        <f>+Actuals!AF256</f>
        <v>0</v>
      </c>
      <c r="AJ32" s="120">
        <f>+Actuals!AG256</f>
        <v>0</v>
      </c>
      <c r="AK32" s="121">
        <f>+Actuals!AH256</f>
        <v>0</v>
      </c>
      <c r="AL32" s="120">
        <f>+Actuals!AI256</f>
        <v>0</v>
      </c>
      <c r="AM32" s="121">
        <f>+Actuals!AJ256</f>
        <v>0</v>
      </c>
      <c r="AN32" s="120">
        <f>+Actuals!AK256</f>
        <v>0</v>
      </c>
      <c r="AO32" s="121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1"/>
        <v>-5677172</v>
      </c>
      <c r="E33" s="38">
        <f t="shared" si="11"/>
        <v>-754280.75</v>
      </c>
      <c r="F33" s="60">
        <f>'TIE-OUT'!J33+RECLASS!H33</f>
        <v>0</v>
      </c>
      <c r="G33" s="38">
        <f>'TIE-OUT'!K33+RECLASS!I33</f>
        <v>0</v>
      </c>
      <c r="H33" s="120">
        <f>+Actuals!E257</f>
        <v>0</v>
      </c>
      <c r="I33" s="121">
        <f>+Actuals!F257</f>
        <v>0</v>
      </c>
      <c r="J33" s="120">
        <f>+Actuals!G257</f>
        <v>-285496</v>
      </c>
      <c r="K33" s="121">
        <f>+Actuals!H257</f>
        <v>-691899.48</v>
      </c>
      <c r="L33" s="120">
        <f>+Actuals!I257</f>
        <v>0</v>
      </c>
      <c r="M33" s="121">
        <f>+Actuals!J257</f>
        <v>0</v>
      </c>
      <c r="N33" s="120">
        <f>+Actuals!K257</f>
        <v>-55</v>
      </c>
      <c r="O33" s="121">
        <f>+Actuals!L257</f>
        <v>0</v>
      </c>
      <c r="P33" s="120">
        <f>+Actuals!M257</f>
        <v>0</v>
      </c>
      <c r="Q33" s="121">
        <f>+Actuals!N257</f>
        <v>-29697.03</v>
      </c>
      <c r="R33" s="120">
        <f>+Actuals!O257</f>
        <v>-121</v>
      </c>
      <c r="S33" s="121">
        <f>+Actuals!P257</f>
        <v>-292.83999999999997</v>
      </c>
      <c r="T33" s="120">
        <f>+Actuals!Q257</f>
        <v>-866029</v>
      </c>
      <c r="U33" s="121">
        <f>+Actuals!R257</f>
        <v>3629.6</v>
      </c>
      <c r="V33" s="120">
        <v>865849</v>
      </c>
      <c r="W33" s="121">
        <f>+Actuals!T257</f>
        <v>0</v>
      </c>
      <c r="X33" s="120">
        <v>-14472</v>
      </c>
      <c r="Y33" s="121">
        <v>-36021</v>
      </c>
      <c r="Z33" s="120">
        <v>-5376848</v>
      </c>
      <c r="AA33" s="121">
        <f>+Actuals!X257</f>
        <v>0</v>
      </c>
      <c r="AB33" s="120">
        <f>+Actuals!Y257</f>
        <v>0</v>
      </c>
      <c r="AC33" s="121">
        <f>+Actuals!Z257</f>
        <v>0</v>
      </c>
      <c r="AD33" s="120">
        <f>+Actuals!AA257</f>
        <v>0</v>
      </c>
      <c r="AE33" s="121">
        <f>+Actuals!AB257</f>
        <v>0</v>
      </c>
      <c r="AF33" s="120">
        <f>+Actuals!AC257</f>
        <v>0</v>
      </c>
      <c r="AG33" s="121">
        <f>+Actuals!AD257</f>
        <v>0</v>
      </c>
      <c r="AH33" s="120">
        <f>+Actuals!AE257</f>
        <v>0</v>
      </c>
      <c r="AI33" s="121">
        <f>+Actuals!AF257</f>
        <v>0</v>
      </c>
      <c r="AJ33" s="120">
        <f>+Actuals!AG257</f>
        <v>0</v>
      </c>
      <c r="AK33" s="121">
        <f>+Actuals!AH257</f>
        <v>0</v>
      </c>
      <c r="AL33" s="120">
        <f>+Actuals!AI257</f>
        <v>0</v>
      </c>
      <c r="AM33" s="121">
        <f>+Actuals!AJ257</f>
        <v>0</v>
      </c>
      <c r="AN33" s="120">
        <f>+Actuals!AK257</f>
        <v>0</v>
      </c>
      <c r="AO33" s="121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1"/>
        <v>195021</v>
      </c>
      <c r="E34" s="38">
        <f t="shared" si="11"/>
        <v>422646.96</v>
      </c>
      <c r="F34" s="60">
        <f>'TIE-OUT'!J34+RECLASS!H34</f>
        <v>0</v>
      </c>
      <c r="G34" s="38">
        <f>'TIE-OUT'!K34+RECLASS!I34</f>
        <v>0</v>
      </c>
      <c r="H34" s="120">
        <f>+Actuals!E258</f>
        <v>0</v>
      </c>
      <c r="I34" s="121">
        <f>+Actuals!F258</f>
        <v>0</v>
      </c>
      <c r="J34" s="120">
        <f>+Actuals!G258</f>
        <v>180180</v>
      </c>
      <c r="K34" s="121">
        <f>+Actuals!H258</f>
        <v>406917.77</v>
      </c>
      <c r="L34" s="120">
        <f>+Actuals!I258</f>
        <v>3220</v>
      </c>
      <c r="M34" s="121">
        <f>+Actuals!J258</f>
        <v>5723.34</v>
      </c>
      <c r="N34" s="120">
        <f>+Actuals!K258</f>
        <v>144</v>
      </c>
      <c r="O34" s="121">
        <f>+Actuals!L258</f>
        <v>335.49</v>
      </c>
      <c r="P34" s="120">
        <f>+Actuals!M258</f>
        <v>3870</v>
      </c>
      <c r="Q34" s="121">
        <f>+Actuals!N258</f>
        <v>8964.17</v>
      </c>
      <c r="R34" s="120">
        <f>+Actuals!O258</f>
        <v>1269</v>
      </c>
      <c r="S34" s="121">
        <f>+Actuals!P258</f>
        <v>703.19</v>
      </c>
      <c r="T34" s="120">
        <f>+Actuals!Q258</f>
        <v>0</v>
      </c>
      <c r="U34" s="121">
        <f>+Actuals!R258</f>
        <v>0</v>
      </c>
      <c r="V34" s="120">
        <v>6338</v>
      </c>
      <c r="W34" s="121">
        <v>16138</v>
      </c>
      <c r="X34" s="120">
        <f>+Actuals!U258</f>
        <v>0</v>
      </c>
      <c r="Y34" s="121">
        <v>-16135</v>
      </c>
      <c r="Z34" s="120">
        <f>+Actuals!W258</f>
        <v>0</v>
      </c>
      <c r="AA34" s="121">
        <f>+Actuals!X258</f>
        <v>0</v>
      </c>
      <c r="AB34" s="120">
        <f>+Actuals!Y258</f>
        <v>0</v>
      </c>
      <c r="AC34" s="121">
        <f>+Actuals!Z258</f>
        <v>0</v>
      </c>
      <c r="AD34" s="120">
        <f>+Actuals!AA258</f>
        <v>0</v>
      </c>
      <c r="AE34" s="121">
        <f>+Actuals!AB258</f>
        <v>0</v>
      </c>
      <c r="AF34" s="120">
        <f>+Actuals!AC258</f>
        <v>0</v>
      </c>
      <c r="AG34" s="121">
        <f>+Actuals!AD258</f>
        <v>0</v>
      </c>
      <c r="AH34" s="120">
        <f>+Actuals!AE258</f>
        <v>0</v>
      </c>
      <c r="AI34" s="121">
        <f>+Actuals!AF258</f>
        <v>0</v>
      </c>
      <c r="AJ34" s="120">
        <f>+Actuals!AG258</f>
        <v>0</v>
      </c>
      <c r="AK34" s="121">
        <f>+Actuals!AH258</f>
        <v>0</v>
      </c>
      <c r="AL34" s="120">
        <f>+Actuals!AI258</f>
        <v>0</v>
      </c>
      <c r="AM34" s="121">
        <f>+Actuals!AJ258</f>
        <v>0</v>
      </c>
      <c r="AN34" s="120">
        <f>+Actuals!AK258</f>
        <v>0</v>
      </c>
      <c r="AO34" s="121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81">
        <f>'TIE-OUT'!J35+RECLASS!H35</f>
        <v>0</v>
      </c>
      <c r="G35" s="82">
        <f>'TIE-OUT'!K35+RECLASS!I35</f>
        <v>0</v>
      </c>
      <c r="H35" s="120">
        <f>+Actuals!E259</f>
        <v>0</v>
      </c>
      <c r="I35" s="121">
        <f>+Actuals!F259</f>
        <v>0</v>
      </c>
      <c r="J35" s="120">
        <f>+Actuals!G259</f>
        <v>0</v>
      </c>
      <c r="K35" s="121">
        <f>+Actuals!H259</f>
        <v>0</v>
      </c>
      <c r="L35" s="120">
        <f>+Actuals!I259</f>
        <v>0</v>
      </c>
      <c r="M35" s="121">
        <f>+Actuals!J259</f>
        <v>0</v>
      </c>
      <c r="N35" s="120">
        <f>+Actuals!K259</f>
        <v>0</v>
      </c>
      <c r="O35" s="121">
        <f>+Actuals!L259</f>
        <v>0</v>
      </c>
      <c r="P35" s="120">
        <f>+Actuals!M259</f>
        <v>0</v>
      </c>
      <c r="Q35" s="121">
        <f>+Actuals!N259</f>
        <v>0</v>
      </c>
      <c r="R35" s="120">
        <f>+Actuals!O259</f>
        <v>0</v>
      </c>
      <c r="S35" s="121">
        <f>+Actuals!P259</f>
        <v>0</v>
      </c>
      <c r="T35" s="120">
        <f>+Actuals!Q259</f>
        <v>0</v>
      </c>
      <c r="U35" s="121">
        <f>+Actuals!R259</f>
        <v>0</v>
      </c>
      <c r="V35" s="120">
        <f>+Actuals!S259</f>
        <v>0</v>
      </c>
      <c r="W35" s="121">
        <f>+Actuals!T259</f>
        <v>0</v>
      </c>
      <c r="X35" s="120">
        <f>+Actuals!U259</f>
        <v>0</v>
      </c>
      <c r="Y35" s="121">
        <f>+Actuals!V259</f>
        <v>0</v>
      </c>
      <c r="Z35" s="120">
        <f>+Actuals!W259</f>
        <v>0</v>
      </c>
      <c r="AA35" s="121">
        <f>+Actuals!X259</f>
        <v>0</v>
      </c>
      <c r="AB35" s="120">
        <f>+Actuals!Y259</f>
        <v>0</v>
      </c>
      <c r="AC35" s="121">
        <f>+Actuals!Z259</f>
        <v>0</v>
      </c>
      <c r="AD35" s="120">
        <f>+Actuals!AA259</f>
        <v>0</v>
      </c>
      <c r="AE35" s="121">
        <f>+Actuals!AB259</f>
        <v>0</v>
      </c>
      <c r="AF35" s="120">
        <f>+Actuals!AC259</f>
        <v>0</v>
      </c>
      <c r="AG35" s="121">
        <f>+Actuals!AD259</f>
        <v>0</v>
      </c>
      <c r="AH35" s="120">
        <f>+Actuals!AE259</f>
        <v>0</v>
      </c>
      <c r="AI35" s="121">
        <f>+Actuals!AF259</f>
        <v>0</v>
      </c>
      <c r="AJ35" s="120">
        <f>+Actuals!AG259</f>
        <v>0</v>
      </c>
      <c r="AK35" s="121">
        <f>+Actuals!AH259</f>
        <v>0</v>
      </c>
      <c r="AL35" s="120">
        <f>+Actuals!AI259</f>
        <v>0</v>
      </c>
      <c r="AM35" s="121">
        <f>+Actuals!AJ259</f>
        <v>0</v>
      </c>
      <c r="AN35" s="120">
        <f>+Actuals!AK259</f>
        <v>0</v>
      </c>
      <c r="AO35" s="121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12">SUM(D32:D35)</f>
        <v>-5705586</v>
      </c>
      <c r="E36" s="39">
        <f t="shared" si="12"/>
        <v>-818945.51600000006</v>
      </c>
      <c r="F36" s="61">
        <f t="shared" si="12"/>
        <v>0</v>
      </c>
      <c r="G36" s="39">
        <f t="shared" si="12"/>
        <v>0</v>
      </c>
      <c r="H36" s="61">
        <f t="shared" si="12"/>
        <v>-105422</v>
      </c>
      <c r="I36" s="39">
        <f t="shared" si="12"/>
        <v>-229925.38200000001</v>
      </c>
      <c r="J36" s="61">
        <f t="shared" ref="J36:AO36" si="13">SUM(J32:J35)</f>
        <v>-1650090</v>
      </c>
      <c r="K36" s="39">
        <f t="shared" si="13"/>
        <v>-3654133.804</v>
      </c>
      <c r="L36" s="61">
        <f t="shared" si="13"/>
        <v>138098</v>
      </c>
      <c r="M36" s="39">
        <f t="shared" si="13"/>
        <v>299892.25800000003</v>
      </c>
      <c r="N36" s="61">
        <f t="shared" ref="N36:S36" si="14">SUM(N32:N35)</f>
        <v>1134105</v>
      </c>
      <c r="O36" s="39">
        <f t="shared" si="14"/>
        <v>2473624.3860000004</v>
      </c>
      <c r="P36" s="61">
        <f t="shared" si="14"/>
        <v>216232</v>
      </c>
      <c r="Q36" s="39">
        <f t="shared" si="14"/>
        <v>442428.66199999995</v>
      </c>
      <c r="R36" s="61">
        <f t="shared" si="14"/>
        <v>1141</v>
      </c>
      <c r="S36" s="39">
        <f t="shared" si="14"/>
        <v>395.08300000000008</v>
      </c>
      <c r="T36" s="61">
        <f t="shared" si="13"/>
        <v>-861808</v>
      </c>
      <c r="U36" s="39">
        <f t="shared" si="13"/>
        <v>12835.601000000001</v>
      </c>
      <c r="V36" s="61">
        <f t="shared" si="13"/>
        <v>863005</v>
      </c>
      <c r="W36" s="39">
        <f t="shared" si="13"/>
        <v>-3887.9399999999987</v>
      </c>
      <c r="X36" s="61">
        <f t="shared" si="13"/>
        <v>33315</v>
      </c>
      <c r="Y36" s="39">
        <f t="shared" si="13"/>
        <v>52067.45</v>
      </c>
      <c r="Z36" s="61">
        <f t="shared" si="13"/>
        <v>-5474162</v>
      </c>
      <c r="AA36" s="39">
        <f t="shared" si="13"/>
        <v>-212241.83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10199580</v>
      </c>
      <c r="E39" s="38">
        <f t="shared" si="15"/>
        <v>22245208</v>
      </c>
      <c r="F39" s="64">
        <f>'TIE-OUT'!J39+RECLASS!H39</f>
        <v>0</v>
      </c>
      <c r="G39" s="68">
        <f>'TIE-OUT'!K39+RECLASS!I39</f>
        <v>-2032788</v>
      </c>
      <c r="H39" s="120">
        <f>+Actuals!E260</f>
        <v>0</v>
      </c>
      <c r="I39" s="121">
        <f>+Actuals!F260</f>
        <v>0</v>
      </c>
      <c r="J39" s="120">
        <f>+Actuals!G260</f>
        <v>0</v>
      </c>
      <c r="K39" s="121">
        <f>+Actuals!H260</f>
        <v>0</v>
      </c>
      <c r="L39" s="120">
        <f>+Actuals!I260</f>
        <v>0</v>
      </c>
      <c r="M39" s="121">
        <f>+Actuals!J260</f>
        <v>0</v>
      </c>
      <c r="N39" s="120">
        <f>+Actuals!K260</f>
        <v>5384310</v>
      </c>
      <c r="O39" s="121">
        <f>+Actuals!L260</f>
        <v>13775968</v>
      </c>
      <c r="P39" s="120">
        <f>+Actuals!M260</f>
        <v>0</v>
      </c>
      <c r="Q39" s="121">
        <f>+Actuals!N260</f>
        <v>0</v>
      </c>
      <c r="R39" s="120">
        <f>+Actuals!O260</f>
        <v>0</v>
      </c>
      <c r="S39" s="121">
        <f>+Actuals!P260</f>
        <v>0</v>
      </c>
      <c r="T39" s="120">
        <f>+Actuals!Q260</f>
        <v>0</v>
      </c>
      <c r="U39" s="121">
        <f>+Actuals!R260</f>
        <v>0</v>
      </c>
      <c r="V39" s="120">
        <f>+Actuals!S260</f>
        <v>0</v>
      </c>
      <c r="W39" s="121">
        <f>+Actuals!T260</f>
        <v>0</v>
      </c>
      <c r="X39" s="120">
        <v>4815270</v>
      </c>
      <c r="Y39" s="121">
        <v>10502028</v>
      </c>
      <c r="Z39" s="120">
        <f>+Actuals!W260</f>
        <v>0</v>
      </c>
      <c r="AA39" s="121">
        <f>+Actuals!X260</f>
        <v>0</v>
      </c>
      <c r="AB39" s="120">
        <f>+Actuals!Y260</f>
        <v>0</v>
      </c>
      <c r="AC39" s="121">
        <f>+Actuals!Z260</f>
        <v>0</v>
      </c>
      <c r="AD39" s="120">
        <f>+Actuals!AA260</f>
        <v>0</v>
      </c>
      <c r="AE39" s="121">
        <f>+Actuals!AB260</f>
        <v>0</v>
      </c>
      <c r="AF39" s="120">
        <f>+Actuals!AC260</f>
        <v>0</v>
      </c>
      <c r="AG39" s="121">
        <f>+Actuals!AD260</f>
        <v>0</v>
      </c>
      <c r="AH39" s="120">
        <f>+Actuals!AE260</f>
        <v>0</v>
      </c>
      <c r="AI39" s="121">
        <f>+Actuals!AF260</f>
        <v>0</v>
      </c>
      <c r="AJ39" s="120">
        <f>+Actuals!AG260</f>
        <v>0</v>
      </c>
      <c r="AK39" s="121">
        <f>+Actuals!AH260</f>
        <v>0</v>
      </c>
      <c r="AL39" s="120">
        <f>+Actuals!AI260</f>
        <v>0</v>
      </c>
      <c r="AM39" s="121">
        <f>+Actuals!AJ260</f>
        <v>0</v>
      </c>
      <c r="AN39" s="120">
        <f>+Actuals!AK260</f>
        <v>0</v>
      </c>
      <c r="AO39" s="121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5"/>
        <v>369299</v>
      </c>
      <c r="E40" s="38">
        <f t="shared" si="15"/>
        <v>-450442.19999999995</v>
      </c>
      <c r="F40" s="60">
        <f>'TIE-OUT'!J40+RECLASS!H40</f>
        <v>0</v>
      </c>
      <c r="G40" s="38">
        <f>'TIE-OUT'!K40+RECLASS!I40</f>
        <v>0</v>
      </c>
      <c r="H40" s="120">
        <f>+Actuals!E261</f>
        <v>-349277</v>
      </c>
      <c r="I40" s="121">
        <f>+Actuals!F261</f>
        <v>-889043.85</v>
      </c>
      <c r="J40" s="120">
        <f>+Actuals!G261</f>
        <v>161899</v>
      </c>
      <c r="K40" s="121">
        <f>+Actuals!H261</f>
        <v>438601.65</v>
      </c>
      <c r="L40" s="120">
        <f>+Actuals!I261</f>
        <v>0</v>
      </c>
      <c r="M40" s="121">
        <f>+Actuals!J261</f>
        <v>0</v>
      </c>
      <c r="N40" s="120">
        <f>+Actuals!K261</f>
        <v>0</v>
      </c>
      <c r="O40" s="121">
        <f>+Actuals!L261</f>
        <v>0</v>
      </c>
      <c r="P40" s="120">
        <f>+Actuals!M261</f>
        <v>0</v>
      </c>
      <c r="Q40" s="121">
        <f>+Actuals!N261</f>
        <v>0</v>
      </c>
      <c r="R40" s="120">
        <f>+Actuals!O261</f>
        <v>0</v>
      </c>
      <c r="S40" s="121">
        <f>+Actuals!P261</f>
        <v>0</v>
      </c>
      <c r="T40" s="120">
        <f>+Actuals!Q261</f>
        <v>-4</v>
      </c>
      <c r="U40" s="121">
        <f>+Actuals!R261</f>
        <v>0</v>
      </c>
      <c r="V40" s="120">
        <v>556681</v>
      </c>
      <c r="W40" s="121">
        <f>+Actuals!T261</f>
        <v>0</v>
      </c>
      <c r="X40" s="120">
        <f>+Actuals!U261</f>
        <v>0</v>
      </c>
      <c r="Y40" s="121">
        <f>+Actuals!V261</f>
        <v>0</v>
      </c>
      <c r="Z40" s="120">
        <f>+Actuals!W261</f>
        <v>0</v>
      </c>
      <c r="AA40" s="121">
        <f>+Actuals!X261</f>
        <v>0</v>
      </c>
      <c r="AB40" s="120">
        <f>+Actuals!Y261</f>
        <v>0</v>
      </c>
      <c r="AC40" s="121">
        <f>+Actuals!Z261</f>
        <v>0</v>
      </c>
      <c r="AD40" s="120">
        <f>+Actuals!AA261</f>
        <v>0</v>
      </c>
      <c r="AE40" s="121">
        <f>+Actuals!AB261</f>
        <v>0</v>
      </c>
      <c r="AF40" s="120">
        <f>+Actuals!AC261</f>
        <v>0</v>
      </c>
      <c r="AG40" s="121">
        <f>+Actuals!AD261</f>
        <v>0</v>
      </c>
      <c r="AH40" s="120">
        <f>+Actuals!AE261</f>
        <v>0</v>
      </c>
      <c r="AI40" s="121">
        <f>+Actuals!AF261</f>
        <v>0</v>
      </c>
      <c r="AJ40" s="120">
        <f>+Actuals!AG261</f>
        <v>0</v>
      </c>
      <c r="AK40" s="121">
        <f>+Actuals!AH261</f>
        <v>0</v>
      </c>
      <c r="AL40" s="120">
        <f>+Actuals!AI261</f>
        <v>0</v>
      </c>
      <c r="AM40" s="121">
        <f>+Actuals!AJ261</f>
        <v>0</v>
      </c>
      <c r="AN40" s="120">
        <f>+Actuals!AK261</f>
        <v>0</v>
      </c>
      <c r="AO40" s="121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'TIE-OUT'!J41+RECLASS!H41</f>
        <v>0</v>
      </c>
      <c r="G41" s="82">
        <f>'TIE-OUT'!K41+RECLASS!I41</f>
        <v>0</v>
      </c>
      <c r="H41" s="120">
        <f>+Actuals!E262</f>
        <v>0</v>
      </c>
      <c r="I41" s="121">
        <f>+Actuals!F262</f>
        <v>0</v>
      </c>
      <c r="J41" s="120">
        <f>+Actuals!G262</f>
        <v>0</v>
      </c>
      <c r="K41" s="121">
        <f>+Actuals!H262</f>
        <v>0</v>
      </c>
      <c r="L41" s="120">
        <f>+Actuals!I262</f>
        <v>0</v>
      </c>
      <c r="M41" s="121">
        <f>+Actuals!J262</f>
        <v>0</v>
      </c>
      <c r="N41" s="120">
        <f>+Actuals!K262</f>
        <v>0</v>
      </c>
      <c r="O41" s="121">
        <f>+Actuals!L262</f>
        <v>0</v>
      </c>
      <c r="P41" s="120">
        <f>+Actuals!M262</f>
        <v>0</v>
      </c>
      <c r="Q41" s="121">
        <f>+Actuals!N262</f>
        <v>0</v>
      </c>
      <c r="R41" s="120">
        <f>+Actuals!O262</f>
        <v>0</v>
      </c>
      <c r="S41" s="121">
        <f>+Actuals!P262</f>
        <v>0</v>
      </c>
      <c r="T41" s="120">
        <f>+Actuals!Q262</f>
        <v>0</v>
      </c>
      <c r="U41" s="121">
        <f>+Actuals!R262</f>
        <v>0</v>
      </c>
      <c r="V41" s="120">
        <f>+Actuals!S262</f>
        <v>0</v>
      </c>
      <c r="W41" s="121">
        <f>+Actuals!T262</f>
        <v>0</v>
      </c>
      <c r="X41" s="120">
        <f>+Actuals!U262</f>
        <v>0</v>
      </c>
      <c r="Y41" s="121">
        <f>+Actuals!V262</f>
        <v>0</v>
      </c>
      <c r="Z41" s="120">
        <f>+Actuals!W262</f>
        <v>0</v>
      </c>
      <c r="AA41" s="121">
        <f>+Actuals!X262</f>
        <v>0</v>
      </c>
      <c r="AB41" s="120">
        <f>+Actuals!Y262</f>
        <v>0</v>
      </c>
      <c r="AC41" s="121">
        <f>+Actuals!Z262</f>
        <v>0</v>
      </c>
      <c r="AD41" s="120">
        <f>+Actuals!AA262</f>
        <v>0</v>
      </c>
      <c r="AE41" s="121">
        <f>+Actuals!AB262</f>
        <v>0</v>
      </c>
      <c r="AF41" s="120">
        <f>+Actuals!AC262</f>
        <v>0</v>
      </c>
      <c r="AG41" s="121">
        <f>+Actuals!AD262</f>
        <v>0</v>
      </c>
      <c r="AH41" s="120">
        <f>+Actuals!AE262</f>
        <v>0</v>
      </c>
      <c r="AI41" s="121">
        <f>+Actuals!AF262</f>
        <v>0</v>
      </c>
      <c r="AJ41" s="120">
        <f>+Actuals!AG262</f>
        <v>0</v>
      </c>
      <c r="AK41" s="121">
        <f>+Actuals!AH262</f>
        <v>0</v>
      </c>
      <c r="AL41" s="120">
        <f>+Actuals!AI262</f>
        <v>0</v>
      </c>
      <c r="AM41" s="121">
        <f>+Actuals!AJ262</f>
        <v>0</v>
      </c>
      <c r="AN41" s="120">
        <f>+Actuals!AK262</f>
        <v>0</v>
      </c>
      <c r="AO41" s="121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6">SUM(D40:D41)</f>
        <v>369299</v>
      </c>
      <c r="E42" s="39">
        <f t="shared" si="16"/>
        <v>-450442.19999999995</v>
      </c>
      <c r="F42" s="61">
        <f t="shared" si="16"/>
        <v>0</v>
      </c>
      <c r="G42" s="39">
        <f t="shared" si="16"/>
        <v>0</v>
      </c>
      <c r="H42" s="61">
        <f t="shared" si="16"/>
        <v>-349277</v>
      </c>
      <c r="I42" s="39">
        <f t="shared" si="16"/>
        <v>-889043.85</v>
      </c>
      <c r="J42" s="61">
        <f t="shared" ref="J42:AO42" si="17">SUM(J40:J41)</f>
        <v>161899</v>
      </c>
      <c r="K42" s="39">
        <f t="shared" si="17"/>
        <v>438601.65</v>
      </c>
      <c r="L42" s="61">
        <f t="shared" si="17"/>
        <v>0</v>
      </c>
      <c r="M42" s="39">
        <f t="shared" si="17"/>
        <v>0</v>
      </c>
      <c r="N42" s="61">
        <f t="shared" ref="N42:S42" si="18">SUM(N40:N41)</f>
        <v>0</v>
      </c>
      <c r="O42" s="39">
        <f t="shared" si="18"/>
        <v>0</v>
      </c>
      <c r="P42" s="61">
        <f t="shared" si="18"/>
        <v>0</v>
      </c>
      <c r="Q42" s="39">
        <f t="shared" si="18"/>
        <v>0</v>
      </c>
      <c r="R42" s="61">
        <f t="shared" si="18"/>
        <v>0</v>
      </c>
      <c r="S42" s="39">
        <f t="shared" si="18"/>
        <v>0</v>
      </c>
      <c r="T42" s="61">
        <f t="shared" si="17"/>
        <v>-4</v>
      </c>
      <c r="U42" s="39">
        <f t="shared" si="17"/>
        <v>0</v>
      </c>
      <c r="V42" s="61">
        <f t="shared" si="17"/>
        <v>556681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9">D42+D39</f>
        <v>10568879</v>
      </c>
      <c r="E43" s="39">
        <f t="shared" si="19"/>
        <v>21794765.800000001</v>
      </c>
      <c r="F43" s="61">
        <f t="shared" si="19"/>
        <v>0</v>
      </c>
      <c r="G43" s="39">
        <f t="shared" si="19"/>
        <v>-2032788</v>
      </c>
      <c r="H43" s="61">
        <f t="shared" si="19"/>
        <v>-349277</v>
      </c>
      <c r="I43" s="39">
        <f t="shared" si="19"/>
        <v>-889043.85</v>
      </c>
      <c r="J43" s="61">
        <f t="shared" ref="J43:AO43" si="20">J42+J39</f>
        <v>161899</v>
      </c>
      <c r="K43" s="39">
        <f t="shared" si="20"/>
        <v>438601.65</v>
      </c>
      <c r="L43" s="61">
        <f t="shared" si="20"/>
        <v>0</v>
      </c>
      <c r="M43" s="39">
        <f t="shared" si="20"/>
        <v>0</v>
      </c>
      <c r="N43" s="61">
        <f t="shared" ref="N43:S43" si="21">N42+N39</f>
        <v>5384310</v>
      </c>
      <c r="O43" s="39">
        <f t="shared" si="21"/>
        <v>13775968</v>
      </c>
      <c r="P43" s="61">
        <f t="shared" si="21"/>
        <v>0</v>
      </c>
      <c r="Q43" s="39">
        <f t="shared" si="21"/>
        <v>0</v>
      </c>
      <c r="R43" s="61">
        <f t="shared" si="21"/>
        <v>0</v>
      </c>
      <c r="S43" s="39">
        <f t="shared" si="21"/>
        <v>0</v>
      </c>
      <c r="T43" s="61">
        <f t="shared" si="20"/>
        <v>-4</v>
      </c>
      <c r="U43" s="39">
        <f t="shared" si="20"/>
        <v>0</v>
      </c>
      <c r="V43" s="61">
        <f t="shared" si="20"/>
        <v>556681</v>
      </c>
      <c r="W43" s="39">
        <f t="shared" si="20"/>
        <v>0</v>
      </c>
      <c r="X43" s="61">
        <f t="shared" si="20"/>
        <v>4815270</v>
      </c>
      <c r="Y43" s="39">
        <f t="shared" si="20"/>
        <v>10502028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20">
        <f>+Actuals!E263</f>
        <v>0</v>
      </c>
      <c r="I45" s="121">
        <f>+Actuals!F263</f>
        <v>0</v>
      </c>
      <c r="J45" s="120">
        <f>+Actuals!G263</f>
        <v>0</v>
      </c>
      <c r="K45" s="121">
        <f>+Actuals!H263</f>
        <v>0</v>
      </c>
      <c r="L45" s="120">
        <f>+Actuals!I263</f>
        <v>0</v>
      </c>
      <c r="M45" s="121">
        <f>+Actuals!J263</f>
        <v>0</v>
      </c>
      <c r="N45" s="120">
        <f>+Actuals!K263</f>
        <v>0</v>
      </c>
      <c r="O45" s="121">
        <f>+Actuals!L263</f>
        <v>0</v>
      </c>
      <c r="P45" s="120">
        <f>+Actuals!M263</f>
        <v>0</v>
      </c>
      <c r="Q45" s="121">
        <f>+Actuals!N263</f>
        <v>0</v>
      </c>
      <c r="R45" s="120">
        <f>+Actuals!O263</f>
        <v>0</v>
      </c>
      <c r="S45" s="121">
        <f>+Actuals!P263</f>
        <v>0</v>
      </c>
      <c r="T45" s="120">
        <f>+Actuals!Q263</f>
        <v>0</v>
      </c>
      <c r="U45" s="121">
        <f>+Actuals!R263</f>
        <v>0</v>
      </c>
      <c r="V45" s="120">
        <f>+Actuals!S263</f>
        <v>0</v>
      </c>
      <c r="W45" s="121">
        <f>+Actuals!T263</f>
        <v>0</v>
      </c>
      <c r="X45" s="120">
        <f>+Actuals!U263</f>
        <v>0</v>
      </c>
      <c r="Y45" s="121">
        <f>+Actuals!V263</f>
        <v>0</v>
      </c>
      <c r="Z45" s="120">
        <f>+Actuals!W263</f>
        <v>0</v>
      </c>
      <c r="AA45" s="121">
        <f>+Actuals!X263</f>
        <v>0</v>
      </c>
      <c r="AB45" s="120">
        <f>+Actuals!Y263</f>
        <v>0</v>
      </c>
      <c r="AC45" s="121">
        <f>+Actuals!Z263</f>
        <v>0</v>
      </c>
      <c r="AD45" s="120">
        <f>+Actuals!AA263</f>
        <v>0</v>
      </c>
      <c r="AE45" s="121">
        <f>+Actuals!AB263</f>
        <v>0</v>
      </c>
      <c r="AF45" s="120">
        <f>+Actuals!AC263</f>
        <v>0</v>
      </c>
      <c r="AG45" s="121">
        <f>+Actuals!AD263</f>
        <v>0</v>
      </c>
      <c r="AH45" s="120">
        <f>+Actuals!AE263</f>
        <v>0</v>
      </c>
      <c r="AI45" s="121">
        <f>+Actuals!AF263</f>
        <v>0</v>
      </c>
      <c r="AJ45" s="120">
        <f>+Actuals!AG263</f>
        <v>0</v>
      </c>
      <c r="AK45" s="121">
        <f>+Actuals!AH263</f>
        <v>0</v>
      </c>
      <c r="AL45" s="120">
        <f>+Actuals!AI263</f>
        <v>0</v>
      </c>
      <c r="AM45" s="121">
        <f>+Actuals!AJ263</f>
        <v>0</v>
      </c>
      <c r="AN45" s="120">
        <f>+Actuals!AK263</f>
        <v>0</v>
      </c>
      <c r="AO45" s="121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20">
        <f>+Actuals!E264</f>
        <v>0</v>
      </c>
      <c r="I47" s="121">
        <f>+Actuals!F264</f>
        <v>0</v>
      </c>
      <c r="J47" s="120">
        <f>+Actuals!G264</f>
        <v>0</v>
      </c>
      <c r="K47" s="121">
        <f>+Actuals!H264</f>
        <v>0</v>
      </c>
      <c r="L47" s="120">
        <f>+Actuals!I264</f>
        <v>0</v>
      </c>
      <c r="M47" s="121">
        <f>+Actuals!J264</f>
        <v>0</v>
      </c>
      <c r="N47" s="120">
        <f>+Actuals!K264</f>
        <v>0</v>
      </c>
      <c r="O47" s="121">
        <f>+Actuals!L264</f>
        <v>0</v>
      </c>
      <c r="P47" s="120">
        <f>+Actuals!M264</f>
        <v>0</v>
      </c>
      <c r="Q47" s="121">
        <f>+Actuals!N264</f>
        <v>0</v>
      </c>
      <c r="R47" s="120">
        <f>+Actuals!O264</f>
        <v>0</v>
      </c>
      <c r="S47" s="121">
        <f>+Actuals!P264</f>
        <v>0</v>
      </c>
      <c r="T47" s="120">
        <f>+Actuals!Q264</f>
        <v>0</v>
      </c>
      <c r="U47" s="121">
        <f>+Actuals!R264</f>
        <v>0</v>
      </c>
      <c r="V47" s="120">
        <f>+Actuals!S264</f>
        <v>0</v>
      </c>
      <c r="W47" s="121">
        <f>+Actuals!T264</f>
        <v>0</v>
      </c>
      <c r="X47" s="120">
        <f>+Actuals!U264</f>
        <v>0</v>
      </c>
      <c r="Y47" s="121">
        <f>+Actuals!V264</f>
        <v>0</v>
      </c>
      <c r="Z47" s="120">
        <f>+Actuals!W264</f>
        <v>0</v>
      </c>
      <c r="AA47" s="121">
        <f>+Actuals!X264</f>
        <v>0</v>
      </c>
      <c r="AB47" s="120">
        <f>+Actuals!Y264</f>
        <v>0</v>
      </c>
      <c r="AC47" s="121">
        <f>+Actuals!Z264</f>
        <v>0</v>
      </c>
      <c r="AD47" s="120">
        <f>+Actuals!AA264</f>
        <v>0</v>
      </c>
      <c r="AE47" s="121">
        <f>+Actuals!AB264</f>
        <v>0</v>
      </c>
      <c r="AF47" s="120">
        <f>+Actuals!AC264</f>
        <v>0</v>
      </c>
      <c r="AG47" s="121">
        <f>+Actuals!AD264</f>
        <v>0</v>
      </c>
      <c r="AH47" s="120">
        <f>+Actuals!AE264</f>
        <v>0</v>
      </c>
      <c r="AI47" s="121">
        <f>+Actuals!AF264</f>
        <v>0</v>
      </c>
      <c r="AJ47" s="120">
        <f>+Actuals!AG264</f>
        <v>0</v>
      </c>
      <c r="AK47" s="121">
        <f>+Actuals!AH264</f>
        <v>0</v>
      </c>
      <c r="AL47" s="120">
        <f>+Actuals!AI264</f>
        <v>0</v>
      </c>
      <c r="AM47" s="121">
        <f>+Actuals!AJ264</f>
        <v>0</v>
      </c>
      <c r="AN47" s="120">
        <f>+Actuals!AK264</f>
        <v>0</v>
      </c>
      <c r="AO47" s="121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597687</v>
      </c>
      <c r="E49" s="38">
        <f>SUM(G49,I49,K49,M49,O49,Q49,S49,U49,W49,Y49,AA49,AC49,AE49)</f>
        <v>1303555.345</v>
      </c>
      <c r="F49" s="60">
        <f>'TIE-OUT'!J49+RECLASS!H49</f>
        <v>0</v>
      </c>
      <c r="G49" s="38">
        <f>'TIE-OUT'!K49+RECLASS!I49</f>
        <v>0</v>
      </c>
      <c r="H49" s="120">
        <f>+Actuals!E265</f>
        <v>-4941929</v>
      </c>
      <c r="I49" s="121">
        <f>+Actuals!F265</f>
        <v>-10778347.149</v>
      </c>
      <c r="J49" s="120">
        <f>+Actuals!G265</f>
        <v>6309088</v>
      </c>
      <c r="K49" s="121">
        <f>+Actuals!H265</f>
        <v>13760120.927999999</v>
      </c>
      <c r="L49" s="120">
        <f>+Actuals!I265</f>
        <v>89987</v>
      </c>
      <c r="M49" s="121">
        <f>+Actuals!J265</f>
        <v>196261.647</v>
      </c>
      <c r="N49" s="120">
        <f>+Actuals!K265</f>
        <v>-1145220</v>
      </c>
      <c r="O49" s="121">
        <f>+Actuals!L265</f>
        <v>-2497724.8199999998</v>
      </c>
      <c r="P49" s="120">
        <f>+Actuals!M265</f>
        <v>3846</v>
      </c>
      <c r="Q49" s="121">
        <f>+Actuals!N265</f>
        <v>8388.1260000000002</v>
      </c>
      <c r="R49" s="120">
        <f>+Actuals!O265</f>
        <v>-5226</v>
      </c>
      <c r="S49" s="121">
        <f>+Actuals!P265</f>
        <v>-11397.906000000001</v>
      </c>
      <c r="T49" s="120">
        <f>+Actuals!Q265</f>
        <v>1079839</v>
      </c>
      <c r="U49" s="121">
        <f>+Actuals!R265</f>
        <v>2355128.8590000002</v>
      </c>
      <c r="V49" s="120">
        <v>-1389271</v>
      </c>
      <c r="W49" s="121">
        <v>-3030000.05</v>
      </c>
      <c r="X49" s="120">
        <v>-58766</v>
      </c>
      <c r="Y49" s="121">
        <v>-128168.65</v>
      </c>
      <c r="Z49" s="120">
        <v>655339</v>
      </c>
      <c r="AA49" s="121">
        <v>1429294.36</v>
      </c>
      <c r="AB49" s="120">
        <f>+Actuals!Y265</f>
        <v>0</v>
      </c>
      <c r="AC49" s="121">
        <f>+Actuals!Z265</f>
        <v>0</v>
      </c>
      <c r="AD49" s="120">
        <f>+Actuals!AA265</f>
        <v>0</v>
      </c>
      <c r="AE49" s="121">
        <f>+Actuals!AB265</f>
        <v>0</v>
      </c>
      <c r="AF49" s="120">
        <f>+Actuals!AC265</f>
        <v>0</v>
      </c>
      <c r="AG49" s="121">
        <f>+Actuals!AD265</f>
        <v>0</v>
      </c>
      <c r="AH49" s="120">
        <f>+Actuals!AE265</f>
        <v>0</v>
      </c>
      <c r="AI49" s="121">
        <f>+Actuals!AF265</f>
        <v>0</v>
      </c>
      <c r="AJ49" s="120">
        <f>+Actuals!AG265</f>
        <v>0</v>
      </c>
      <c r="AK49" s="121">
        <f>+Actuals!AH265</f>
        <v>0</v>
      </c>
      <c r="AL49" s="120">
        <f>+Actuals!AI265</f>
        <v>0</v>
      </c>
      <c r="AM49" s="121">
        <f>+Actuals!AJ265</f>
        <v>0</v>
      </c>
      <c r="AN49" s="120">
        <f>+Actuals!AK265</f>
        <v>0</v>
      </c>
      <c r="AO49" s="121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-843058</v>
      </c>
      <c r="E51" s="38">
        <f>SUM(G51,I51,K51,M51,O51,Q51,S51,U51,W51,Y51,AA51,AC51,AE51)</f>
        <v>-1838709.4960000005</v>
      </c>
      <c r="F51" s="60">
        <f>'TIE-OUT'!J51+RECLASS!H51</f>
        <v>0</v>
      </c>
      <c r="G51" s="38">
        <f>'TIE-OUT'!K51+RECLASS!I51</f>
        <v>0</v>
      </c>
      <c r="H51" s="120">
        <f>+Actuals!E266</f>
        <v>-1092162</v>
      </c>
      <c r="I51" s="121">
        <f>+Actuals!F266</f>
        <v>-2382005.3220000002</v>
      </c>
      <c r="J51" s="120">
        <f>+Actuals!G266</f>
        <v>49633</v>
      </c>
      <c r="K51" s="121">
        <f>+Actuals!H266</f>
        <v>108249.573</v>
      </c>
      <c r="L51" s="120">
        <f>+Actuals!I266</f>
        <v>-4878</v>
      </c>
      <c r="M51" s="121">
        <f>+Actuals!J266</f>
        <v>-10638.918</v>
      </c>
      <c r="N51" s="120">
        <f>+Actuals!K266</f>
        <v>-2287</v>
      </c>
      <c r="O51" s="121">
        <f>+Actuals!L266</f>
        <v>-4987.9470000000001</v>
      </c>
      <c r="P51" s="120">
        <f>+Actuals!M266</f>
        <v>214517</v>
      </c>
      <c r="Q51" s="121">
        <f>+Actuals!N266</f>
        <v>467861.57699999999</v>
      </c>
      <c r="R51" s="120">
        <f>+Actuals!O266</f>
        <v>-7829</v>
      </c>
      <c r="S51" s="121">
        <f>+Actuals!P266</f>
        <v>-17075.048999999999</v>
      </c>
      <c r="T51" s="120">
        <f>+Actuals!Q266</f>
        <v>0</v>
      </c>
      <c r="U51" s="121">
        <f>+Actuals!R266</f>
        <v>0</v>
      </c>
      <c r="V51" s="120">
        <f>+Actuals!S266</f>
        <v>0</v>
      </c>
      <c r="W51" s="121">
        <f>+Actuals!T266</f>
        <v>0</v>
      </c>
      <c r="X51" s="120">
        <v>-22</v>
      </c>
      <c r="Y51" s="121">
        <v>-47.98</v>
      </c>
      <c r="Z51" s="120">
        <v>-30</v>
      </c>
      <c r="AA51" s="121">
        <v>-65.430000000000007</v>
      </c>
      <c r="AB51" s="120">
        <f>+Actuals!Y266</f>
        <v>0</v>
      </c>
      <c r="AC51" s="121">
        <f>+Actuals!Z266</f>
        <v>0</v>
      </c>
      <c r="AD51" s="120">
        <f>+Actuals!AA266</f>
        <v>0</v>
      </c>
      <c r="AE51" s="121">
        <f>+Actuals!AB266</f>
        <v>0</v>
      </c>
      <c r="AF51" s="120">
        <f>+Actuals!AC266</f>
        <v>0</v>
      </c>
      <c r="AG51" s="121">
        <f>+Actuals!AD266</f>
        <v>0</v>
      </c>
      <c r="AH51" s="120">
        <f>+Actuals!AE266</f>
        <v>0</v>
      </c>
      <c r="AI51" s="121">
        <f>+Actuals!AF266</f>
        <v>0</v>
      </c>
      <c r="AJ51" s="120">
        <f>+Actuals!AG266</f>
        <v>0</v>
      </c>
      <c r="AK51" s="121">
        <f>+Actuals!AH266</f>
        <v>0</v>
      </c>
      <c r="AL51" s="120">
        <f>+Actuals!AI266</f>
        <v>0</v>
      </c>
      <c r="AM51" s="121">
        <f>+Actuals!AJ266</f>
        <v>0</v>
      </c>
      <c r="AN51" s="120">
        <f>+Actuals!AK266</f>
        <v>0</v>
      </c>
      <c r="AO51" s="121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-80577416</v>
      </c>
      <c r="E54" s="38">
        <f>SUM(G54,I54,K54,M54,O54,Q54,S54,U54,W54,Y54,AA54,AC54,AE54)</f>
        <v>-123087.97000000006</v>
      </c>
      <c r="F54" s="64">
        <f>'TIE-OUT'!J54+RECLASS!H54</f>
        <v>0</v>
      </c>
      <c r="G54" s="68">
        <f>'TIE-OUT'!K54+RECLASS!I54</f>
        <v>84003</v>
      </c>
      <c r="H54" s="120">
        <f>+Actuals!E267</f>
        <v>-80516992</v>
      </c>
      <c r="I54" s="121">
        <f>+Actuals!F267</f>
        <v>-911761.01</v>
      </c>
      <c r="J54" s="120">
        <f>+Actuals!G267</f>
        <v>7163044</v>
      </c>
      <c r="K54" s="121">
        <f>+Actuals!H267</f>
        <v>240812.31</v>
      </c>
      <c r="L54" s="120">
        <f>+Actuals!I267</f>
        <v>-569430</v>
      </c>
      <c r="M54" s="121">
        <f>+Actuals!J267</f>
        <v>-34711.39</v>
      </c>
      <c r="N54" s="120">
        <f>+Actuals!K267</f>
        <v>-194960</v>
      </c>
      <c r="O54" s="121">
        <f>+Actuals!L267</f>
        <v>-23114.06</v>
      </c>
      <c r="P54" s="120">
        <f>+Actuals!M267</f>
        <v>-212617</v>
      </c>
      <c r="Q54" s="121">
        <f>+Actuals!N267</f>
        <v>-464.31</v>
      </c>
      <c r="R54" s="120">
        <f>+Actuals!O267</f>
        <v>-6274347</v>
      </c>
      <c r="S54" s="121">
        <f>+Actuals!P267</f>
        <v>-134275.72</v>
      </c>
      <c r="T54" s="120">
        <f>+Actuals!Q267</f>
        <v>-12</v>
      </c>
      <c r="U54" s="121">
        <f>+Actuals!R267</f>
        <v>655843.87</v>
      </c>
      <c r="V54" s="120">
        <v>196515</v>
      </c>
      <c r="W54" s="121">
        <v>963.37</v>
      </c>
      <c r="X54" s="120">
        <v>14514</v>
      </c>
      <c r="Y54" s="121">
        <v>8.3699999999999992</v>
      </c>
      <c r="Z54" s="120">
        <v>-183131</v>
      </c>
      <c r="AA54" s="121">
        <v>-392.4</v>
      </c>
      <c r="AB54" s="120">
        <f>+Actuals!Y267</f>
        <v>0</v>
      </c>
      <c r="AC54" s="121">
        <f>+Actuals!Z267</f>
        <v>0</v>
      </c>
      <c r="AD54" s="120">
        <f>+Actuals!AA267</f>
        <v>0</v>
      </c>
      <c r="AE54" s="121">
        <f>+Actuals!AB267</f>
        <v>0</v>
      </c>
      <c r="AF54" s="120">
        <f>+Actuals!AC267</f>
        <v>0</v>
      </c>
      <c r="AG54" s="121">
        <f>+Actuals!AD267</f>
        <v>0</v>
      </c>
      <c r="AH54" s="120">
        <f>+Actuals!AE267</f>
        <v>0</v>
      </c>
      <c r="AI54" s="121">
        <f>+Actuals!AF267</f>
        <v>0</v>
      </c>
      <c r="AJ54" s="120">
        <f>+Actuals!AG267</f>
        <v>0</v>
      </c>
      <c r="AK54" s="121">
        <f>+Actuals!AH267</f>
        <v>0</v>
      </c>
      <c r="AL54" s="120">
        <f>+Actuals!AI267</f>
        <v>0</v>
      </c>
      <c r="AM54" s="121">
        <f>+Actuals!AJ267</f>
        <v>0</v>
      </c>
      <c r="AN54" s="120">
        <f>+Actuals!AK267</f>
        <v>0</v>
      </c>
      <c r="AO54" s="121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-1291824.3600000001</v>
      </c>
      <c r="F55" s="81">
        <f>'TIE-OUT'!J55+RECLASS!H55</f>
        <v>0</v>
      </c>
      <c r="G55" s="82">
        <f>'TIE-OUT'!K55+RECLASS!I55</f>
        <v>86819</v>
      </c>
      <c r="H55" s="120">
        <f>+Actuals!E268</f>
        <v>0</v>
      </c>
      <c r="I55" s="121">
        <f>+Actuals!F268</f>
        <v>-1089160.48</v>
      </c>
      <c r="J55" s="120">
        <f>+Actuals!G268</f>
        <v>0</v>
      </c>
      <c r="K55" s="121">
        <f>+Actuals!H268</f>
        <v>-28147.82</v>
      </c>
      <c r="L55" s="120">
        <f>+Actuals!I268</f>
        <v>0</v>
      </c>
      <c r="M55" s="121">
        <f>+Actuals!J268</f>
        <v>-224854.71</v>
      </c>
      <c r="N55" s="120">
        <f>+Actuals!K268</f>
        <v>0</v>
      </c>
      <c r="O55" s="121">
        <f>+Actuals!L268</f>
        <v>-36186.79</v>
      </c>
      <c r="P55" s="120">
        <f>+Actuals!M268</f>
        <v>0</v>
      </c>
      <c r="Q55" s="121">
        <f>+Actuals!N268</f>
        <v>-125</v>
      </c>
      <c r="R55" s="120">
        <f>+Actuals!O268</f>
        <v>0</v>
      </c>
      <c r="S55" s="121">
        <f>+Actuals!P268</f>
        <v>0</v>
      </c>
      <c r="T55" s="120">
        <f>+Actuals!Q268</f>
        <v>0</v>
      </c>
      <c r="U55" s="121">
        <f>+Actuals!R268</f>
        <v>0</v>
      </c>
      <c r="V55" s="120">
        <f>+Actuals!S268</f>
        <v>0</v>
      </c>
      <c r="W55" s="121">
        <f>+Actuals!T268</f>
        <v>0</v>
      </c>
      <c r="X55" s="120">
        <f>+Actuals!U268</f>
        <v>0</v>
      </c>
      <c r="Y55" s="121">
        <v>-25</v>
      </c>
      <c r="Z55" s="120">
        <f>+Actuals!W268</f>
        <v>0</v>
      </c>
      <c r="AA55" s="121">
        <v>-143.56</v>
      </c>
      <c r="AB55" s="120">
        <f>+Actuals!Y268</f>
        <v>0</v>
      </c>
      <c r="AC55" s="121">
        <f>+Actuals!Z268</f>
        <v>0</v>
      </c>
      <c r="AD55" s="120">
        <f>+Actuals!AA268</f>
        <v>0</v>
      </c>
      <c r="AE55" s="121">
        <f>+Actuals!AB268</f>
        <v>0</v>
      </c>
      <c r="AF55" s="120">
        <f>+Actuals!AC268</f>
        <v>0</v>
      </c>
      <c r="AG55" s="121">
        <f>+Actuals!AD268</f>
        <v>0</v>
      </c>
      <c r="AH55" s="120">
        <f>+Actuals!AE268</f>
        <v>0</v>
      </c>
      <c r="AI55" s="121">
        <f>+Actuals!AF268</f>
        <v>0</v>
      </c>
      <c r="AJ55" s="120">
        <f>+Actuals!AG268</f>
        <v>0</v>
      </c>
      <c r="AK55" s="121">
        <f>+Actuals!AH268</f>
        <v>0</v>
      </c>
      <c r="AL55" s="120">
        <f>+Actuals!AI268</f>
        <v>0</v>
      </c>
      <c r="AM55" s="121">
        <f>+Actuals!AJ268</f>
        <v>0</v>
      </c>
      <c r="AN55" s="120">
        <f>+Actuals!AK268</f>
        <v>0</v>
      </c>
      <c r="AO55" s="121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22">SUM(D54:D55)</f>
        <v>-80577416</v>
      </c>
      <c r="E56" s="39">
        <f t="shared" si="22"/>
        <v>-1414912.33</v>
      </c>
      <c r="F56" s="61">
        <f t="shared" si="22"/>
        <v>0</v>
      </c>
      <c r="G56" s="39">
        <f t="shared" si="22"/>
        <v>170822</v>
      </c>
      <c r="H56" s="61">
        <f t="shared" si="22"/>
        <v>-80516992</v>
      </c>
      <c r="I56" s="39">
        <f t="shared" si="22"/>
        <v>-2000921.49</v>
      </c>
      <c r="J56" s="61">
        <f t="shared" ref="J56:AO56" si="23">SUM(J54:J55)</f>
        <v>7163044</v>
      </c>
      <c r="K56" s="39">
        <f t="shared" si="23"/>
        <v>212664.49</v>
      </c>
      <c r="L56" s="61">
        <f t="shared" si="23"/>
        <v>-569430</v>
      </c>
      <c r="M56" s="39">
        <f t="shared" si="23"/>
        <v>-259566.09999999998</v>
      </c>
      <c r="N56" s="61">
        <f t="shared" ref="N56:S56" si="24">SUM(N54:N55)</f>
        <v>-194960</v>
      </c>
      <c r="O56" s="39">
        <f t="shared" si="24"/>
        <v>-59300.850000000006</v>
      </c>
      <c r="P56" s="61">
        <f t="shared" si="24"/>
        <v>-212617</v>
      </c>
      <c r="Q56" s="39">
        <f t="shared" si="24"/>
        <v>-589.30999999999995</v>
      </c>
      <c r="R56" s="61">
        <f t="shared" si="24"/>
        <v>-6274347</v>
      </c>
      <c r="S56" s="39">
        <f t="shared" si="24"/>
        <v>-134275.72</v>
      </c>
      <c r="T56" s="61">
        <f t="shared" si="23"/>
        <v>-12</v>
      </c>
      <c r="U56" s="39">
        <f t="shared" si="23"/>
        <v>655843.87</v>
      </c>
      <c r="V56" s="61">
        <f t="shared" si="23"/>
        <v>196515</v>
      </c>
      <c r="W56" s="39">
        <f t="shared" si="23"/>
        <v>963.37</v>
      </c>
      <c r="X56" s="61">
        <f t="shared" si="23"/>
        <v>14514</v>
      </c>
      <c r="Y56" s="39">
        <f t="shared" si="23"/>
        <v>-16.630000000000003</v>
      </c>
      <c r="Z56" s="61">
        <f t="shared" si="23"/>
        <v>-183131</v>
      </c>
      <c r="AA56" s="39">
        <f t="shared" si="23"/>
        <v>-535.96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46456.07</v>
      </c>
      <c r="F59" s="64">
        <f>'TIE-OUT'!J59+RECLASS!H59</f>
        <v>0</v>
      </c>
      <c r="G59" s="68">
        <f>'TIE-OUT'!K59+RECLASS!I59</f>
        <v>0</v>
      </c>
      <c r="H59" s="120">
        <f>+Actuals!E269</f>
        <v>0</v>
      </c>
      <c r="I59" s="121">
        <f>+Actuals!F269</f>
        <v>63736</v>
      </c>
      <c r="J59" s="120">
        <f>+Actuals!G269</f>
        <v>0</v>
      </c>
      <c r="K59" s="121">
        <f>+Actuals!H269</f>
        <v>-17279.93</v>
      </c>
      <c r="L59" s="120">
        <f>+Actuals!I269</f>
        <v>0</v>
      </c>
      <c r="M59" s="121">
        <f>+Actuals!J269</f>
        <v>0</v>
      </c>
      <c r="N59" s="120">
        <f>+Actuals!K269</f>
        <v>0</v>
      </c>
      <c r="O59" s="121">
        <f>+Actuals!L269</f>
        <v>0</v>
      </c>
      <c r="P59" s="120">
        <f>+Actuals!M269</f>
        <v>0</v>
      </c>
      <c r="Q59" s="121">
        <f>+Actuals!N269</f>
        <v>0</v>
      </c>
      <c r="R59" s="120">
        <f>+Actuals!O269</f>
        <v>0</v>
      </c>
      <c r="S59" s="121">
        <f>+Actuals!P269</f>
        <v>0</v>
      </c>
      <c r="T59" s="120">
        <f>+Actuals!Q269</f>
        <v>0</v>
      </c>
      <c r="U59" s="121">
        <f>+Actuals!R269</f>
        <v>0</v>
      </c>
      <c r="V59" s="120">
        <f>+Actuals!S269</f>
        <v>0</v>
      </c>
      <c r="W59" s="121">
        <f>+Actuals!T269</f>
        <v>0</v>
      </c>
      <c r="X59" s="120">
        <f>+Actuals!U269</f>
        <v>0</v>
      </c>
      <c r="Y59" s="121">
        <f>+Actuals!V269</f>
        <v>0</v>
      </c>
      <c r="Z59" s="120">
        <f>+Actuals!W269</f>
        <v>0</v>
      </c>
      <c r="AA59" s="121">
        <f>+Actuals!X269</f>
        <v>0</v>
      </c>
      <c r="AB59" s="120">
        <f>+Actuals!Y269</f>
        <v>0</v>
      </c>
      <c r="AC59" s="121">
        <f>+Actuals!Z269</f>
        <v>0</v>
      </c>
      <c r="AD59" s="120">
        <f>+Actuals!AA269</f>
        <v>0</v>
      </c>
      <c r="AE59" s="121">
        <f>+Actuals!AB269</f>
        <v>0</v>
      </c>
      <c r="AF59" s="120">
        <f>+Actuals!AC269</f>
        <v>0</v>
      </c>
      <c r="AG59" s="121">
        <f>+Actuals!AD269</f>
        <v>0</v>
      </c>
      <c r="AH59" s="120">
        <f>+Actuals!AE269</f>
        <v>0</v>
      </c>
      <c r="AI59" s="121">
        <f>+Actuals!AF269</f>
        <v>0</v>
      </c>
      <c r="AJ59" s="120">
        <f>+Actuals!AG269</f>
        <v>0</v>
      </c>
      <c r="AK59" s="121">
        <f>+Actuals!AH269</f>
        <v>0</v>
      </c>
      <c r="AL59" s="120">
        <f>+Actuals!AI269</f>
        <v>0</v>
      </c>
      <c r="AM59" s="121">
        <f>+Actuals!AJ269</f>
        <v>0</v>
      </c>
      <c r="AN59" s="120">
        <f>+Actuals!AK269</f>
        <v>0</v>
      </c>
      <c r="AO59" s="121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20">
        <f>+Actuals!E270</f>
        <v>0</v>
      </c>
      <c r="I60" s="121">
        <f>+Actuals!F270</f>
        <v>0</v>
      </c>
      <c r="J60" s="120">
        <f>+Actuals!G270</f>
        <v>0</v>
      </c>
      <c r="K60" s="121">
        <f>+Actuals!H270</f>
        <v>0</v>
      </c>
      <c r="L60" s="120">
        <f>+Actuals!I270</f>
        <v>0</v>
      </c>
      <c r="M60" s="121">
        <f>+Actuals!J270</f>
        <v>0</v>
      </c>
      <c r="N60" s="120">
        <f>+Actuals!K270</f>
        <v>0</v>
      </c>
      <c r="O60" s="121">
        <f>+Actuals!L270</f>
        <v>0</v>
      </c>
      <c r="P60" s="120">
        <f>+Actuals!M270</f>
        <v>0</v>
      </c>
      <c r="Q60" s="121">
        <f>+Actuals!N270</f>
        <v>0</v>
      </c>
      <c r="R60" s="120">
        <f>+Actuals!O270</f>
        <v>0</v>
      </c>
      <c r="S60" s="121">
        <f>+Actuals!P270</f>
        <v>0</v>
      </c>
      <c r="T60" s="120">
        <f>+Actuals!Q270</f>
        <v>0</v>
      </c>
      <c r="U60" s="121">
        <f>+Actuals!R270</f>
        <v>0</v>
      </c>
      <c r="V60" s="120">
        <f>+Actuals!S270</f>
        <v>0</v>
      </c>
      <c r="W60" s="121">
        <f>+Actuals!T270</f>
        <v>0</v>
      </c>
      <c r="X60" s="120">
        <f>+Actuals!U270</f>
        <v>0</v>
      </c>
      <c r="Y60" s="121">
        <f>+Actuals!V270</f>
        <v>0</v>
      </c>
      <c r="Z60" s="120">
        <f>+Actuals!W270</f>
        <v>0</v>
      </c>
      <c r="AA60" s="121">
        <f>+Actuals!X270</f>
        <v>0</v>
      </c>
      <c r="AB60" s="120">
        <f>+Actuals!Y270</f>
        <v>0</v>
      </c>
      <c r="AC60" s="121">
        <f>+Actuals!Z270</f>
        <v>0</v>
      </c>
      <c r="AD60" s="120">
        <f>+Actuals!AA270</f>
        <v>0</v>
      </c>
      <c r="AE60" s="121">
        <f>+Actuals!AB270</f>
        <v>0</v>
      </c>
      <c r="AF60" s="120">
        <f>+Actuals!AC270</f>
        <v>0</v>
      </c>
      <c r="AG60" s="121">
        <f>+Actuals!AD270</f>
        <v>0</v>
      </c>
      <c r="AH60" s="120">
        <f>+Actuals!AE270</f>
        <v>0</v>
      </c>
      <c r="AI60" s="121">
        <f>+Actuals!AF270</f>
        <v>0</v>
      </c>
      <c r="AJ60" s="120">
        <f>+Actuals!AG270</f>
        <v>0</v>
      </c>
      <c r="AK60" s="121">
        <f>+Actuals!AH270</f>
        <v>0</v>
      </c>
      <c r="AL60" s="120">
        <f>+Actuals!AI270</f>
        <v>0</v>
      </c>
      <c r="AM60" s="121">
        <f>+Actuals!AJ270</f>
        <v>0</v>
      </c>
      <c r="AN60" s="120">
        <f>+Actuals!AK270</f>
        <v>0</v>
      </c>
      <c r="AO60" s="121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46456.07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63736</v>
      </c>
      <c r="J61" s="61">
        <f t="shared" ref="J61:AO61" si="26">SUM(J59:J60)</f>
        <v>0</v>
      </c>
      <c r="K61" s="39">
        <f t="shared" si="26"/>
        <v>-17279.93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20">
        <f>+Actuals!E271</f>
        <v>0</v>
      </c>
      <c r="I64" s="121">
        <f>+Actuals!F271</f>
        <v>0</v>
      </c>
      <c r="J64" s="120">
        <f>+Actuals!G271</f>
        <v>0</v>
      </c>
      <c r="K64" s="121">
        <f>+Actuals!H271</f>
        <v>0</v>
      </c>
      <c r="L64" s="120">
        <f>+Actuals!I271</f>
        <v>0</v>
      </c>
      <c r="M64" s="121">
        <f>+Actuals!J271</f>
        <v>0</v>
      </c>
      <c r="N64" s="120">
        <f>+Actuals!K271</f>
        <v>0</v>
      </c>
      <c r="O64" s="121">
        <f>+Actuals!L271</f>
        <v>0</v>
      </c>
      <c r="P64" s="120">
        <f>+Actuals!M271</f>
        <v>0</v>
      </c>
      <c r="Q64" s="121">
        <f>+Actuals!N271</f>
        <v>0</v>
      </c>
      <c r="R64" s="120">
        <f>+Actuals!O271</f>
        <v>0</v>
      </c>
      <c r="S64" s="121">
        <f>+Actuals!P271</f>
        <v>0</v>
      </c>
      <c r="T64" s="120">
        <f>+Actuals!Q271</f>
        <v>0</v>
      </c>
      <c r="U64" s="121">
        <f>+Actuals!R271</f>
        <v>0</v>
      </c>
      <c r="V64" s="120">
        <f>+Actuals!S271</f>
        <v>0</v>
      </c>
      <c r="W64" s="121">
        <f>+Actuals!T271</f>
        <v>0</v>
      </c>
      <c r="X64" s="120">
        <f>+Actuals!U271</f>
        <v>0</v>
      </c>
      <c r="Y64" s="121">
        <f>+Actuals!V271</f>
        <v>0</v>
      </c>
      <c r="Z64" s="120">
        <f>+Actuals!W271</f>
        <v>0</v>
      </c>
      <c r="AA64" s="121">
        <f>+Actuals!X271</f>
        <v>0</v>
      </c>
      <c r="AB64" s="120">
        <f>+Actuals!Y271</f>
        <v>0</v>
      </c>
      <c r="AC64" s="121">
        <f>+Actuals!Z271</f>
        <v>0</v>
      </c>
      <c r="AD64" s="120">
        <f>+Actuals!AA271</f>
        <v>0</v>
      </c>
      <c r="AE64" s="121">
        <f>+Actuals!AB271</f>
        <v>0</v>
      </c>
      <c r="AF64" s="120">
        <f>+Actuals!AC271</f>
        <v>0</v>
      </c>
      <c r="AG64" s="121">
        <f>+Actuals!AD271</f>
        <v>0</v>
      </c>
      <c r="AH64" s="120">
        <f>+Actuals!AE271</f>
        <v>0</v>
      </c>
      <c r="AI64" s="121">
        <f>+Actuals!AF271</f>
        <v>0</v>
      </c>
      <c r="AJ64" s="120">
        <f>+Actuals!AG271</f>
        <v>0</v>
      </c>
      <c r="AK64" s="121">
        <f>+Actuals!AH271</f>
        <v>0</v>
      </c>
      <c r="AL64" s="120">
        <f>+Actuals!AI271</f>
        <v>0</v>
      </c>
      <c r="AM64" s="121">
        <f>+Actuals!AJ271</f>
        <v>0</v>
      </c>
      <c r="AN64" s="120">
        <f>+Actuals!AK271</f>
        <v>0</v>
      </c>
      <c r="AO64" s="121">
        <f>+Actuals!AL271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20">
        <f>+Actuals!E272</f>
        <v>0</v>
      </c>
      <c r="I65" s="121">
        <f>+Actuals!F272</f>
        <v>0</v>
      </c>
      <c r="J65" s="120">
        <f>+Actuals!G272</f>
        <v>0</v>
      </c>
      <c r="K65" s="121">
        <f>+Actuals!H272</f>
        <v>0</v>
      </c>
      <c r="L65" s="120">
        <f>+Actuals!I272</f>
        <v>0</v>
      </c>
      <c r="M65" s="121">
        <f>+Actuals!J272</f>
        <v>0</v>
      </c>
      <c r="N65" s="120">
        <f>+Actuals!K272</f>
        <v>0</v>
      </c>
      <c r="O65" s="121">
        <f>+Actuals!L272</f>
        <v>0</v>
      </c>
      <c r="P65" s="120">
        <f>+Actuals!M272</f>
        <v>0</v>
      </c>
      <c r="Q65" s="121">
        <f>+Actuals!N272</f>
        <v>0</v>
      </c>
      <c r="R65" s="120">
        <f>+Actuals!O272</f>
        <v>0</v>
      </c>
      <c r="S65" s="121">
        <f>+Actuals!P272</f>
        <v>0</v>
      </c>
      <c r="T65" s="120">
        <f>+Actuals!Q272</f>
        <v>0</v>
      </c>
      <c r="U65" s="121">
        <f>+Actuals!R272</f>
        <v>0</v>
      </c>
      <c r="V65" s="120">
        <f>+Actuals!S272</f>
        <v>0</v>
      </c>
      <c r="W65" s="121">
        <f>+Actuals!T272</f>
        <v>0</v>
      </c>
      <c r="X65" s="120">
        <f>+Actuals!U272</f>
        <v>0</v>
      </c>
      <c r="Y65" s="121">
        <f>+Actuals!V272</f>
        <v>0</v>
      </c>
      <c r="Z65" s="120">
        <f>+Actuals!W272</f>
        <v>0</v>
      </c>
      <c r="AA65" s="121">
        <f>+Actuals!X272</f>
        <v>0</v>
      </c>
      <c r="AB65" s="120">
        <f>+Actuals!Y272</f>
        <v>0</v>
      </c>
      <c r="AC65" s="121">
        <f>+Actuals!Z272</f>
        <v>0</v>
      </c>
      <c r="AD65" s="120">
        <f>+Actuals!AA272</f>
        <v>0</v>
      </c>
      <c r="AE65" s="121">
        <f>+Actuals!AB272</f>
        <v>0</v>
      </c>
      <c r="AF65" s="120">
        <f>+Actuals!AC272</f>
        <v>0</v>
      </c>
      <c r="AG65" s="121">
        <f>+Actuals!AD272</f>
        <v>0</v>
      </c>
      <c r="AH65" s="120">
        <f>+Actuals!AE272</f>
        <v>0</v>
      </c>
      <c r="AI65" s="121">
        <f>+Actuals!AF272</f>
        <v>0</v>
      </c>
      <c r="AJ65" s="120">
        <f>+Actuals!AG272</f>
        <v>0</v>
      </c>
      <c r="AK65" s="121">
        <f>+Actuals!AH272</f>
        <v>0</v>
      </c>
      <c r="AL65" s="120">
        <f>+Actuals!AI272</f>
        <v>0</v>
      </c>
      <c r="AM65" s="121">
        <f>+Actuals!AJ272</f>
        <v>0</v>
      </c>
      <c r="AN65" s="120">
        <f>+Actuals!AK272</f>
        <v>0</v>
      </c>
      <c r="AO65" s="121">
        <f>+Actuals!AL272</f>
        <v>0</v>
      </c>
    </row>
    <row r="66" spans="1:41" x14ac:dyDescent="0.25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'TIE-OUT'!J70+RECLASS!H70</f>
        <v>0</v>
      </c>
      <c r="G70" s="68">
        <f>'TIE-OUT'!K70+RECLASS!I70</f>
        <v>5194257.0599999996</v>
      </c>
      <c r="H70" s="120">
        <f>+Actuals!E273</f>
        <v>0</v>
      </c>
      <c r="I70" s="121">
        <f>+Actuals!F273</f>
        <v>0</v>
      </c>
      <c r="J70" s="120">
        <f>+Actuals!G273</f>
        <v>0</v>
      </c>
      <c r="K70" s="121">
        <f>+Actuals!H273</f>
        <v>0</v>
      </c>
      <c r="L70" s="120">
        <f>+Actuals!I273</f>
        <v>0</v>
      </c>
      <c r="M70" s="121">
        <f>+Actuals!J273</f>
        <v>0</v>
      </c>
      <c r="N70" s="120">
        <f>+Actuals!K273</f>
        <v>0</v>
      </c>
      <c r="O70" s="121">
        <f>+Actuals!L273</f>
        <v>0</v>
      </c>
      <c r="P70" s="120">
        <f>+Actuals!M273</f>
        <v>0</v>
      </c>
      <c r="Q70" s="121">
        <f>+Actuals!N273</f>
        <v>0</v>
      </c>
      <c r="R70" s="120">
        <f>+Actuals!O273</f>
        <v>0</v>
      </c>
      <c r="S70" s="121">
        <f>+Actuals!P273</f>
        <v>0</v>
      </c>
      <c r="T70" s="120">
        <f>+Actuals!Q273</f>
        <v>0</v>
      </c>
      <c r="U70" s="121">
        <f>+Actuals!R273</f>
        <v>0</v>
      </c>
      <c r="V70" s="120">
        <f>+Actuals!S273</f>
        <v>0</v>
      </c>
      <c r="W70" s="121">
        <f>+Actuals!T273</f>
        <v>0</v>
      </c>
      <c r="X70" s="120">
        <f>+Actuals!U273</f>
        <v>0</v>
      </c>
      <c r="Y70" s="121">
        <f>+Actuals!V273</f>
        <v>0</v>
      </c>
      <c r="Z70" s="120">
        <f>+Actuals!W273</f>
        <v>0</v>
      </c>
      <c r="AA70" s="121">
        <f>+Actuals!X273</f>
        <v>0</v>
      </c>
      <c r="AB70" s="120">
        <f>+Actuals!Y273</f>
        <v>0</v>
      </c>
      <c r="AC70" s="121">
        <f>+Actuals!Z273</f>
        <v>0</v>
      </c>
      <c r="AD70" s="120">
        <f>+Actuals!AA273</f>
        <v>0</v>
      </c>
      <c r="AE70" s="121">
        <f>+Actuals!AB273</f>
        <v>0</v>
      </c>
      <c r="AF70" s="120">
        <f>+Actuals!AC273</f>
        <v>0</v>
      </c>
      <c r="AG70" s="121">
        <f>+Actuals!AD273</f>
        <v>0</v>
      </c>
      <c r="AH70" s="120">
        <f>+Actuals!AE273</f>
        <v>0</v>
      </c>
      <c r="AI70" s="121">
        <f>+Actuals!AF273</f>
        <v>0</v>
      </c>
      <c r="AJ70" s="120">
        <f>+Actuals!AG273</f>
        <v>0</v>
      </c>
      <c r="AK70" s="121">
        <f>+Actuals!AH273</f>
        <v>0</v>
      </c>
      <c r="AL70" s="120">
        <f>+Actuals!AI273</f>
        <v>0</v>
      </c>
      <c r="AM70" s="121">
        <f>+Actuals!AJ273</f>
        <v>0</v>
      </c>
      <c r="AN70" s="120">
        <f>+Actuals!AK273</f>
        <v>0</v>
      </c>
      <c r="AO70" s="121">
        <f>+Actuals!AL273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'TIE-OUT'!J71+RECLASS!H71</f>
        <v>0</v>
      </c>
      <c r="G71" s="82">
        <f>'TIE-OUT'!K71+RECLASS!I71</f>
        <v>-15355188</v>
      </c>
      <c r="H71" s="120">
        <f>+Actuals!E274</f>
        <v>0</v>
      </c>
      <c r="I71" s="121">
        <f>+Actuals!F274</f>
        <v>0</v>
      </c>
      <c r="J71" s="120">
        <f>+Actuals!G274</f>
        <v>0</v>
      </c>
      <c r="K71" s="121">
        <f>+Actuals!H274</f>
        <v>0</v>
      </c>
      <c r="L71" s="120">
        <f>+Actuals!I274</f>
        <v>0</v>
      </c>
      <c r="M71" s="121">
        <f>+Actuals!J274</f>
        <v>0</v>
      </c>
      <c r="N71" s="120">
        <f>+Actuals!K274</f>
        <v>0</v>
      </c>
      <c r="O71" s="121">
        <f>+Actuals!L274</f>
        <v>0</v>
      </c>
      <c r="P71" s="120">
        <f>+Actuals!M274</f>
        <v>0</v>
      </c>
      <c r="Q71" s="121">
        <f>+Actuals!N274</f>
        <v>0</v>
      </c>
      <c r="R71" s="120">
        <f>+Actuals!O274</f>
        <v>0</v>
      </c>
      <c r="S71" s="121">
        <f>+Actuals!P274</f>
        <v>0</v>
      </c>
      <c r="T71" s="120">
        <f>+Actuals!Q274</f>
        <v>0</v>
      </c>
      <c r="U71" s="121">
        <f>+Actuals!R274</f>
        <v>0</v>
      </c>
      <c r="V71" s="120">
        <f>+Actuals!S274</f>
        <v>0</v>
      </c>
      <c r="W71" s="121">
        <f>+Actuals!T274</f>
        <v>0</v>
      </c>
      <c r="X71" s="120">
        <f>+Actuals!U274</f>
        <v>0</v>
      </c>
      <c r="Y71" s="121">
        <f>+Actuals!V274</f>
        <v>0</v>
      </c>
      <c r="Z71" s="120">
        <f>+Actuals!W274</f>
        <v>0</v>
      </c>
      <c r="AA71" s="121">
        <f>+Actuals!X274</f>
        <v>0</v>
      </c>
      <c r="AB71" s="120">
        <f>+Actuals!Y274</f>
        <v>0</v>
      </c>
      <c r="AC71" s="121">
        <f>+Actuals!Z274</f>
        <v>0</v>
      </c>
      <c r="AD71" s="120">
        <f>+Actuals!AA274</f>
        <v>0</v>
      </c>
      <c r="AE71" s="121">
        <f>+Actuals!AB274</f>
        <v>0</v>
      </c>
      <c r="AF71" s="120">
        <f>+Actuals!AC274</f>
        <v>0</v>
      </c>
      <c r="AG71" s="121">
        <f>+Actuals!AD274</f>
        <v>0</v>
      </c>
      <c r="AH71" s="120">
        <f>+Actuals!AE274</f>
        <v>0</v>
      </c>
      <c r="AI71" s="121">
        <f>+Actuals!AF274</f>
        <v>0</v>
      </c>
      <c r="AJ71" s="120">
        <f>+Actuals!AG274</f>
        <v>0</v>
      </c>
      <c r="AK71" s="121">
        <f>+Actuals!AH274</f>
        <v>0</v>
      </c>
      <c r="AL71" s="120">
        <f>+Actuals!AI274</f>
        <v>0</v>
      </c>
      <c r="AM71" s="121">
        <f>+Actuals!AJ274</f>
        <v>0</v>
      </c>
      <c r="AN71" s="120">
        <f>+Actuals!AK274</f>
        <v>0</v>
      </c>
      <c r="AO71" s="121">
        <f>+Actuals!AL274</f>
        <v>0</v>
      </c>
    </row>
    <row r="72" spans="1:41" x14ac:dyDescent="0.25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-10160930.940000001</v>
      </c>
      <c r="F72" s="61">
        <f t="shared" si="31"/>
        <v>0</v>
      </c>
      <c r="G72" s="39">
        <f t="shared" si="31"/>
        <v>-10160930.940000001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'TIE-OUT'!J73+RECLASS!H73</f>
        <v>0</v>
      </c>
      <c r="G73" s="60">
        <f>'TIE-OUT'!K73+RECLASS!I73</f>
        <v>0</v>
      </c>
      <c r="H73" s="120">
        <f>+Actuals!E275</f>
        <v>0</v>
      </c>
      <c r="I73" s="121">
        <f>+Actuals!F275</f>
        <v>0</v>
      </c>
      <c r="J73" s="120">
        <f>+Actuals!G275</f>
        <v>0</v>
      </c>
      <c r="K73" s="121">
        <f>+Actuals!H275</f>
        <v>0</v>
      </c>
      <c r="L73" s="120">
        <f>+Actuals!I275</f>
        <v>0</v>
      </c>
      <c r="M73" s="121">
        <f>+Actuals!J275</f>
        <v>0</v>
      </c>
      <c r="N73" s="120">
        <f>+Actuals!K275</f>
        <v>0</v>
      </c>
      <c r="O73" s="121">
        <f>+Actuals!L275</f>
        <v>0</v>
      </c>
      <c r="P73" s="120">
        <f>+Actuals!M275</f>
        <v>0</v>
      </c>
      <c r="Q73" s="121">
        <f>+Actuals!N275</f>
        <v>0</v>
      </c>
      <c r="R73" s="120">
        <f>+Actuals!O275</f>
        <v>0</v>
      </c>
      <c r="S73" s="121">
        <f>+Actuals!P275</f>
        <v>0</v>
      </c>
      <c r="T73" s="120">
        <f>+Actuals!Q275</f>
        <v>0</v>
      </c>
      <c r="U73" s="121">
        <f>+Actuals!R275</f>
        <v>0</v>
      </c>
      <c r="V73" s="120">
        <f>+Actuals!S275</f>
        <v>0</v>
      </c>
      <c r="W73" s="121">
        <f>+Actuals!T275</f>
        <v>0</v>
      </c>
      <c r="X73" s="120">
        <f>+Actuals!U275</f>
        <v>0</v>
      </c>
      <c r="Y73" s="121">
        <f>+Actuals!V275</f>
        <v>0</v>
      </c>
      <c r="Z73" s="120">
        <f>+Actuals!W275</f>
        <v>0</v>
      </c>
      <c r="AA73" s="121">
        <f>+Actuals!X275</f>
        <v>0</v>
      </c>
      <c r="AB73" s="120">
        <f>+Actuals!Y275</f>
        <v>0</v>
      </c>
      <c r="AC73" s="121">
        <f>+Actuals!Z275</f>
        <v>0</v>
      </c>
      <c r="AD73" s="120">
        <f>+Actuals!AA275</f>
        <v>0</v>
      </c>
      <c r="AE73" s="121">
        <f>+Actuals!AB275</f>
        <v>0</v>
      </c>
      <c r="AF73" s="120">
        <f>+Actuals!AC275</f>
        <v>0</v>
      </c>
      <c r="AG73" s="121">
        <f>+Actuals!AD275</f>
        <v>0</v>
      </c>
      <c r="AH73" s="120">
        <f>+Actuals!AE275</f>
        <v>0</v>
      </c>
      <c r="AI73" s="121">
        <f>+Actuals!AF275</f>
        <v>0</v>
      </c>
      <c r="AJ73" s="120">
        <f>+Actuals!AG275</f>
        <v>0</v>
      </c>
      <c r="AK73" s="121">
        <f>+Actuals!AH275</f>
        <v>0</v>
      </c>
      <c r="AL73" s="120">
        <f>+Actuals!AI275</f>
        <v>0</v>
      </c>
      <c r="AM73" s="121">
        <f>+Actuals!AJ275</f>
        <v>0</v>
      </c>
      <c r="AN73" s="120">
        <f>+Actuals!AK275</f>
        <v>0</v>
      </c>
      <c r="AO73" s="121">
        <f>+Actuals!AL275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6551482</v>
      </c>
      <c r="F74" s="60">
        <f>'TIE-OUT'!J74+RECLASS!H74</f>
        <v>0</v>
      </c>
      <c r="G74" s="60">
        <f>'TIE-OUT'!K74+RECLASS!I74</f>
        <v>6551482</v>
      </c>
      <c r="H74" s="120">
        <f>+Actuals!E276</f>
        <v>0</v>
      </c>
      <c r="I74" s="121">
        <f>+Actuals!F276</f>
        <v>0</v>
      </c>
      <c r="J74" s="120">
        <f>+Actuals!G276</f>
        <v>0</v>
      </c>
      <c r="K74" s="121">
        <f>+Actuals!H276</f>
        <v>0</v>
      </c>
      <c r="L74" s="120">
        <f>+Actuals!I276</f>
        <v>0</v>
      </c>
      <c r="M74" s="121">
        <f>+Actuals!J276</f>
        <v>0</v>
      </c>
      <c r="N74" s="120">
        <f>+Actuals!K276</f>
        <v>0</v>
      </c>
      <c r="O74" s="121">
        <f>+Actuals!L276</f>
        <v>0</v>
      </c>
      <c r="P74" s="120">
        <f>+Actuals!M276</f>
        <v>0</v>
      </c>
      <c r="Q74" s="121">
        <f>+Actuals!N276</f>
        <v>0</v>
      </c>
      <c r="R74" s="120">
        <f>+Actuals!O276</f>
        <v>0</v>
      </c>
      <c r="S74" s="121">
        <f>+Actuals!P276</f>
        <v>0</v>
      </c>
      <c r="T74" s="120">
        <f>+Actuals!Q276</f>
        <v>0</v>
      </c>
      <c r="U74" s="121">
        <f>+Actuals!R276</f>
        <v>0</v>
      </c>
      <c r="V74" s="120">
        <f>+Actuals!S276</f>
        <v>0</v>
      </c>
      <c r="W74" s="121">
        <f>+Actuals!T276</f>
        <v>0</v>
      </c>
      <c r="X74" s="120">
        <f>+Actuals!U276</f>
        <v>0</v>
      </c>
      <c r="Y74" s="121">
        <f>+Actuals!V276</f>
        <v>0</v>
      </c>
      <c r="Z74" s="120">
        <f>+Actuals!W276</f>
        <v>0</v>
      </c>
      <c r="AA74" s="121">
        <f>+Actuals!X276</f>
        <v>0</v>
      </c>
      <c r="AB74" s="120">
        <f>+Actuals!Y276</f>
        <v>0</v>
      </c>
      <c r="AC74" s="121">
        <f>+Actuals!Z276</f>
        <v>0</v>
      </c>
      <c r="AD74" s="120">
        <f>+Actuals!AA276</f>
        <v>0</v>
      </c>
      <c r="AE74" s="121">
        <f>+Actuals!AB276</f>
        <v>0</v>
      </c>
      <c r="AF74" s="120">
        <f>+Actuals!AC276</f>
        <v>0</v>
      </c>
      <c r="AG74" s="121">
        <f>+Actuals!AD276</f>
        <v>0</v>
      </c>
      <c r="AH74" s="120">
        <f>+Actuals!AE276</f>
        <v>0</v>
      </c>
      <c r="AI74" s="121">
        <f>+Actuals!AF276</f>
        <v>0</v>
      </c>
      <c r="AJ74" s="120">
        <f>+Actuals!AG276</f>
        <v>0</v>
      </c>
      <c r="AK74" s="121">
        <f>+Actuals!AH276</f>
        <v>0</v>
      </c>
      <c r="AL74" s="120">
        <f>+Actuals!AI276</f>
        <v>0</v>
      </c>
      <c r="AM74" s="121">
        <f>+Actuals!AJ276</f>
        <v>0</v>
      </c>
      <c r="AN74" s="120">
        <f>+Actuals!AK276</f>
        <v>0</v>
      </c>
      <c r="AO74" s="121">
        <f>+Actuals!AL276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111600</v>
      </c>
      <c r="F75" s="60">
        <f>'TIE-OUT'!J75+RECLASS!H75</f>
        <v>0</v>
      </c>
      <c r="G75" s="60">
        <f>'TIE-OUT'!K75+RECLASS!I75</f>
        <v>111600</v>
      </c>
      <c r="H75" s="120">
        <f>+Actuals!E277</f>
        <v>0</v>
      </c>
      <c r="I75" s="121">
        <f>+Actuals!F277</f>
        <v>0</v>
      </c>
      <c r="J75" s="120">
        <f>+Actuals!G277</f>
        <v>0</v>
      </c>
      <c r="K75" s="121">
        <f>+Actuals!H277</f>
        <v>0</v>
      </c>
      <c r="L75" s="120">
        <f>+Actuals!I277</f>
        <v>0</v>
      </c>
      <c r="M75" s="121">
        <f>+Actuals!J277</f>
        <v>0</v>
      </c>
      <c r="N75" s="120">
        <f>+Actuals!K277</f>
        <v>0</v>
      </c>
      <c r="O75" s="121">
        <f>+Actuals!L277</f>
        <v>0</v>
      </c>
      <c r="P75" s="120">
        <f>+Actuals!M277</f>
        <v>0</v>
      </c>
      <c r="Q75" s="121">
        <f>+Actuals!N277</f>
        <v>0</v>
      </c>
      <c r="R75" s="120">
        <f>+Actuals!O277</f>
        <v>0</v>
      </c>
      <c r="S75" s="121">
        <f>+Actuals!P277</f>
        <v>0</v>
      </c>
      <c r="T75" s="120">
        <f>+Actuals!Q277</f>
        <v>0</v>
      </c>
      <c r="U75" s="121">
        <f>+Actuals!R277</f>
        <v>0</v>
      </c>
      <c r="V75" s="120">
        <f>+Actuals!S277</f>
        <v>0</v>
      </c>
      <c r="W75" s="121">
        <f>+Actuals!T277</f>
        <v>0</v>
      </c>
      <c r="X75" s="120">
        <f>+Actuals!U277</f>
        <v>0</v>
      </c>
      <c r="Y75" s="121">
        <f>+Actuals!V277</f>
        <v>0</v>
      </c>
      <c r="Z75" s="120">
        <f>+Actuals!W277</f>
        <v>0</v>
      </c>
      <c r="AA75" s="121">
        <f>+Actuals!X277</f>
        <v>0</v>
      </c>
      <c r="AB75" s="120">
        <f>+Actuals!Y277</f>
        <v>0</v>
      </c>
      <c r="AC75" s="121">
        <f>+Actuals!Z277</f>
        <v>0</v>
      </c>
      <c r="AD75" s="120">
        <f>+Actuals!AA277</f>
        <v>0</v>
      </c>
      <c r="AE75" s="121">
        <f>+Actuals!AB277</f>
        <v>0</v>
      </c>
      <c r="AF75" s="120">
        <f>+Actuals!AC277</f>
        <v>0</v>
      </c>
      <c r="AG75" s="121">
        <f>+Actuals!AD277</f>
        <v>0</v>
      </c>
      <c r="AH75" s="120">
        <f>+Actuals!AE277</f>
        <v>0</v>
      </c>
      <c r="AI75" s="121">
        <f>+Actuals!AF277</f>
        <v>0</v>
      </c>
      <c r="AJ75" s="120">
        <f>+Actuals!AG277</f>
        <v>0</v>
      </c>
      <c r="AK75" s="121">
        <f>+Actuals!AH277</f>
        <v>0</v>
      </c>
      <c r="AL75" s="120">
        <f>+Actuals!AI277</f>
        <v>0</v>
      </c>
      <c r="AM75" s="121">
        <f>+Actuals!AJ277</f>
        <v>0</v>
      </c>
      <c r="AN75" s="120">
        <f>+Actuals!AK277</f>
        <v>0</v>
      </c>
      <c r="AO75" s="121">
        <f>+Actuals!AL277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-3806.43</v>
      </c>
      <c r="F76" s="60">
        <f>'TIE-OUT'!J76+RECLASS!H76</f>
        <v>0</v>
      </c>
      <c r="G76" s="60">
        <f>'TIE-OUT'!K76+RECLASS!I76</f>
        <v>0</v>
      </c>
      <c r="H76" s="120">
        <f>+Actuals!E278</f>
        <v>0</v>
      </c>
      <c r="I76" s="121">
        <f>+Actuals!F278</f>
        <v>-10784.16</v>
      </c>
      <c r="J76" s="120">
        <f>+Actuals!G278</f>
        <v>0</v>
      </c>
      <c r="K76" s="121">
        <f>+Actuals!H278</f>
        <v>7926.09</v>
      </c>
      <c r="L76" s="120">
        <f>+Actuals!I278</f>
        <v>0</v>
      </c>
      <c r="M76" s="121">
        <f>+Actuals!J278</f>
        <v>-1610.09</v>
      </c>
      <c r="N76" s="120">
        <f>+Actuals!K278</f>
        <v>0</v>
      </c>
      <c r="O76" s="121">
        <f>+Actuals!L278</f>
        <v>743.79</v>
      </c>
      <c r="P76" s="120">
        <f>+Actuals!M278</f>
        <v>0</v>
      </c>
      <c r="Q76" s="121">
        <f>+Actuals!N278</f>
        <v>0</v>
      </c>
      <c r="R76" s="120">
        <f>+Actuals!O278</f>
        <v>0</v>
      </c>
      <c r="S76" s="121">
        <f>+Actuals!P278</f>
        <v>0</v>
      </c>
      <c r="T76" s="120">
        <f>+Actuals!Q278</f>
        <v>0</v>
      </c>
      <c r="U76" s="121">
        <f>+Actuals!R278</f>
        <v>-82.06</v>
      </c>
      <c r="V76" s="120">
        <f>+Actuals!S278</f>
        <v>0</v>
      </c>
      <c r="W76" s="121">
        <f>+Actuals!T278</f>
        <v>0</v>
      </c>
      <c r="X76" s="120">
        <f>+Actuals!U278</f>
        <v>0</v>
      </c>
      <c r="Y76" s="121">
        <f>+Actuals!V278</f>
        <v>0</v>
      </c>
      <c r="Z76" s="120">
        <f>+Actuals!W278</f>
        <v>0</v>
      </c>
      <c r="AA76" s="121">
        <f>+Actuals!X278</f>
        <v>0</v>
      </c>
      <c r="AB76" s="120">
        <f>+Actuals!Y278</f>
        <v>0</v>
      </c>
      <c r="AC76" s="121">
        <f>+Actuals!Z278</f>
        <v>0</v>
      </c>
      <c r="AD76" s="120">
        <f>+Actuals!AA278</f>
        <v>0</v>
      </c>
      <c r="AE76" s="121">
        <f>+Actuals!AB278</f>
        <v>0</v>
      </c>
      <c r="AF76" s="120">
        <f>+Actuals!AC278</f>
        <v>0</v>
      </c>
      <c r="AG76" s="121">
        <f>+Actuals!AD278</f>
        <v>0</v>
      </c>
      <c r="AH76" s="120">
        <f>+Actuals!AE278</f>
        <v>0</v>
      </c>
      <c r="AI76" s="121">
        <f>+Actuals!AF278</f>
        <v>0</v>
      </c>
      <c r="AJ76" s="120">
        <f>+Actuals!AG278</f>
        <v>0</v>
      </c>
      <c r="AK76" s="121">
        <f>+Actuals!AH278</f>
        <v>0</v>
      </c>
      <c r="AL76" s="120">
        <f>+Actuals!AI278</f>
        <v>0</v>
      </c>
      <c r="AM76" s="121">
        <f>+Actuals!AJ278</f>
        <v>0</v>
      </c>
      <c r="AN76" s="120">
        <f>+Actuals!AK278</f>
        <v>0</v>
      </c>
      <c r="AO76" s="121">
        <f>+Actuals!AL278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-3933809</v>
      </c>
      <c r="F77" s="60">
        <f>'TIE-OUT'!J77+RECLASS!H77</f>
        <v>0</v>
      </c>
      <c r="G77" s="60">
        <f>'TIE-OUT'!K77+RECLASS!I77</f>
        <v>-3933809</v>
      </c>
      <c r="H77" s="120">
        <f>+Actuals!E279</f>
        <v>0</v>
      </c>
      <c r="I77" s="121">
        <f>+Actuals!F279</f>
        <v>0</v>
      </c>
      <c r="J77" s="120">
        <f>+Actuals!G279</f>
        <v>0</v>
      </c>
      <c r="K77" s="121">
        <f>+Actuals!H279</f>
        <v>0</v>
      </c>
      <c r="L77" s="120">
        <f>+Actuals!I279</f>
        <v>0</v>
      </c>
      <c r="M77" s="121">
        <f>+Actuals!J279</f>
        <v>0</v>
      </c>
      <c r="N77" s="120">
        <f>+Actuals!K279</f>
        <v>0</v>
      </c>
      <c r="O77" s="121">
        <f>+Actuals!L279</f>
        <v>0</v>
      </c>
      <c r="P77" s="120">
        <f>+Actuals!M279</f>
        <v>0</v>
      </c>
      <c r="Q77" s="121">
        <f>+Actuals!N279</f>
        <v>0</v>
      </c>
      <c r="R77" s="120">
        <f>+Actuals!O279</f>
        <v>0</v>
      </c>
      <c r="S77" s="121">
        <f>+Actuals!P279</f>
        <v>0</v>
      </c>
      <c r="T77" s="120">
        <f>+Actuals!Q279</f>
        <v>0</v>
      </c>
      <c r="U77" s="121">
        <f>+Actuals!R279</f>
        <v>0</v>
      </c>
      <c r="V77" s="120">
        <f>+Actuals!S279</f>
        <v>0</v>
      </c>
      <c r="W77" s="121">
        <f>+Actuals!T279</f>
        <v>0</v>
      </c>
      <c r="X77" s="120">
        <f>+Actuals!U279</f>
        <v>0</v>
      </c>
      <c r="Y77" s="121">
        <f>+Actuals!V279</f>
        <v>0</v>
      </c>
      <c r="Z77" s="120">
        <f>+Actuals!W279</f>
        <v>0</v>
      </c>
      <c r="AA77" s="121">
        <f>+Actuals!X279</f>
        <v>0</v>
      </c>
      <c r="AB77" s="120">
        <f>+Actuals!Y279</f>
        <v>0</v>
      </c>
      <c r="AC77" s="121">
        <f>+Actuals!Z279</f>
        <v>0</v>
      </c>
      <c r="AD77" s="120">
        <f>+Actuals!AA279</f>
        <v>0</v>
      </c>
      <c r="AE77" s="121">
        <f>+Actuals!AB279</f>
        <v>0</v>
      </c>
      <c r="AF77" s="120">
        <f>+Actuals!AC279</f>
        <v>0</v>
      </c>
      <c r="AG77" s="121">
        <f>+Actuals!AD279</f>
        <v>0</v>
      </c>
      <c r="AH77" s="120">
        <f>+Actuals!AE279</f>
        <v>0</v>
      </c>
      <c r="AI77" s="121">
        <f>+Actuals!AF279</f>
        <v>0</v>
      </c>
      <c r="AJ77" s="120">
        <f>+Actuals!AG279</f>
        <v>0</v>
      </c>
      <c r="AK77" s="121">
        <f>+Actuals!AH279</f>
        <v>0</v>
      </c>
      <c r="AL77" s="120">
        <f>+Actuals!AI279</f>
        <v>0</v>
      </c>
      <c r="AM77" s="121">
        <f>+Actuals!AJ279</f>
        <v>0</v>
      </c>
      <c r="AN77" s="120">
        <f>+Actuals!AK279</f>
        <v>0</v>
      </c>
      <c r="AO77" s="121">
        <f>+Actuals!AL279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26966</v>
      </c>
      <c r="F78" s="60">
        <f>'TIE-OUT'!J78+RECLASS!H78</f>
        <v>0</v>
      </c>
      <c r="G78" s="60">
        <f>'TIE-OUT'!K78+RECLASS!I78</f>
        <v>26966</v>
      </c>
      <c r="H78" s="120">
        <f>+Actuals!E280</f>
        <v>0</v>
      </c>
      <c r="I78" s="121">
        <f>+Actuals!F280</f>
        <v>0</v>
      </c>
      <c r="J78" s="120">
        <f>+Actuals!G280</f>
        <v>0</v>
      </c>
      <c r="K78" s="121">
        <f>+Actuals!H280</f>
        <v>0</v>
      </c>
      <c r="L78" s="120">
        <f>+Actuals!I280</f>
        <v>0</v>
      </c>
      <c r="M78" s="121">
        <f>+Actuals!J280</f>
        <v>0</v>
      </c>
      <c r="N78" s="120">
        <f>+Actuals!K280</f>
        <v>0</v>
      </c>
      <c r="O78" s="121">
        <f>+Actuals!L280</f>
        <v>0</v>
      </c>
      <c r="P78" s="120">
        <f>+Actuals!M280</f>
        <v>0</v>
      </c>
      <c r="Q78" s="121">
        <f>+Actuals!N280</f>
        <v>0</v>
      </c>
      <c r="R78" s="120">
        <f>+Actuals!O280</f>
        <v>0</v>
      </c>
      <c r="S78" s="121">
        <f>+Actuals!P280</f>
        <v>0</v>
      </c>
      <c r="T78" s="120">
        <f>+Actuals!Q280</f>
        <v>0</v>
      </c>
      <c r="U78" s="121">
        <f>+Actuals!R280</f>
        <v>0</v>
      </c>
      <c r="V78" s="120">
        <f>+Actuals!S280</f>
        <v>0</v>
      </c>
      <c r="W78" s="121">
        <f>+Actuals!T280</f>
        <v>0</v>
      </c>
      <c r="X78" s="120">
        <f>+Actuals!U280</f>
        <v>0</v>
      </c>
      <c r="Y78" s="121">
        <f>+Actuals!V280</f>
        <v>0</v>
      </c>
      <c r="Z78" s="120">
        <f>+Actuals!W280</f>
        <v>0</v>
      </c>
      <c r="AA78" s="121">
        <f>+Actuals!X280</f>
        <v>0</v>
      </c>
      <c r="AB78" s="120">
        <f>+Actuals!Y280</f>
        <v>0</v>
      </c>
      <c r="AC78" s="121">
        <f>+Actuals!Z280</f>
        <v>0</v>
      </c>
      <c r="AD78" s="120">
        <f>+Actuals!AA280</f>
        <v>0</v>
      </c>
      <c r="AE78" s="121">
        <f>+Actuals!AB280</f>
        <v>0</v>
      </c>
      <c r="AF78" s="120">
        <f>+Actuals!AC280</f>
        <v>0</v>
      </c>
      <c r="AG78" s="121">
        <f>+Actuals!AD280</f>
        <v>0</v>
      </c>
      <c r="AH78" s="120">
        <f>+Actuals!AE280</f>
        <v>0</v>
      </c>
      <c r="AI78" s="121">
        <f>+Actuals!AF280</f>
        <v>0</v>
      </c>
      <c r="AJ78" s="120">
        <f>+Actuals!AG280</f>
        <v>0</v>
      </c>
      <c r="AK78" s="121">
        <f>+Actuals!AH280</f>
        <v>0</v>
      </c>
      <c r="AL78" s="120">
        <f>+Actuals!AI280</f>
        <v>0</v>
      </c>
      <c r="AM78" s="121">
        <f>+Actuals!AJ280</f>
        <v>0</v>
      </c>
      <c r="AN78" s="120">
        <f>+Actuals!AK280</f>
        <v>0</v>
      </c>
      <c r="AO78" s="121">
        <f>+Actuals!AL280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'TIE-OUT'!J79+RECLASS!H79</f>
        <v>0</v>
      </c>
      <c r="G79" s="60">
        <f>'TIE-OUT'!K79+RECLASS!I79</f>
        <v>0</v>
      </c>
      <c r="H79" s="120">
        <f>+Actuals!E281</f>
        <v>0</v>
      </c>
      <c r="I79" s="121">
        <f>+Actuals!F281</f>
        <v>0</v>
      </c>
      <c r="J79" s="120">
        <f>+Actuals!G281</f>
        <v>0</v>
      </c>
      <c r="K79" s="121">
        <f>+Actuals!H281</f>
        <v>0</v>
      </c>
      <c r="L79" s="120">
        <f>+Actuals!I281</f>
        <v>0</v>
      </c>
      <c r="M79" s="121">
        <f>+Actuals!J281</f>
        <v>0</v>
      </c>
      <c r="N79" s="120">
        <f>+Actuals!K281</f>
        <v>0</v>
      </c>
      <c r="O79" s="121">
        <f>+Actuals!L281</f>
        <v>0</v>
      </c>
      <c r="P79" s="120">
        <f>+Actuals!M281</f>
        <v>0</v>
      </c>
      <c r="Q79" s="121">
        <f>+Actuals!N281</f>
        <v>0</v>
      </c>
      <c r="R79" s="120">
        <f>+Actuals!O281</f>
        <v>0</v>
      </c>
      <c r="S79" s="121">
        <f>+Actuals!P281</f>
        <v>0</v>
      </c>
      <c r="T79" s="120">
        <f>+Actuals!Q281</f>
        <v>0</v>
      </c>
      <c r="U79" s="121">
        <f>+Actuals!R281</f>
        <v>0</v>
      </c>
      <c r="V79" s="120">
        <f>+Actuals!S281</f>
        <v>0</v>
      </c>
      <c r="W79" s="121">
        <f>+Actuals!T281</f>
        <v>0</v>
      </c>
      <c r="X79" s="120">
        <f>+Actuals!U281</f>
        <v>0</v>
      </c>
      <c r="Y79" s="121">
        <f>+Actuals!V281</f>
        <v>0</v>
      </c>
      <c r="Z79" s="120">
        <f>+Actuals!W281</f>
        <v>0</v>
      </c>
      <c r="AA79" s="121">
        <f>+Actuals!X281</f>
        <v>0</v>
      </c>
      <c r="AB79" s="120">
        <f>+Actuals!Y281</f>
        <v>0</v>
      </c>
      <c r="AC79" s="121">
        <f>+Actuals!Z281</f>
        <v>0</v>
      </c>
      <c r="AD79" s="120">
        <f>+Actuals!AA281</f>
        <v>0</v>
      </c>
      <c r="AE79" s="121">
        <f>+Actuals!AB281</f>
        <v>0</v>
      </c>
      <c r="AF79" s="120">
        <f>+Actuals!AC281</f>
        <v>0</v>
      </c>
      <c r="AG79" s="121">
        <f>+Actuals!AD281</f>
        <v>0</v>
      </c>
      <c r="AH79" s="120">
        <f>+Actuals!AE281</f>
        <v>0</v>
      </c>
      <c r="AI79" s="121">
        <f>+Actuals!AF281</f>
        <v>0</v>
      </c>
      <c r="AJ79" s="120">
        <f>+Actuals!AG281</f>
        <v>0</v>
      </c>
      <c r="AK79" s="121">
        <f>+Actuals!AH281</f>
        <v>0</v>
      </c>
      <c r="AL79" s="120">
        <f>+Actuals!AI281</f>
        <v>0</v>
      </c>
      <c r="AM79" s="121">
        <f>+Actuals!AJ281</f>
        <v>0</v>
      </c>
      <c r="AN79" s="120">
        <f>+Actuals!AK281</f>
        <v>0</v>
      </c>
      <c r="AO79" s="121">
        <f>+Actuals!AL281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'TIE-OUT'!J80+RECLASS!H80</f>
        <v>0</v>
      </c>
      <c r="G80" s="60">
        <f>'TIE-OUT'!K80+RECLASS!I80</f>
        <v>0</v>
      </c>
      <c r="H80" s="120">
        <f>+Actuals!E282</f>
        <v>0</v>
      </c>
      <c r="I80" s="121">
        <f>+Actuals!F282</f>
        <v>0</v>
      </c>
      <c r="J80" s="120">
        <f>+Actuals!G282</f>
        <v>0</v>
      </c>
      <c r="K80" s="121">
        <f>+Actuals!H282</f>
        <v>0</v>
      </c>
      <c r="L80" s="120">
        <f>+Actuals!I282</f>
        <v>0</v>
      </c>
      <c r="M80" s="121">
        <f>+Actuals!J282</f>
        <v>0</v>
      </c>
      <c r="N80" s="120">
        <f>+Actuals!K282</f>
        <v>0</v>
      </c>
      <c r="O80" s="121">
        <f>+Actuals!L282</f>
        <v>0</v>
      </c>
      <c r="P80" s="120">
        <f>+Actuals!M282</f>
        <v>0</v>
      </c>
      <c r="Q80" s="121">
        <f>+Actuals!N282</f>
        <v>0</v>
      </c>
      <c r="R80" s="120">
        <f>+Actuals!O282</f>
        <v>0</v>
      </c>
      <c r="S80" s="121">
        <f>+Actuals!P282</f>
        <v>0</v>
      </c>
      <c r="T80" s="120">
        <f>+Actuals!Q282</f>
        <v>0</v>
      </c>
      <c r="U80" s="121">
        <f>+Actuals!R282</f>
        <v>0</v>
      </c>
      <c r="V80" s="120">
        <f>+Actuals!S282</f>
        <v>0</v>
      </c>
      <c r="W80" s="121">
        <f>+Actuals!T282</f>
        <v>0</v>
      </c>
      <c r="X80" s="120">
        <f>+Actuals!U282</f>
        <v>0</v>
      </c>
      <c r="Y80" s="121">
        <f>+Actuals!V282</f>
        <v>0</v>
      </c>
      <c r="Z80" s="120">
        <f>+Actuals!W282</f>
        <v>0</v>
      </c>
      <c r="AA80" s="121">
        <f>+Actuals!X282</f>
        <v>0</v>
      </c>
      <c r="AB80" s="120">
        <f>+Actuals!Y282</f>
        <v>0</v>
      </c>
      <c r="AC80" s="121">
        <f>+Actuals!Z282</f>
        <v>0</v>
      </c>
      <c r="AD80" s="120">
        <f>+Actuals!AA282</f>
        <v>0</v>
      </c>
      <c r="AE80" s="121">
        <f>+Actuals!AB282</f>
        <v>0</v>
      </c>
      <c r="AF80" s="120">
        <f>+Actuals!AC282</f>
        <v>0</v>
      </c>
      <c r="AG80" s="121">
        <f>+Actuals!AD282</f>
        <v>0</v>
      </c>
      <c r="AH80" s="120">
        <f>+Actuals!AE282</f>
        <v>0</v>
      </c>
      <c r="AI80" s="121">
        <f>+Actuals!AF282</f>
        <v>0</v>
      </c>
      <c r="AJ80" s="120">
        <f>+Actuals!AG282</f>
        <v>0</v>
      </c>
      <c r="AK80" s="121">
        <f>+Actuals!AH282</f>
        <v>0</v>
      </c>
      <c r="AL80" s="120">
        <f>+Actuals!AI282</f>
        <v>0</v>
      </c>
      <c r="AM80" s="121">
        <f>+Actuals!AJ282</f>
        <v>0</v>
      </c>
      <c r="AN80" s="120">
        <f>+Actuals!AK282</f>
        <v>0</v>
      </c>
      <c r="AO80" s="121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0.30000000000654836</v>
      </c>
      <c r="F81" s="60">
        <f>'TIE-OUT'!J81+RECLASS!H81</f>
        <v>0</v>
      </c>
      <c r="G81" s="60">
        <f>'TIE-OUT'!K81+RECLASS!I81</f>
        <v>-259677</v>
      </c>
      <c r="H81" s="120">
        <f>+Actuals!E283</f>
        <v>0</v>
      </c>
      <c r="I81" s="121">
        <f>+Actuals!F283</f>
        <v>232711.35</v>
      </c>
      <c r="J81" s="120">
        <f>+Actuals!G283</f>
        <v>0</v>
      </c>
      <c r="K81" s="121">
        <f>+Actuals!H283</f>
        <v>26965.95</v>
      </c>
      <c r="L81" s="120">
        <f>+Actuals!I283</f>
        <v>0</v>
      </c>
      <c r="M81" s="121">
        <f>+Actuals!J283</f>
        <v>0</v>
      </c>
      <c r="N81" s="120">
        <f>+Actuals!K283</f>
        <v>0</v>
      </c>
      <c r="O81" s="121">
        <f>+Actuals!L283</f>
        <v>0</v>
      </c>
      <c r="P81" s="120">
        <f>+Actuals!M283</f>
        <v>0</v>
      </c>
      <c r="Q81" s="121">
        <f>+Actuals!N283</f>
        <v>0</v>
      </c>
      <c r="R81" s="120">
        <f>+Actuals!O283</f>
        <v>0</v>
      </c>
      <c r="S81" s="121">
        <f>+Actuals!P283</f>
        <v>0</v>
      </c>
      <c r="T81" s="120">
        <f>+Actuals!Q283</f>
        <v>0</v>
      </c>
      <c r="U81" s="121">
        <f>+Actuals!R283</f>
        <v>0</v>
      </c>
      <c r="V81" s="120">
        <f>+Actuals!S283</f>
        <v>0</v>
      </c>
      <c r="W81" s="121">
        <f>+Actuals!T283</f>
        <v>0</v>
      </c>
      <c r="X81" s="120">
        <f>+Actuals!U283</f>
        <v>0</v>
      </c>
      <c r="Y81" s="121">
        <f>+Actuals!V283</f>
        <v>0</v>
      </c>
      <c r="Z81" s="120">
        <f>+Actuals!W283</f>
        <v>0</v>
      </c>
      <c r="AA81" s="121">
        <f>+Actuals!X283</f>
        <v>0</v>
      </c>
      <c r="AB81" s="120">
        <f>+Actuals!Y283</f>
        <v>0</v>
      </c>
      <c r="AC81" s="121">
        <f>+Actuals!Z283</f>
        <v>0</v>
      </c>
      <c r="AD81" s="120">
        <f>+Actuals!AA283</f>
        <v>0</v>
      </c>
      <c r="AE81" s="121">
        <f>+Actuals!AB283</f>
        <v>0</v>
      </c>
      <c r="AF81" s="120">
        <f>+Actuals!AC283</f>
        <v>0</v>
      </c>
      <c r="AG81" s="121">
        <f>+Actuals!AD283</f>
        <v>0</v>
      </c>
      <c r="AH81" s="120">
        <f>+Actuals!AE283</f>
        <v>0</v>
      </c>
      <c r="AI81" s="121">
        <f>+Actuals!AF283</f>
        <v>0</v>
      </c>
      <c r="AJ81" s="120">
        <f>+Actuals!AG283</f>
        <v>0</v>
      </c>
      <c r="AK81" s="121">
        <f>+Actuals!AH283</f>
        <v>0</v>
      </c>
      <c r="AL81" s="120">
        <f>+Actuals!AI283</f>
        <v>0</v>
      </c>
      <c r="AM81" s="121">
        <f>+Actuals!AJ283</f>
        <v>0</v>
      </c>
      <c r="AN81" s="120">
        <f>+Actuals!AK283</f>
        <v>0</v>
      </c>
      <c r="AO81" s="121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6875619.1149999993</v>
      </c>
      <c r="F82" s="91">
        <f>F16+F24+F29+F36+F43+F45+F47+F49</f>
        <v>0</v>
      </c>
      <c r="G82" s="92">
        <f>SUM(G72:G81)+G16+G24+G29+G36+G43+G45+G47+G49+G51+G56+G61+G66</f>
        <v>-9952030.2000000011</v>
      </c>
      <c r="H82" s="91">
        <f>H16+H24+H29+H36+H43+H45+H47+H49</f>
        <v>0</v>
      </c>
      <c r="I82" s="92">
        <f>SUM(I72:I81)+I16+I24+I29+I36+I43+I45+I47+I49+I51+I56+I61+I66</f>
        <v>2957801.1489999909</v>
      </c>
      <c r="J82" s="91">
        <f>J16+J24+J29+J36+J43+J45+J47+J49</f>
        <v>0</v>
      </c>
      <c r="K82" s="139">
        <f>SUM(K72:K81)+K16+K24+K29+K36+K43+K45+K47+K49+K51+K56+K61+K66</f>
        <v>3989240.8840000001</v>
      </c>
      <c r="L82" s="91">
        <f>L16+L24+L29+L36+L43+L45+L47+L49</f>
        <v>0</v>
      </c>
      <c r="M82" s="92">
        <f>SUM(M72:M81)+M16+M24+M29+M36+M43+M45+M47+M49+M51+M56+M61+M66</f>
        <v>-464840.18499999976</v>
      </c>
      <c r="N82" s="91">
        <f>N16+N24+N29+N36+N43+N45+N47+N49</f>
        <v>0</v>
      </c>
      <c r="O82" s="92">
        <f>SUM(O72:O81)+O16+O24+O29+O36+O43+O45+O47+O49+O51+O56+O61+O66</f>
        <v>5485.8160000003554</v>
      </c>
      <c r="P82" s="91">
        <f>P16+P24+P29+P36+P43+P45+P47+P49</f>
        <v>0</v>
      </c>
      <c r="Q82" s="92">
        <f>SUM(Q72:Q81)+Q16+Q24+Q29+Q36+Q43+Q45+Q47+Q49+Q51+Q56+Q61+Q66</f>
        <v>569849.77799999982</v>
      </c>
      <c r="R82" s="91">
        <f>R16+R24+R29+R36+R43+R45+R47+R49</f>
        <v>0</v>
      </c>
      <c r="S82" s="92">
        <f>SUM(S72:S81)+S16+S24+S29+S36+S43+S45+S47+S49+S51+S56+S61+S66</f>
        <v>-161951.18299999999</v>
      </c>
      <c r="T82" s="91">
        <f>T16+T24+T29+T36+T43+T45+T47+T49</f>
        <v>0</v>
      </c>
      <c r="U82" s="92">
        <f>SUM(U72:U81)+U16+U24+U29+U36+U43+U45+U47+U49+U51+U56+U61+U66</f>
        <v>1307428.4399999934</v>
      </c>
      <c r="V82" s="91">
        <f>V16+V24+V29+V36+V43+V45+V47+V49</f>
        <v>0</v>
      </c>
      <c r="W82" s="92">
        <f>SUM(W72:W81)+W16+W24+W29+W36+W43+W45+W47+W49+W51+W56+W61+W66</f>
        <v>-3033464.7139999997</v>
      </c>
      <c r="X82" s="91">
        <f>X16+X24+X29+X36+X43+X45+X47+X49</f>
        <v>0</v>
      </c>
      <c r="Y82" s="92">
        <f>SUM(Y72:Y81)+Y16+Y24+Y29+Y36+Y43+Y45+Y47+Y49+Y51+Y56+Y61+Y66</f>
        <v>-87222.710000001112</v>
      </c>
      <c r="Z82" s="91">
        <f>Z16+Z24+Z29+Z36+Z43+Z45+Z47+Z49</f>
        <v>0</v>
      </c>
      <c r="AA82" s="92">
        <f>SUM(AA72:AA81)+AA16+AA24+AA29+AA36+AA43+AA45+AA47+AA49+AA51+AA56+AA61+AA66</f>
        <v>11745322.039999999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6"/>
      <c r="C86" s="10" t="s">
        <v>166</v>
      </c>
      <c r="D86" s="147">
        <f t="shared" ref="D86:E88" si="35">SUM(F86,H86,J86,L86,N86,P86,R86,T86,V86,X86,Z86,AB86,AD86)</f>
        <v>0</v>
      </c>
      <c r="E86" s="147">
        <f t="shared" si="35"/>
        <v>-676202</v>
      </c>
      <c r="F86" s="147">
        <f>'TIE-OUT'!J86+RECLASS!H86</f>
        <v>0</v>
      </c>
      <c r="G86" s="147">
        <f>'TIE-OUT'!K86+RECLASS!I86</f>
        <v>-239538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-436664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41" s="3" customFormat="1" x14ac:dyDescent="0.25">
      <c r="A87" s="146"/>
      <c r="C87" s="10" t="s">
        <v>71</v>
      </c>
      <c r="D87" s="148">
        <f t="shared" si="35"/>
        <v>0</v>
      </c>
      <c r="E87" s="148">
        <f t="shared" si="35"/>
        <v>437202</v>
      </c>
      <c r="F87" s="148">
        <f>'TIE-OUT'!J87+RECLASS!H87</f>
        <v>0</v>
      </c>
      <c r="G87" s="148">
        <f>'TIE-OUT'!K87+RECLASS!I87</f>
        <v>437202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41" s="3" customFormat="1" x14ac:dyDescent="0.25">
      <c r="A88" s="146"/>
      <c r="C88" s="10" t="s">
        <v>72</v>
      </c>
      <c r="D88" s="149">
        <f t="shared" si="35"/>
        <v>0</v>
      </c>
      <c r="E88" s="149">
        <f t="shared" si="35"/>
        <v>0</v>
      </c>
      <c r="F88" s="149">
        <f>'TIE-OUT'!J88+RECLASS!H88</f>
        <v>0</v>
      </c>
      <c r="G88" s="149">
        <f>'TIE-OUT'!K88+RECLASS!I88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41" s="129" customFormat="1" ht="20.25" customHeight="1" x14ac:dyDescent="0.25">
      <c r="A89" s="160"/>
      <c r="B89" s="161"/>
      <c r="C89" s="159" t="s">
        <v>169</v>
      </c>
      <c r="D89" s="162">
        <f>SUM(D86:D88)</f>
        <v>0</v>
      </c>
      <c r="E89" s="162">
        <f t="shared" ref="E89:M89" si="36">SUM(E86:E88)</f>
        <v>-239000</v>
      </c>
      <c r="F89" s="162">
        <f t="shared" si="36"/>
        <v>0</v>
      </c>
      <c r="G89" s="162">
        <f t="shared" si="36"/>
        <v>197664</v>
      </c>
      <c r="H89" s="162">
        <f t="shared" si="36"/>
        <v>0</v>
      </c>
      <c r="I89" s="162">
        <f t="shared" si="36"/>
        <v>0</v>
      </c>
      <c r="J89" s="162">
        <f t="shared" si="36"/>
        <v>0</v>
      </c>
      <c r="K89" s="162">
        <f t="shared" si="36"/>
        <v>0</v>
      </c>
      <c r="L89" s="162">
        <f t="shared" si="36"/>
        <v>0</v>
      </c>
      <c r="M89" s="162">
        <f t="shared" si="36"/>
        <v>0</v>
      </c>
      <c r="N89" s="162">
        <f t="shared" ref="N89:AE89" si="37">SUM(N86:N88)</f>
        <v>0</v>
      </c>
      <c r="O89" s="162">
        <f t="shared" si="37"/>
        <v>0</v>
      </c>
      <c r="P89" s="162">
        <f t="shared" si="37"/>
        <v>0</v>
      </c>
      <c r="Q89" s="162">
        <f t="shared" si="37"/>
        <v>-436664</v>
      </c>
      <c r="R89" s="162">
        <f t="shared" si="37"/>
        <v>0</v>
      </c>
      <c r="S89" s="162">
        <f t="shared" si="37"/>
        <v>0</v>
      </c>
      <c r="T89" s="162">
        <f t="shared" si="37"/>
        <v>0</v>
      </c>
      <c r="U89" s="162">
        <f t="shared" si="37"/>
        <v>0</v>
      </c>
      <c r="V89" s="162">
        <f t="shared" si="37"/>
        <v>0</v>
      </c>
      <c r="W89" s="162">
        <f t="shared" si="37"/>
        <v>0</v>
      </c>
      <c r="X89" s="162">
        <f t="shared" si="37"/>
        <v>0</v>
      </c>
      <c r="Y89" s="162">
        <f t="shared" si="37"/>
        <v>0</v>
      </c>
      <c r="Z89" s="162">
        <f t="shared" si="37"/>
        <v>0</v>
      </c>
      <c r="AA89" s="162">
        <f t="shared" si="37"/>
        <v>0</v>
      </c>
      <c r="AB89" s="162">
        <f t="shared" si="37"/>
        <v>0</v>
      </c>
      <c r="AC89" s="162">
        <f t="shared" si="37"/>
        <v>0</v>
      </c>
      <c r="AD89" s="162">
        <f t="shared" si="37"/>
        <v>0</v>
      </c>
      <c r="AE89" s="162">
        <f t="shared" si="37"/>
        <v>0</v>
      </c>
      <c r="AF89" s="162">
        <f t="shared" ref="AF89:AO89" si="38">SUM(AF86:AF88)</f>
        <v>0</v>
      </c>
      <c r="AG89" s="162">
        <f t="shared" si="38"/>
        <v>0</v>
      </c>
      <c r="AH89" s="162">
        <f t="shared" si="38"/>
        <v>0</v>
      </c>
      <c r="AI89" s="162">
        <f t="shared" si="38"/>
        <v>0</v>
      </c>
      <c r="AJ89" s="162">
        <f t="shared" si="38"/>
        <v>0</v>
      </c>
      <c r="AK89" s="162">
        <f t="shared" si="38"/>
        <v>0</v>
      </c>
      <c r="AL89" s="162">
        <f t="shared" si="38"/>
        <v>0</v>
      </c>
      <c r="AM89" s="162">
        <f t="shared" si="38"/>
        <v>0</v>
      </c>
      <c r="AN89" s="162">
        <f t="shared" si="38"/>
        <v>0</v>
      </c>
      <c r="AO89" s="162">
        <f t="shared" si="3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9" customFormat="1" ht="20.25" customHeight="1" x14ac:dyDescent="0.25">
      <c r="A91" s="160"/>
      <c r="B91" s="161"/>
      <c r="C91" s="159" t="s">
        <v>172</v>
      </c>
      <c r="D91" s="162">
        <f>+D82+D89</f>
        <v>0</v>
      </c>
      <c r="E91" s="162">
        <f t="shared" ref="E91:M91" si="39">+E82+E89</f>
        <v>6636619.1149999993</v>
      </c>
      <c r="F91" s="162">
        <f t="shared" si="39"/>
        <v>0</v>
      </c>
      <c r="G91" s="162">
        <f t="shared" si="39"/>
        <v>-9754366.2000000011</v>
      </c>
      <c r="H91" s="162">
        <f t="shared" si="39"/>
        <v>0</v>
      </c>
      <c r="I91" s="162">
        <f t="shared" si="39"/>
        <v>2957801.1489999909</v>
      </c>
      <c r="J91" s="162">
        <f t="shared" si="39"/>
        <v>0</v>
      </c>
      <c r="K91" s="162">
        <f t="shared" si="39"/>
        <v>3989240.8840000001</v>
      </c>
      <c r="L91" s="162">
        <f t="shared" si="39"/>
        <v>0</v>
      </c>
      <c r="M91" s="162">
        <f t="shared" si="39"/>
        <v>-464840.18499999976</v>
      </c>
      <c r="N91" s="162">
        <f t="shared" ref="N91:AE91" si="40">+N82+N89</f>
        <v>0</v>
      </c>
      <c r="O91" s="162">
        <f t="shared" si="40"/>
        <v>5485.8160000003554</v>
      </c>
      <c r="P91" s="162">
        <f t="shared" si="40"/>
        <v>0</v>
      </c>
      <c r="Q91" s="162">
        <f t="shared" si="40"/>
        <v>133185.77799999982</v>
      </c>
      <c r="R91" s="162">
        <f t="shared" si="40"/>
        <v>0</v>
      </c>
      <c r="S91" s="162">
        <f t="shared" si="40"/>
        <v>-161951.18299999999</v>
      </c>
      <c r="T91" s="162">
        <f t="shared" si="40"/>
        <v>0</v>
      </c>
      <c r="U91" s="162">
        <f t="shared" si="40"/>
        <v>1307428.4399999934</v>
      </c>
      <c r="V91" s="162">
        <f t="shared" si="40"/>
        <v>0</v>
      </c>
      <c r="W91" s="162">
        <f t="shared" si="40"/>
        <v>-3033464.7139999997</v>
      </c>
      <c r="X91" s="162">
        <f t="shared" si="40"/>
        <v>0</v>
      </c>
      <c r="Y91" s="162">
        <f t="shared" si="40"/>
        <v>-87222.710000001112</v>
      </c>
      <c r="Z91" s="162">
        <f t="shared" si="40"/>
        <v>0</v>
      </c>
      <c r="AA91" s="162">
        <f t="shared" si="40"/>
        <v>11745322.039999999</v>
      </c>
      <c r="AB91" s="162">
        <f t="shared" si="40"/>
        <v>0</v>
      </c>
      <c r="AC91" s="162">
        <f t="shared" si="40"/>
        <v>0</v>
      </c>
      <c r="AD91" s="162">
        <f t="shared" si="40"/>
        <v>0</v>
      </c>
      <c r="AE91" s="162">
        <f t="shared" si="40"/>
        <v>0</v>
      </c>
      <c r="AF91" s="162">
        <f t="shared" ref="AF91:AO91" si="41">+AF82+AF89</f>
        <v>0</v>
      </c>
      <c r="AG91" s="162">
        <f t="shared" si="41"/>
        <v>0</v>
      </c>
      <c r="AH91" s="162">
        <f t="shared" si="41"/>
        <v>0</v>
      </c>
      <c r="AI91" s="162">
        <f t="shared" si="41"/>
        <v>0</v>
      </c>
      <c r="AJ91" s="162">
        <f t="shared" si="41"/>
        <v>0</v>
      </c>
      <c r="AK91" s="162">
        <f t="shared" si="41"/>
        <v>0</v>
      </c>
      <c r="AL91" s="162">
        <f t="shared" si="41"/>
        <v>0</v>
      </c>
      <c r="AM91" s="162">
        <f t="shared" si="41"/>
        <v>0</v>
      </c>
      <c r="AN91" s="162">
        <f t="shared" si="41"/>
        <v>0</v>
      </c>
      <c r="AO91" s="162">
        <f t="shared" si="4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V175"/>
  <sheetViews>
    <sheetView zoomScale="75" workbookViewId="0">
      <pane xSplit="3" ySplit="9" topLeftCell="S57" activePane="bottomRight" state="frozen"/>
      <selection activeCell="Z9" sqref="Z9"/>
      <selection pane="topRight" activeCell="Z9" sqref="Z9"/>
      <selection pane="bottomLeft" activeCell="Z9" sqref="Z9"/>
      <selection pane="bottomRight" activeCell="Z89" sqref="Z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6640625" style="129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7358128</v>
      </c>
      <c r="E11" s="38">
        <f>SUM(G11,I11,K11,M11,O11,Q11,S11,U11,W11,Y11,AA11,AC11,AE11)</f>
        <v>16322280.879999997</v>
      </c>
      <c r="F11" s="58">
        <f>'TIE-OUT'!L11+RECLASS!J11</f>
        <v>0</v>
      </c>
      <c r="G11" s="15">
        <f>'TIE-OUT'!M11+RECLASS!K11</f>
        <v>0</v>
      </c>
      <c r="H11" s="120">
        <f>+Actuals!E44</f>
        <v>7411217</v>
      </c>
      <c r="I11" s="121">
        <f>+Actuals!F44</f>
        <v>16353991.229999999</v>
      </c>
      <c r="J11" s="120">
        <f>+Actuals!G44</f>
        <v>-52227</v>
      </c>
      <c r="K11" s="121">
        <f>+Actuals!H44</f>
        <v>-20901.47</v>
      </c>
      <c r="L11" s="120">
        <f>+Actuals!I44</f>
        <v>-6325</v>
      </c>
      <c r="M11" s="121">
        <f>+Actuals!J44</f>
        <v>-23056.14</v>
      </c>
      <c r="N11" s="120">
        <f>+Actuals!K44</f>
        <v>5463</v>
      </c>
      <c r="O11" s="121">
        <f>+Actuals!L44</f>
        <v>12247.26</v>
      </c>
      <c r="P11" s="120">
        <f>+Actuals!M44</f>
        <v>0</v>
      </c>
      <c r="Q11" s="121">
        <f>+Actuals!N44</f>
        <v>0</v>
      </c>
      <c r="R11" s="120">
        <f>+Actuals!O44</f>
        <v>0</v>
      </c>
      <c r="S11" s="121">
        <f>+Actuals!P44</f>
        <v>0</v>
      </c>
      <c r="T11" s="120">
        <f>+Actuals!Q44</f>
        <v>0</v>
      </c>
      <c r="U11" s="121">
        <f>+Actuals!R44</f>
        <v>0</v>
      </c>
      <c r="V11" s="120">
        <f>+Actuals!S44</f>
        <v>0</v>
      </c>
      <c r="W11" s="121">
        <f>+Actuals!T44</f>
        <v>0</v>
      </c>
      <c r="X11" s="120">
        <f>+Actuals!U44</f>
        <v>0</v>
      </c>
      <c r="Y11" s="121">
        <f>+Actuals!V44</f>
        <v>0</v>
      </c>
      <c r="Z11" s="120">
        <f>+Actuals!W44</f>
        <v>0</v>
      </c>
      <c r="AA11" s="121">
        <f>+Actuals!X44</f>
        <v>0</v>
      </c>
      <c r="AB11" s="120">
        <f>+Actuals!Y44</f>
        <v>0</v>
      </c>
      <c r="AC11" s="121">
        <f>+Actuals!Z44</f>
        <v>0</v>
      </c>
      <c r="AD11" s="120">
        <f>+Actuals!AA44</f>
        <v>0</v>
      </c>
      <c r="AE11" s="121">
        <f>+Actuals!AB44</f>
        <v>0</v>
      </c>
      <c r="AF11" s="120">
        <f>+Actuals!AC44</f>
        <v>0</v>
      </c>
      <c r="AG11" s="121">
        <f>+Actuals!AD44</f>
        <v>0</v>
      </c>
      <c r="AH11" s="120">
        <f>+Actuals!AE44</f>
        <v>0</v>
      </c>
      <c r="AI11" s="121">
        <f>+Actuals!AF44</f>
        <v>0</v>
      </c>
      <c r="AJ11" s="120">
        <f>+Actuals!AG44</f>
        <v>0</v>
      </c>
      <c r="AK11" s="121">
        <f>+Actuals!AH44</f>
        <v>0</v>
      </c>
      <c r="AL11" s="120">
        <f>+Actuals!AI44</f>
        <v>0</v>
      </c>
      <c r="AM11" s="121">
        <f>+Actuals!AJ44</f>
        <v>0</v>
      </c>
      <c r="AN11" s="120">
        <f>+Actuals!AK44</f>
        <v>0</v>
      </c>
      <c r="AO11" s="121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-238632.95999999999</v>
      </c>
      <c r="F12" s="58">
        <f>'TIE-OUT'!L12+RECLASS!J12</f>
        <v>0</v>
      </c>
      <c r="G12" s="15">
        <f>'TIE-OUT'!M12+RECLASS!K12</f>
        <v>-238632.95999999999</v>
      </c>
      <c r="H12" s="120">
        <f>+Actuals!E45</f>
        <v>0</v>
      </c>
      <c r="I12" s="121">
        <f>+Actuals!F45</f>
        <v>0</v>
      </c>
      <c r="J12" s="120">
        <f>+Actuals!G45</f>
        <v>0</v>
      </c>
      <c r="K12" s="121">
        <f>+Actuals!H45</f>
        <v>0</v>
      </c>
      <c r="L12" s="120">
        <f>+Actuals!I45</f>
        <v>0</v>
      </c>
      <c r="M12" s="121">
        <f>+Actuals!J45</f>
        <v>0</v>
      </c>
      <c r="N12" s="120">
        <f>+Actuals!K45</f>
        <v>0</v>
      </c>
      <c r="O12" s="121">
        <f>+Actuals!L45</f>
        <v>0</v>
      </c>
      <c r="P12" s="120">
        <f>+Actuals!M45</f>
        <v>0</v>
      </c>
      <c r="Q12" s="121">
        <f>+Actuals!N45</f>
        <v>0</v>
      </c>
      <c r="R12" s="120">
        <f>+Actuals!O45</f>
        <v>0</v>
      </c>
      <c r="S12" s="121">
        <f>+Actuals!P45</f>
        <v>0</v>
      </c>
      <c r="T12" s="120">
        <f>+Actuals!Q45</f>
        <v>0</v>
      </c>
      <c r="U12" s="121">
        <f>+Actuals!R45</f>
        <v>0</v>
      </c>
      <c r="V12" s="120">
        <f>+Actuals!S45</f>
        <v>0</v>
      </c>
      <c r="W12" s="121">
        <f>+Actuals!T45</f>
        <v>0</v>
      </c>
      <c r="X12" s="120">
        <f>+Actuals!U45</f>
        <v>0</v>
      </c>
      <c r="Y12" s="121">
        <f>+Actuals!V45</f>
        <v>0</v>
      </c>
      <c r="Z12" s="120">
        <f>+Actuals!W45</f>
        <v>0</v>
      </c>
      <c r="AA12" s="121">
        <f>+Actuals!X45</f>
        <v>0</v>
      </c>
      <c r="AB12" s="120">
        <f>+Actuals!Y45</f>
        <v>0</v>
      </c>
      <c r="AC12" s="121">
        <f>+Actuals!Z45</f>
        <v>0</v>
      </c>
      <c r="AD12" s="120">
        <f>+Actuals!AA45</f>
        <v>0</v>
      </c>
      <c r="AE12" s="121">
        <f>+Actuals!AB45</f>
        <v>0</v>
      </c>
      <c r="AF12" s="120">
        <f>+Actuals!AC45</f>
        <v>0</v>
      </c>
      <c r="AG12" s="121">
        <f>+Actuals!AD45</f>
        <v>0</v>
      </c>
      <c r="AH12" s="120">
        <f>+Actuals!AE45</f>
        <v>0</v>
      </c>
      <c r="AI12" s="121">
        <f>+Actuals!AF45</f>
        <v>0</v>
      </c>
      <c r="AJ12" s="120">
        <f>+Actuals!AG45</f>
        <v>0</v>
      </c>
      <c r="AK12" s="121">
        <f>+Actuals!AH45</f>
        <v>0</v>
      </c>
      <c r="AL12" s="120">
        <f>+Actuals!AI45</f>
        <v>0</v>
      </c>
      <c r="AM12" s="121">
        <f>+Actuals!AJ45</f>
        <v>0</v>
      </c>
      <c r="AN12" s="120">
        <f>+Actuals!AK45</f>
        <v>0</v>
      </c>
      <c r="AO12" s="121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20">
        <f>+Actuals!E46</f>
        <v>0</v>
      </c>
      <c r="I13" s="121">
        <f>+Actuals!F46</f>
        <v>0</v>
      </c>
      <c r="J13" s="120">
        <f>+Actuals!G46</f>
        <v>0</v>
      </c>
      <c r="K13" s="121">
        <f>+Actuals!H46</f>
        <v>0</v>
      </c>
      <c r="L13" s="120">
        <f>+Actuals!I46</f>
        <v>0</v>
      </c>
      <c r="M13" s="121">
        <f>+Actuals!J46</f>
        <v>0</v>
      </c>
      <c r="N13" s="120">
        <f>+Actuals!K46</f>
        <v>0</v>
      </c>
      <c r="O13" s="121">
        <f>+Actuals!L46</f>
        <v>0</v>
      </c>
      <c r="P13" s="120">
        <f>+Actuals!M46</f>
        <v>0</v>
      </c>
      <c r="Q13" s="121">
        <f>+Actuals!N46</f>
        <v>0</v>
      </c>
      <c r="R13" s="120">
        <f>+Actuals!O46</f>
        <v>0</v>
      </c>
      <c r="S13" s="121">
        <f>+Actuals!P46</f>
        <v>0</v>
      </c>
      <c r="T13" s="120">
        <f>+Actuals!Q46</f>
        <v>0</v>
      </c>
      <c r="U13" s="121">
        <f>+Actuals!R46</f>
        <v>0</v>
      </c>
      <c r="V13" s="120">
        <f>+Actuals!S46</f>
        <v>0</v>
      </c>
      <c r="W13" s="121">
        <f>+Actuals!T46</f>
        <v>0</v>
      </c>
      <c r="X13" s="120">
        <f>+Actuals!U46</f>
        <v>0</v>
      </c>
      <c r="Y13" s="121">
        <f>+Actuals!V46</f>
        <v>0</v>
      </c>
      <c r="Z13" s="120">
        <f>+Actuals!W46</f>
        <v>0</v>
      </c>
      <c r="AA13" s="121">
        <f>+Actuals!X46</f>
        <v>0</v>
      </c>
      <c r="AB13" s="120">
        <f>+Actuals!Y46</f>
        <v>0</v>
      </c>
      <c r="AC13" s="121">
        <f>+Actuals!Z46</f>
        <v>0</v>
      </c>
      <c r="AD13" s="120">
        <f>+Actuals!AA46</f>
        <v>0</v>
      </c>
      <c r="AE13" s="121">
        <f>+Actuals!AB46</f>
        <v>0</v>
      </c>
      <c r="AF13" s="120">
        <f>+Actuals!AC46</f>
        <v>0</v>
      </c>
      <c r="AG13" s="121">
        <f>+Actuals!AD46</f>
        <v>0</v>
      </c>
      <c r="AH13" s="120">
        <f>+Actuals!AE46</f>
        <v>0</v>
      </c>
      <c r="AI13" s="121">
        <f>+Actuals!AF46</f>
        <v>0</v>
      </c>
      <c r="AJ13" s="120">
        <f>+Actuals!AG46</f>
        <v>0</v>
      </c>
      <c r="AK13" s="121">
        <f>+Actuals!AH46</f>
        <v>0</v>
      </c>
      <c r="AL13" s="120">
        <f>+Actuals!AI46</f>
        <v>0</v>
      </c>
      <c r="AM13" s="121">
        <f>+Actuals!AJ46</f>
        <v>0</v>
      </c>
      <c r="AN13" s="120">
        <f>+Actuals!AK46</f>
        <v>0</v>
      </c>
      <c r="AO13" s="121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20">
        <f>+Actuals!E47</f>
        <v>0</v>
      </c>
      <c r="I14" s="121">
        <f>+Actuals!F47</f>
        <v>0</v>
      </c>
      <c r="J14" s="120">
        <f>+Actuals!G47</f>
        <v>0</v>
      </c>
      <c r="K14" s="121">
        <f>+Actuals!H47</f>
        <v>0</v>
      </c>
      <c r="L14" s="120">
        <f>+Actuals!I47</f>
        <v>0</v>
      </c>
      <c r="M14" s="121">
        <f>+Actuals!J47</f>
        <v>0</v>
      </c>
      <c r="N14" s="120">
        <f>+Actuals!K47</f>
        <v>0</v>
      </c>
      <c r="O14" s="121">
        <f>+Actuals!L47</f>
        <v>0</v>
      </c>
      <c r="P14" s="120">
        <f>+Actuals!M47</f>
        <v>0</v>
      </c>
      <c r="Q14" s="121">
        <f>+Actuals!N47</f>
        <v>0</v>
      </c>
      <c r="R14" s="120">
        <f>+Actuals!O47</f>
        <v>0</v>
      </c>
      <c r="S14" s="121">
        <f>+Actuals!P47</f>
        <v>0</v>
      </c>
      <c r="T14" s="120">
        <f>+Actuals!Q47</f>
        <v>0</v>
      </c>
      <c r="U14" s="121">
        <f>+Actuals!R47</f>
        <v>0</v>
      </c>
      <c r="V14" s="120">
        <f>+Actuals!S47</f>
        <v>0</v>
      </c>
      <c r="W14" s="121">
        <f>+Actuals!T47</f>
        <v>0</v>
      </c>
      <c r="X14" s="120">
        <f>+Actuals!U47</f>
        <v>0</v>
      </c>
      <c r="Y14" s="121">
        <f>+Actuals!V47</f>
        <v>0</v>
      </c>
      <c r="Z14" s="120">
        <f>+Actuals!W47</f>
        <v>0</v>
      </c>
      <c r="AA14" s="121">
        <f>+Actuals!X47</f>
        <v>0</v>
      </c>
      <c r="AB14" s="120">
        <f>+Actuals!Y47</f>
        <v>0</v>
      </c>
      <c r="AC14" s="121">
        <f>+Actuals!Z47</f>
        <v>0</v>
      </c>
      <c r="AD14" s="120">
        <f>+Actuals!AA47</f>
        <v>0</v>
      </c>
      <c r="AE14" s="121">
        <f>+Actuals!AB47</f>
        <v>0</v>
      </c>
      <c r="AF14" s="120">
        <f>+Actuals!AC47</f>
        <v>0</v>
      </c>
      <c r="AG14" s="121">
        <f>+Actuals!AD47</f>
        <v>0</v>
      </c>
      <c r="AH14" s="120">
        <f>+Actuals!AE47</f>
        <v>0</v>
      </c>
      <c r="AI14" s="121">
        <f>+Actuals!AF47</f>
        <v>0</v>
      </c>
      <c r="AJ14" s="120">
        <f>+Actuals!AG47</f>
        <v>0</v>
      </c>
      <c r="AK14" s="121">
        <f>+Actuals!AH47</f>
        <v>0</v>
      </c>
      <c r="AL14" s="120">
        <f>+Actuals!AI47</f>
        <v>0</v>
      </c>
      <c r="AM14" s="121">
        <f>+Actuals!AJ47</f>
        <v>0</v>
      </c>
      <c r="AN14" s="120">
        <f>+Actuals!AK47</f>
        <v>0</v>
      </c>
      <c r="AO14" s="121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20">
        <f>+Actuals!E48</f>
        <v>0</v>
      </c>
      <c r="I15" s="121">
        <f>+Actuals!F48</f>
        <v>0</v>
      </c>
      <c r="J15" s="120">
        <f>+Actuals!G48</f>
        <v>0</v>
      </c>
      <c r="K15" s="121">
        <f>+Actuals!H48</f>
        <v>0</v>
      </c>
      <c r="L15" s="120">
        <f>+Actuals!I48</f>
        <v>0</v>
      </c>
      <c r="M15" s="121">
        <f>+Actuals!J48</f>
        <v>0</v>
      </c>
      <c r="N15" s="120">
        <f>+Actuals!K48</f>
        <v>0</v>
      </c>
      <c r="O15" s="121">
        <f>+Actuals!L48</f>
        <v>0</v>
      </c>
      <c r="P15" s="120">
        <f>+Actuals!M48</f>
        <v>0</v>
      </c>
      <c r="Q15" s="121">
        <f>+Actuals!N48</f>
        <v>0</v>
      </c>
      <c r="R15" s="120">
        <f>+Actuals!O48</f>
        <v>0</v>
      </c>
      <c r="S15" s="121">
        <f>+Actuals!P48</f>
        <v>0</v>
      </c>
      <c r="T15" s="120">
        <f>+Actuals!Q48</f>
        <v>0</v>
      </c>
      <c r="U15" s="121">
        <f>+Actuals!R48</f>
        <v>0</v>
      </c>
      <c r="V15" s="120">
        <f>+Actuals!S48</f>
        <v>0</v>
      </c>
      <c r="W15" s="121">
        <f>+Actuals!T48</f>
        <v>0</v>
      </c>
      <c r="X15" s="120">
        <f>+Actuals!U48</f>
        <v>0</v>
      </c>
      <c r="Y15" s="121">
        <f>+Actuals!V48</f>
        <v>0</v>
      </c>
      <c r="Z15" s="120">
        <f>+Actuals!W48</f>
        <v>0</v>
      </c>
      <c r="AA15" s="121">
        <f>+Actuals!X48</f>
        <v>0</v>
      </c>
      <c r="AB15" s="120">
        <f>+Actuals!Y48</f>
        <v>0</v>
      </c>
      <c r="AC15" s="121">
        <f>+Actuals!Z48</f>
        <v>0</v>
      </c>
      <c r="AD15" s="120">
        <f>+Actuals!AA48</f>
        <v>0</v>
      </c>
      <c r="AE15" s="121">
        <f>+Actuals!AB48</f>
        <v>0</v>
      </c>
      <c r="AF15" s="120">
        <f>+Actuals!AC48</f>
        <v>0</v>
      </c>
      <c r="AG15" s="121">
        <f>+Actuals!AD48</f>
        <v>0</v>
      </c>
      <c r="AH15" s="120">
        <f>+Actuals!AE48</f>
        <v>0</v>
      </c>
      <c r="AI15" s="121">
        <f>+Actuals!AF48</f>
        <v>0</v>
      </c>
      <c r="AJ15" s="120">
        <f>+Actuals!AG48</f>
        <v>0</v>
      </c>
      <c r="AK15" s="121">
        <f>+Actuals!AH48</f>
        <v>0</v>
      </c>
      <c r="AL15" s="120">
        <f>+Actuals!AI48</f>
        <v>0</v>
      </c>
      <c r="AM15" s="121">
        <f>+Actuals!AJ48</f>
        <v>0</v>
      </c>
      <c r="AN15" s="120">
        <f>+Actuals!AK48</f>
        <v>0</v>
      </c>
      <c r="AO15" s="121">
        <f>+Actuals!AL48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7358128</v>
      </c>
      <c r="E16" s="39">
        <f t="shared" si="1"/>
        <v>16083647.919999996</v>
      </c>
      <c r="F16" s="59">
        <f t="shared" si="1"/>
        <v>0</v>
      </c>
      <c r="G16" s="23">
        <f t="shared" si="1"/>
        <v>-238632.95999999999</v>
      </c>
      <c r="H16" s="61">
        <f t="shared" si="1"/>
        <v>7411217</v>
      </c>
      <c r="I16" s="39">
        <f t="shared" si="1"/>
        <v>16353991.229999999</v>
      </c>
      <c r="J16" s="61">
        <f t="shared" ref="J16:AO16" si="2">SUM(J11:J15)</f>
        <v>-52227</v>
      </c>
      <c r="K16" s="39">
        <f t="shared" si="2"/>
        <v>-20901.47</v>
      </c>
      <c r="L16" s="61">
        <f t="shared" si="2"/>
        <v>-6325</v>
      </c>
      <c r="M16" s="39">
        <f t="shared" si="2"/>
        <v>-23056.14</v>
      </c>
      <c r="N16" s="61">
        <f t="shared" ref="N16:S16" si="3">SUM(N11:N15)</f>
        <v>5463</v>
      </c>
      <c r="O16" s="39">
        <f t="shared" si="3"/>
        <v>12247.26</v>
      </c>
      <c r="P16" s="61">
        <f t="shared" si="3"/>
        <v>0</v>
      </c>
      <c r="Q16" s="39">
        <f t="shared" si="3"/>
        <v>0</v>
      </c>
      <c r="R16" s="61">
        <f t="shared" si="3"/>
        <v>0</v>
      </c>
      <c r="S16" s="39">
        <f t="shared" si="3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-942918</v>
      </c>
      <c r="E19" s="38">
        <f t="shared" si="4"/>
        <v>-1955285.6</v>
      </c>
      <c r="F19" s="84">
        <f>'TIE-OUT'!L19+RECLASS!J19</f>
        <v>0</v>
      </c>
      <c r="G19" s="85">
        <f>'TIE-OUT'!M19+RECLASS!K19</f>
        <v>0</v>
      </c>
      <c r="H19" s="120">
        <f>+Actuals!E49</f>
        <v>-660570</v>
      </c>
      <c r="I19" s="121">
        <f>+Actuals!F49</f>
        <v>-1334897.28</v>
      </c>
      <c r="J19" s="120">
        <f>+Actuals!G49+12619</f>
        <v>-282348</v>
      </c>
      <c r="K19" s="121">
        <f>+Actuals!H49+30352</f>
        <v>-619493.89</v>
      </c>
      <c r="L19" s="120">
        <f>+Actuals!I49</f>
        <v>0</v>
      </c>
      <c r="M19" s="121">
        <f>+Actuals!J49</f>
        <v>-880.07</v>
      </c>
      <c r="N19" s="120">
        <f>+Actuals!K49</f>
        <v>0</v>
      </c>
      <c r="O19" s="121">
        <f>+Actuals!L49</f>
        <v>-14.36</v>
      </c>
      <c r="P19" s="120">
        <f>+Actuals!M49</f>
        <v>0</v>
      </c>
      <c r="Q19" s="121">
        <f>+Actuals!N49</f>
        <v>0</v>
      </c>
      <c r="R19" s="120">
        <f>+Actuals!O49</f>
        <v>0</v>
      </c>
      <c r="S19" s="121">
        <f>+Actuals!P49</f>
        <v>0</v>
      </c>
      <c r="T19" s="120">
        <f>+Actuals!Q49</f>
        <v>0</v>
      </c>
      <c r="U19" s="121">
        <f>+Actuals!R49</f>
        <v>0</v>
      </c>
      <c r="V19" s="120">
        <f>+Actuals!S49</f>
        <v>0</v>
      </c>
      <c r="W19" s="121">
        <f>+Actuals!T49</f>
        <v>0</v>
      </c>
      <c r="X19" s="120">
        <f>+Actuals!U49</f>
        <v>0</v>
      </c>
      <c r="Y19" s="121">
        <f>+Actuals!V49</f>
        <v>0</v>
      </c>
      <c r="Z19" s="120">
        <f>+Actuals!W49</f>
        <v>0</v>
      </c>
      <c r="AA19" s="121">
        <f>+Actuals!X49</f>
        <v>0</v>
      </c>
      <c r="AB19" s="120">
        <f>+Actuals!Y49</f>
        <v>0</v>
      </c>
      <c r="AC19" s="121">
        <f>+Actuals!Z49</f>
        <v>0</v>
      </c>
      <c r="AD19" s="120">
        <f>+Actuals!AA49</f>
        <v>0</v>
      </c>
      <c r="AE19" s="121">
        <f>+Actuals!AB49</f>
        <v>0</v>
      </c>
      <c r="AF19" s="120">
        <f>+Actuals!AC49</f>
        <v>0</v>
      </c>
      <c r="AG19" s="121">
        <f>+Actuals!AD49</f>
        <v>0</v>
      </c>
      <c r="AH19" s="120">
        <f>+Actuals!AE49</f>
        <v>0</v>
      </c>
      <c r="AI19" s="121">
        <f>+Actuals!AF49</f>
        <v>0</v>
      </c>
      <c r="AJ19" s="120">
        <f>+Actuals!AG49</f>
        <v>0</v>
      </c>
      <c r="AK19" s="121">
        <f>+Actuals!AH49</f>
        <v>0</v>
      </c>
      <c r="AL19" s="120">
        <f>+Actuals!AI49</f>
        <v>0</v>
      </c>
      <c r="AM19" s="121">
        <f>+Actuals!AJ49</f>
        <v>0</v>
      </c>
      <c r="AN19" s="120">
        <f>+Actuals!AK49</f>
        <v>0</v>
      </c>
      <c r="AO19" s="121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0</v>
      </c>
      <c r="F20" s="58">
        <f>'TIE-OUT'!L20+RECLASS!J20</f>
        <v>0</v>
      </c>
      <c r="G20" s="15">
        <f>'TIE-OUT'!M20+RECLASS!K20</f>
        <v>0</v>
      </c>
      <c r="H20" s="120">
        <f>+Actuals!E50</f>
        <v>0</v>
      </c>
      <c r="I20" s="121">
        <f>+Actuals!F50</f>
        <v>0</v>
      </c>
      <c r="J20" s="120">
        <f>+Actuals!G50</f>
        <v>0</v>
      </c>
      <c r="K20" s="121">
        <f>+Actuals!H50</f>
        <v>0</v>
      </c>
      <c r="L20" s="120">
        <f>+Actuals!I50</f>
        <v>0</v>
      </c>
      <c r="M20" s="121">
        <f>+Actuals!J50</f>
        <v>0</v>
      </c>
      <c r="N20" s="120">
        <f>+Actuals!K50</f>
        <v>0</v>
      </c>
      <c r="O20" s="121">
        <f>+Actuals!L50</f>
        <v>0</v>
      </c>
      <c r="P20" s="120">
        <f>+Actuals!M50</f>
        <v>0</v>
      </c>
      <c r="Q20" s="121">
        <f>+Actuals!N50</f>
        <v>0</v>
      </c>
      <c r="R20" s="120">
        <f>+Actuals!O50</f>
        <v>0</v>
      </c>
      <c r="S20" s="121">
        <f>+Actuals!P50</f>
        <v>0</v>
      </c>
      <c r="T20" s="120">
        <f>+Actuals!Q50</f>
        <v>0</v>
      </c>
      <c r="U20" s="121">
        <f>+Actuals!R50</f>
        <v>0</v>
      </c>
      <c r="V20" s="120">
        <f>+Actuals!S50</f>
        <v>0</v>
      </c>
      <c r="W20" s="121">
        <f>+Actuals!T50</f>
        <v>0</v>
      </c>
      <c r="X20" s="120">
        <f>+Actuals!U50</f>
        <v>0</v>
      </c>
      <c r="Y20" s="121">
        <f>+Actuals!V50</f>
        <v>0</v>
      </c>
      <c r="Z20" s="120">
        <f>+Actuals!W50</f>
        <v>0</v>
      </c>
      <c r="AA20" s="121">
        <f>+Actuals!X50</f>
        <v>0</v>
      </c>
      <c r="AB20" s="120">
        <f>+Actuals!Y50</f>
        <v>0</v>
      </c>
      <c r="AC20" s="121">
        <f>+Actuals!Z50</f>
        <v>0</v>
      </c>
      <c r="AD20" s="120">
        <f>+Actuals!AA50</f>
        <v>0</v>
      </c>
      <c r="AE20" s="121">
        <f>+Actuals!AB50</f>
        <v>0</v>
      </c>
      <c r="AF20" s="120">
        <f>+Actuals!AC50</f>
        <v>0</v>
      </c>
      <c r="AG20" s="121">
        <f>+Actuals!AD50</f>
        <v>0</v>
      </c>
      <c r="AH20" s="120">
        <f>+Actuals!AE50</f>
        <v>0</v>
      </c>
      <c r="AI20" s="121">
        <f>+Actuals!AF50</f>
        <v>0</v>
      </c>
      <c r="AJ20" s="120">
        <f>+Actuals!AG50</f>
        <v>0</v>
      </c>
      <c r="AK20" s="121">
        <f>+Actuals!AH50</f>
        <v>0</v>
      </c>
      <c r="AL20" s="120">
        <f>+Actuals!AI50</f>
        <v>0</v>
      </c>
      <c r="AM20" s="121">
        <f>+Actuals!AJ50</f>
        <v>0</v>
      </c>
      <c r="AN20" s="120">
        <f>+Actuals!AK50</f>
        <v>0</v>
      </c>
      <c r="AO20" s="121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0</v>
      </c>
      <c r="E21" s="38">
        <f t="shared" si="4"/>
        <v>0</v>
      </c>
      <c r="F21" s="58">
        <f>'TIE-OUT'!L21+RECLASS!J21</f>
        <v>0</v>
      </c>
      <c r="G21" s="15">
        <f>'TIE-OUT'!M21+RECLASS!K21</f>
        <v>0</v>
      </c>
      <c r="H21" s="120">
        <f>+Actuals!E51</f>
        <v>0</v>
      </c>
      <c r="I21" s="121">
        <f>+Actuals!F51</f>
        <v>0</v>
      </c>
      <c r="J21" s="120">
        <f>+Actuals!G51</f>
        <v>0</v>
      </c>
      <c r="K21" s="121">
        <f>+Actuals!H51</f>
        <v>0</v>
      </c>
      <c r="L21" s="120">
        <f>+Actuals!I51</f>
        <v>0</v>
      </c>
      <c r="M21" s="121">
        <f>+Actuals!J51</f>
        <v>0</v>
      </c>
      <c r="N21" s="120">
        <f>+Actuals!K51</f>
        <v>0</v>
      </c>
      <c r="O21" s="121">
        <f>+Actuals!L51</f>
        <v>0</v>
      </c>
      <c r="P21" s="120">
        <f>+Actuals!M51</f>
        <v>0</v>
      </c>
      <c r="Q21" s="121">
        <f>+Actuals!N51</f>
        <v>0</v>
      </c>
      <c r="R21" s="120">
        <f>+Actuals!O51</f>
        <v>0</v>
      </c>
      <c r="S21" s="121">
        <f>+Actuals!P51</f>
        <v>0</v>
      </c>
      <c r="T21" s="120">
        <f>+Actuals!Q51</f>
        <v>0</v>
      </c>
      <c r="U21" s="121">
        <f>+Actuals!R51</f>
        <v>0</v>
      </c>
      <c r="V21" s="120">
        <f>+Actuals!S51</f>
        <v>0</v>
      </c>
      <c r="W21" s="121">
        <f>+Actuals!T51</f>
        <v>0</v>
      </c>
      <c r="X21" s="120">
        <f>+Actuals!U51</f>
        <v>0</v>
      </c>
      <c r="Y21" s="121">
        <f>+Actuals!V51</f>
        <v>0</v>
      </c>
      <c r="Z21" s="120">
        <f>+Actuals!W51</f>
        <v>0</v>
      </c>
      <c r="AA21" s="121">
        <f>+Actuals!X51</f>
        <v>0</v>
      </c>
      <c r="AB21" s="120">
        <f>+Actuals!Y51</f>
        <v>0</v>
      </c>
      <c r="AC21" s="121">
        <f>+Actuals!Z51</f>
        <v>0</v>
      </c>
      <c r="AD21" s="120">
        <f>+Actuals!AA51</f>
        <v>0</v>
      </c>
      <c r="AE21" s="121">
        <f>+Actuals!AB51</f>
        <v>0</v>
      </c>
      <c r="AF21" s="120">
        <f>+Actuals!AC51</f>
        <v>0</v>
      </c>
      <c r="AG21" s="121">
        <f>+Actuals!AD51</f>
        <v>0</v>
      </c>
      <c r="AH21" s="120">
        <f>+Actuals!AE51</f>
        <v>0</v>
      </c>
      <c r="AI21" s="121">
        <f>+Actuals!AF51</f>
        <v>0</v>
      </c>
      <c r="AJ21" s="120">
        <f>+Actuals!AG51</f>
        <v>0</v>
      </c>
      <c r="AK21" s="121">
        <f>+Actuals!AH51</f>
        <v>0</v>
      </c>
      <c r="AL21" s="120">
        <f>+Actuals!AI51</f>
        <v>0</v>
      </c>
      <c r="AM21" s="121">
        <f>+Actuals!AJ51</f>
        <v>0</v>
      </c>
      <c r="AN21" s="120">
        <f>+Actuals!AK51</f>
        <v>0</v>
      </c>
      <c r="AO21" s="121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58">
        <f>'TIE-OUT'!L22+RECLASS!J22</f>
        <v>0</v>
      </c>
      <c r="G22" s="15">
        <f>'TIE-OUT'!M22+RECLASS!K22</f>
        <v>0</v>
      </c>
      <c r="H22" s="120">
        <f>+Actuals!E52</f>
        <v>0</v>
      </c>
      <c r="I22" s="121">
        <f>+Actuals!F52</f>
        <v>0</v>
      </c>
      <c r="J22" s="120">
        <f>+Actuals!G52</f>
        <v>0</v>
      </c>
      <c r="K22" s="121">
        <f>+Actuals!H52</f>
        <v>0</v>
      </c>
      <c r="L22" s="120">
        <f>+Actuals!I52</f>
        <v>0</v>
      </c>
      <c r="M22" s="121">
        <f>+Actuals!J52</f>
        <v>0</v>
      </c>
      <c r="N22" s="120">
        <f>+Actuals!K52</f>
        <v>0</v>
      </c>
      <c r="O22" s="121">
        <f>+Actuals!L52</f>
        <v>0</v>
      </c>
      <c r="P22" s="120">
        <f>+Actuals!M52</f>
        <v>0</v>
      </c>
      <c r="Q22" s="121">
        <f>+Actuals!N52</f>
        <v>0</v>
      </c>
      <c r="R22" s="120">
        <f>+Actuals!O52</f>
        <v>0</v>
      </c>
      <c r="S22" s="121">
        <f>+Actuals!P52</f>
        <v>0</v>
      </c>
      <c r="T22" s="120">
        <f>+Actuals!Q52</f>
        <v>0</v>
      </c>
      <c r="U22" s="121">
        <f>+Actuals!R52</f>
        <v>0</v>
      </c>
      <c r="V22" s="120">
        <f>+Actuals!S52</f>
        <v>0</v>
      </c>
      <c r="W22" s="121">
        <f>+Actuals!T52</f>
        <v>0</v>
      </c>
      <c r="X22" s="120">
        <f>+Actuals!U52</f>
        <v>0</v>
      </c>
      <c r="Y22" s="121">
        <f>+Actuals!V52</f>
        <v>0</v>
      </c>
      <c r="Z22" s="120">
        <f>+Actuals!W52</f>
        <v>0</v>
      </c>
      <c r="AA22" s="121">
        <f>+Actuals!X52</f>
        <v>0</v>
      </c>
      <c r="AB22" s="120">
        <f>+Actuals!Y52</f>
        <v>0</v>
      </c>
      <c r="AC22" s="121">
        <f>+Actuals!Z52</f>
        <v>0</v>
      </c>
      <c r="AD22" s="120">
        <f>+Actuals!AA52</f>
        <v>0</v>
      </c>
      <c r="AE22" s="121">
        <f>+Actuals!AB52</f>
        <v>0</v>
      </c>
      <c r="AF22" s="120">
        <f>+Actuals!AC52</f>
        <v>0</v>
      </c>
      <c r="AG22" s="121">
        <f>+Actuals!AD52</f>
        <v>0</v>
      </c>
      <c r="AH22" s="120">
        <f>+Actuals!AE52</f>
        <v>0</v>
      </c>
      <c r="AI22" s="121">
        <f>+Actuals!AF52</f>
        <v>0</v>
      </c>
      <c r="AJ22" s="120">
        <f>+Actuals!AG52</f>
        <v>0</v>
      </c>
      <c r="AK22" s="121">
        <f>+Actuals!AH52</f>
        <v>0</v>
      </c>
      <c r="AL22" s="120">
        <f>+Actuals!AI52</f>
        <v>0</v>
      </c>
      <c r="AM22" s="121">
        <f>+Actuals!AJ52</f>
        <v>0</v>
      </c>
      <c r="AN22" s="120">
        <f>+Actuals!AK52</f>
        <v>0</v>
      </c>
      <c r="AO22" s="121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36173</v>
      </c>
      <c r="E23" s="38">
        <f t="shared" si="4"/>
        <v>85698.98</v>
      </c>
      <c r="F23" s="97">
        <f>'TIE-OUT'!L23+RECLASS!J23</f>
        <v>0</v>
      </c>
      <c r="G23" s="98">
        <f>'TIE-OUT'!M23+RECLASS!K23</f>
        <v>0</v>
      </c>
      <c r="H23" s="120">
        <f>+Actuals!E53</f>
        <v>0</v>
      </c>
      <c r="I23" s="121">
        <f>+Actuals!F53</f>
        <v>0</v>
      </c>
      <c r="J23" s="120">
        <f>+Actuals!G53</f>
        <v>36173</v>
      </c>
      <c r="K23" s="121">
        <f>+Actuals!H53</f>
        <v>85698.98</v>
      </c>
      <c r="L23" s="120">
        <f>+Actuals!I53</f>
        <v>0</v>
      </c>
      <c r="M23" s="121">
        <f>+Actuals!J53</f>
        <v>0</v>
      </c>
      <c r="N23" s="120">
        <f>+Actuals!K53</f>
        <v>0</v>
      </c>
      <c r="O23" s="121">
        <f>+Actuals!L53</f>
        <v>0</v>
      </c>
      <c r="P23" s="120">
        <f>+Actuals!M53</f>
        <v>0</v>
      </c>
      <c r="Q23" s="121">
        <f>+Actuals!N53</f>
        <v>0</v>
      </c>
      <c r="R23" s="120">
        <f>+Actuals!O53</f>
        <v>0</v>
      </c>
      <c r="S23" s="121">
        <f>+Actuals!P53</f>
        <v>0</v>
      </c>
      <c r="T23" s="120">
        <f>+Actuals!Q53</f>
        <v>0</v>
      </c>
      <c r="U23" s="121">
        <f>+Actuals!R53</f>
        <v>0</v>
      </c>
      <c r="V23" s="120">
        <f>+Actuals!S53</f>
        <v>0</v>
      </c>
      <c r="W23" s="121">
        <f>+Actuals!T53</f>
        <v>0</v>
      </c>
      <c r="X23" s="120">
        <f>+Actuals!U53</f>
        <v>0</v>
      </c>
      <c r="Y23" s="121">
        <f>+Actuals!V53</f>
        <v>0</v>
      </c>
      <c r="Z23" s="120">
        <f>+Actuals!W53</f>
        <v>0</v>
      </c>
      <c r="AA23" s="121">
        <f>+Actuals!X53</f>
        <v>0</v>
      </c>
      <c r="AB23" s="120">
        <f>+Actuals!Y53</f>
        <v>0</v>
      </c>
      <c r="AC23" s="121">
        <f>+Actuals!Z53</f>
        <v>0</v>
      </c>
      <c r="AD23" s="120">
        <f>+Actuals!AA53</f>
        <v>0</v>
      </c>
      <c r="AE23" s="121">
        <f>+Actuals!AB53</f>
        <v>0</v>
      </c>
      <c r="AF23" s="120">
        <f>+Actuals!AC53</f>
        <v>0</v>
      </c>
      <c r="AG23" s="121">
        <f>+Actuals!AD53</f>
        <v>0</v>
      </c>
      <c r="AH23" s="120">
        <f>+Actuals!AE53</f>
        <v>0</v>
      </c>
      <c r="AI23" s="121">
        <f>+Actuals!AF53</f>
        <v>0</v>
      </c>
      <c r="AJ23" s="120">
        <f>+Actuals!AG53</f>
        <v>0</v>
      </c>
      <c r="AK23" s="121">
        <f>+Actuals!AH53</f>
        <v>0</v>
      </c>
      <c r="AL23" s="120">
        <f>+Actuals!AI53</f>
        <v>0</v>
      </c>
      <c r="AM23" s="121">
        <f>+Actuals!AJ53</f>
        <v>0</v>
      </c>
      <c r="AN23" s="120">
        <f>+Actuals!AK53</f>
        <v>0</v>
      </c>
      <c r="AO23" s="121">
        <f>+Actuals!AL53</f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-906745</v>
      </c>
      <c r="E24" s="39">
        <f t="shared" si="5"/>
        <v>-1869586.62</v>
      </c>
      <c r="F24" s="59">
        <f t="shared" si="5"/>
        <v>0</v>
      </c>
      <c r="G24" s="23">
        <f t="shared" si="5"/>
        <v>0</v>
      </c>
      <c r="H24" s="61">
        <f t="shared" si="5"/>
        <v>-660570</v>
      </c>
      <c r="I24" s="39">
        <f t="shared" si="5"/>
        <v>-1334897.28</v>
      </c>
      <c r="J24" s="61">
        <f t="shared" ref="J24:AO24" si="6">SUM(J19:J23)</f>
        <v>-246175</v>
      </c>
      <c r="K24" s="39">
        <f t="shared" si="6"/>
        <v>-533794.91</v>
      </c>
      <c r="L24" s="61">
        <f t="shared" si="6"/>
        <v>0</v>
      </c>
      <c r="M24" s="39">
        <f t="shared" si="6"/>
        <v>-880.07</v>
      </c>
      <c r="N24" s="61">
        <f t="shared" ref="N24:S24" si="7">SUM(N19:N23)</f>
        <v>0</v>
      </c>
      <c r="O24" s="39">
        <f t="shared" si="7"/>
        <v>-14.36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6"/>
        <v>0</v>
      </c>
      <c r="U24" s="39">
        <f t="shared" si="6"/>
        <v>0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5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2415634</v>
      </c>
      <c r="E27" s="38">
        <f>SUM(G27,I27,K27,M27,O27,Q27,S27,U27,W27,Y27,AA27,AC27,AE27)</f>
        <v>5667397.4100000001</v>
      </c>
      <c r="F27" s="84">
        <f>'TIE-OUT'!L27+RECLASS!J27</f>
        <v>0</v>
      </c>
      <c r="G27" s="85">
        <f>'TIE-OUT'!M27+RECLASS!K27</f>
        <v>0</v>
      </c>
      <c r="H27" s="120">
        <f>+Actuals!E54+251</f>
        <v>3184041</v>
      </c>
      <c r="I27" s="121">
        <f>+Actuals!F54+553</f>
        <v>7718836.4600000009</v>
      </c>
      <c r="J27" s="120">
        <f>+Actuals!G54-251</f>
        <v>-742286</v>
      </c>
      <c r="K27" s="121">
        <f>+Actuals!H54-553</f>
        <v>-1978983.06</v>
      </c>
      <c r="L27" s="120">
        <f>+Actuals!I54</f>
        <v>617</v>
      </c>
      <c r="M27" s="121">
        <f>+Actuals!J54</f>
        <v>-72796.78</v>
      </c>
      <c r="N27" s="120">
        <f>+Actuals!K54</f>
        <v>-5151</v>
      </c>
      <c r="O27" s="121">
        <f>+Actuals!L54</f>
        <v>62699.72</v>
      </c>
      <c r="P27" s="120">
        <f>+Actuals!M54</f>
        <v>-21587</v>
      </c>
      <c r="Q27" s="121">
        <f>+Actuals!N54</f>
        <v>-62358.93</v>
      </c>
      <c r="R27" s="120">
        <f>+Actuals!O54</f>
        <v>0</v>
      </c>
      <c r="S27" s="121">
        <f>+Actuals!P54</f>
        <v>0</v>
      </c>
      <c r="T27" s="120">
        <f>+Actuals!Q54</f>
        <v>0</v>
      </c>
      <c r="U27" s="121">
        <f>+Actuals!R54</f>
        <v>0</v>
      </c>
      <c r="V27" s="120">
        <f>+Actuals!S54</f>
        <v>0</v>
      </c>
      <c r="W27" s="121">
        <f>+Actuals!T54</f>
        <v>0</v>
      </c>
      <c r="X27" s="120">
        <f>+Actuals!U54</f>
        <v>0</v>
      </c>
      <c r="Y27" s="121">
        <f>+Actuals!V54</f>
        <v>0</v>
      </c>
      <c r="Z27" s="120">
        <f>+Actuals!W54</f>
        <v>0</v>
      </c>
      <c r="AA27" s="121">
        <f>+Actuals!X54</f>
        <v>0</v>
      </c>
      <c r="AB27" s="120">
        <f>+Actuals!Y54</f>
        <v>0</v>
      </c>
      <c r="AC27" s="121">
        <f>+Actuals!Z54</f>
        <v>0</v>
      </c>
      <c r="AD27" s="120">
        <f>+Actuals!AA54</f>
        <v>0</v>
      </c>
      <c r="AE27" s="121">
        <f>+Actuals!AB54</f>
        <v>0</v>
      </c>
      <c r="AF27" s="120">
        <f>+Actuals!AC54</f>
        <v>0</v>
      </c>
      <c r="AG27" s="121">
        <f>+Actuals!AD54</f>
        <v>0</v>
      </c>
      <c r="AH27" s="120">
        <f>+Actuals!AE54</f>
        <v>0</v>
      </c>
      <c r="AI27" s="121">
        <f>+Actuals!AF54</f>
        <v>0</v>
      </c>
      <c r="AJ27" s="120">
        <f>+Actuals!AG54</f>
        <v>0</v>
      </c>
      <c r="AK27" s="121">
        <f>+Actuals!AH54</f>
        <v>0</v>
      </c>
      <c r="AL27" s="120">
        <f>+Actuals!AI54</f>
        <v>0</v>
      </c>
      <c r="AM27" s="121">
        <f>+Actuals!AJ54</f>
        <v>0</v>
      </c>
      <c r="AN27" s="120">
        <f>+Actuals!AK54</f>
        <v>0</v>
      </c>
      <c r="AO27" s="121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-9185598</v>
      </c>
      <c r="E28" s="38">
        <f>SUM(G28,I28,K28,M28,O28,Q28,S28,U28,W28,Y28,AA28,AC28,AE28)</f>
        <v>-21655853.180000003</v>
      </c>
      <c r="F28" s="97">
        <f>'TIE-OUT'!L28+RECLASS!J28</f>
        <v>0</v>
      </c>
      <c r="G28" s="98">
        <f>'TIE-OUT'!M28+RECLASS!K28</f>
        <v>0</v>
      </c>
      <c r="H28" s="120">
        <f>+Actuals!E55-251</f>
        <v>-9873030</v>
      </c>
      <c r="I28" s="121">
        <f>+Actuals!F55-553</f>
        <v>-23527670.390000004</v>
      </c>
      <c r="J28" s="120">
        <f>+Actuals!G55-12368</f>
        <v>693512</v>
      </c>
      <c r="K28" s="121">
        <f>+Actuals!H55-29799</f>
        <v>1886751.26</v>
      </c>
      <c r="L28" s="120">
        <f>+Actuals!I55</f>
        <v>-617</v>
      </c>
      <c r="M28" s="121">
        <f>+Actuals!J55</f>
        <v>-1517.92</v>
      </c>
      <c r="N28" s="120">
        <f>+Actuals!K55</f>
        <v>-5463</v>
      </c>
      <c r="O28" s="121">
        <f>+Actuals!L55</f>
        <v>-13416.13</v>
      </c>
      <c r="P28" s="120">
        <f>+Actuals!M55</f>
        <v>0</v>
      </c>
      <c r="Q28" s="121">
        <f>+Actuals!N55</f>
        <v>0</v>
      </c>
      <c r="R28" s="120">
        <f>+Actuals!O55</f>
        <v>0</v>
      </c>
      <c r="S28" s="121">
        <f>+Actuals!P55</f>
        <v>0</v>
      </c>
      <c r="T28" s="120">
        <f>+Actuals!Q55</f>
        <v>0</v>
      </c>
      <c r="U28" s="121">
        <f>+Actuals!R55</f>
        <v>0</v>
      </c>
      <c r="V28" s="120">
        <f>+Actuals!S55</f>
        <v>0</v>
      </c>
      <c r="W28" s="121">
        <f>+Actuals!T55</f>
        <v>0</v>
      </c>
      <c r="X28" s="120">
        <f>+Actuals!U55</f>
        <v>0</v>
      </c>
      <c r="Y28" s="121">
        <f>+Actuals!V55</f>
        <v>0</v>
      </c>
      <c r="Z28" s="120">
        <f>+Actuals!W55</f>
        <v>0</v>
      </c>
      <c r="AA28" s="121">
        <f>+Actuals!X55</f>
        <v>0</v>
      </c>
      <c r="AB28" s="120">
        <f>+Actuals!Y55</f>
        <v>0</v>
      </c>
      <c r="AC28" s="121">
        <f>+Actuals!Z55</f>
        <v>0</v>
      </c>
      <c r="AD28" s="120">
        <f>+Actuals!AA55</f>
        <v>0</v>
      </c>
      <c r="AE28" s="121">
        <f>+Actuals!AB55</f>
        <v>0</v>
      </c>
      <c r="AF28" s="120">
        <f>+Actuals!AC55</f>
        <v>0</v>
      </c>
      <c r="AG28" s="121">
        <f>+Actuals!AD55</f>
        <v>0</v>
      </c>
      <c r="AH28" s="120">
        <f>+Actuals!AE55</f>
        <v>0</v>
      </c>
      <c r="AI28" s="121">
        <f>+Actuals!AF55</f>
        <v>0</v>
      </c>
      <c r="AJ28" s="120">
        <f>+Actuals!AG55</f>
        <v>0</v>
      </c>
      <c r="AK28" s="121">
        <f>+Actuals!AH55</f>
        <v>0</v>
      </c>
      <c r="AL28" s="120">
        <f>+Actuals!AI55</f>
        <v>0</v>
      </c>
      <c r="AM28" s="121">
        <f>+Actuals!AJ55</f>
        <v>0</v>
      </c>
      <c r="AN28" s="120">
        <f>+Actuals!AK55</f>
        <v>0</v>
      </c>
      <c r="AO28" s="121">
        <f>+Actuals!AL55</f>
        <v>0</v>
      </c>
    </row>
    <row r="29" spans="1:41" x14ac:dyDescent="0.25">
      <c r="A29" s="9"/>
      <c r="B29" s="7" t="s">
        <v>37</v>
      </c>
      <c r="C29" s="18"/>
      <c r="D29" s="61">
        <f t="shared" ref="D29:I29" si="8">SUM(D27:D28)</f>
        <v>-6769964</v>
      </c>
      <c r="E29" s="39">
        <f t="shared" si="8"/>
        <v>-15988455.770000003</v>
      </c>
      <c r="F29" s="59">
        <f t="shared" si="8"/>
        <v>0</v>
      </c>
      <c r="G29" s="23">
        <f t="shared" si="8"/>
        <v>0</v>
      </c>
      <c r="H29" s="61">
        <f t="shared" si="8"/>
        <v>-6688989</v>
      </c>
      <c r="I29" s="39">
        <f t="shared" si="8"/>
        <v>-15808833.930000003</v>
      </c>
      <c r="J29" s="61">
        <f t="shared" ref="J29:AO29" si="9">SUM(J27:J28)</f>
        <v>-48774</v>
      </c>
      <c r="K29" s="39">
        <f t="shared" si="9"/>
        <v>-92231.800000000047</v>
      </c>
      <c r="L29" s="61">
        <f t="shared" si="9"/>
        <v>0</v>
      </c>
      <c r="M29" s="39">
        <f t="shared" si="9"/>
        <v>-74314.7</v>
      </c>
      <c r="N29" s="61">
        <f t="shared" ref="N29:S29" si="10">SUM(N27:N28)</f>
        <v>-10614</v>
      </c>
      <c r="O29" s="39">
        <f t="shared" si="10"/>
        <v>49283.590000000004</v>
      </c>
      <c r="P29" s="61">
        <f t="shared" si="10"/>
        <v>-21587</v>
      </c>
      <c r="Q29" s="39">
        <f t="shared" si="10"/>
        <v>-62358.93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5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-223071</v>
      </c>
      <c r="E32" s="38">
        <f t="shared" si="11"/>
        <v>-486517.85</v>
      </c>
      <c r="F32" s="84">
        <f>'TIE-OUT'!L32+RECLASS!J32</f>
        <v>0</v>
      </c>
      <c r="G32" s="85">
        <f>'TIE-OUT'!M32+RECLASS!K32</f>
        <v>0</v>
      </c>
      <c r="H32" s="120">
        <f>+Actuals!E56</f>
        <v>0</v>
      </c>
      <c r="I32" s="121">
        <f>+Actuals!F56</f>
        <v>0</v>
      </c>
      <c r="J32" s="120">
        <f>+Actuals!G56</f>
        <v>-171463</v>
      </c>
      <c r="K32" s="121">
        <f>+Actuals!H56</f>
        <v>-373960.80300000001</v>
      </c>
      <c r="L32" s="120">
        <f>+Actuals!I56</f>
        <v>-27067</v>
      </c>
      <c r="M32" s="121">
        <f>+Actuals!J56</f>
        <v>-59033.127</v>
      </c>
      <c r="N32" s="120">
        <f>+Actuals!K56</f>
        <v>0</v>
      </c>
      <c r="O32" s="121">
        <f>+Actuals!L56</f>
        <v>0</v>
      </c>
      <c r="P32" s="120">
        <f>+Actuals!M56</f>
        <v>10000</v>
      </c>
      <c r="Q32" s="121">
        <f>+Actuals!N56</f>
        <v>21810</v>
      </c>
      <c r="R32" s="120">
        <f>+Actuals!O56</f>
        <v>-10000</v>
      </c>
      <c r="S32" s="121">
        <f>+Actuals!P56</f>
        <v>-21810</v>
      </c>
      <c r="T32" s="120">
        <f>+Actuals!Q56</f>
        <v>0</v>
      </c>
      <c r="U32" s="121">
        <f>+Actuals!R56</f>
        <v>0</v>
      </c>
      <c r="V32" s="120">
        <f>+Actuals!S56</f>
        <v>0</v>
      </c>
      <c r="W32" s="121">
        <f>+Actuals!T56</f>
        <v>0</v>
      </c>
      <c r="X32" s="120">
        <f>+Actuals!U56</f>
        <v>0</v>
      </c>
      <c r="Y32" s="121">
        <f>+Actuals!V56</f>
        <v>0</v>
      </c>
      <c r="Z32" s="120">
        <v>-24541</v>
      </c>
      <c r="AA32" s="121">
        <v>-53523.92</v>
      </c>
      <c r="AB32" s="120">
        <f>+Actuals!Y56</f>
        <v>0</v>
      </c>
      <c r="AC32" s="121">
        <f>+Actuals!Z56</f>
        <v>0</v>
      </c>
      <c r="AD32" s="120">
        <f>+Actuals!AA56</f>
        <v>0</v>
      </c>
      <c r="AE32" s="121">
        <f>+Actuals!AB56</f>
        <v>0</v>
      </c>
      <c r="AF32" s="120">
        <f>+Actuals!AC56</f>
        <v>0</v>
      </c>
      <c r="AG32" s="121">
        <f>+Actuals!AD56</f>
        <v>0</v>
      </c>
      <c r="AH32" s="120">
        <f>+Actuals!AE56</f>
        <v>0</v>
      </c>
      <c r="AI32" s="121">
        <f>+Actuals!AF56</f>
        <v>0</v>
      </c>
      <c r="AJ32" s="120">
        <f>+Actuals!AG56</f>
        <v>0</v>
      </c>
      <c r="AK32" s="121">
        <f>+Actuals!AH56</f>
        <v>0</v>
      </c>
      <c r="AL32" s="120">
        <f>+Actuals!AI56</f>
        <v>0</v>
      </c>
      <c r="AM32" s="121">
        <f>+Actuals!AJ56</f>
        <v>0</v>
      </c>
      <c r="AN32" s="120">
        <f>+Actuals!AK56</f>
        <v>0</v>
      </c>
      <c r="AO32" s="121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58">
        <f>'TIE-OUT'!L33+RECLASS!J33</f>
        <v>0</v>
      </c>
      <c r="G33" s="15">
        <f>'TIE-OUT'!M33+RECLASS!K33</f>
        <v>0</v>
      </c>
      <c r="H33" s="120">
        <f>+Actuals!E57</f>
        <v>0</v>
      </c>
      <c r="I33" s="121">
        <f>+Actuals!F57</f>
        <v>0</v>
      </c>
      <c r="J33" s="120">
        <f>+Actuals!G57</f>
        <v>0</v>
      </c>
      <c r="K33" s="121">
        <f>+Actuals!H57</f>
        <v>0</v>
      </c>
      <c r="L33" s="120">
        <f>+Actuals!I57</f>
        <v>0</v>
      </c>
      <c r="M33" s="121">
        <f>+Actuals!J57</f>
        <v>0</v>
      </c>
      <c r="N33" s="120">
        <f>+Actuals!K57</f>
        <v>0</v>
      </c>
      <c r="O33" s="121">
        <f>+Actuals!L57</f>
        <v>0</v>
      </c>
      <c r="P33" s="120">
        <f>+Actuals!M57</f>
        <v>0</v>
      </c>
      <c r="Q33" s="121">
        <f>+Actuals!N57</f>
        <v>0</v>
      </c>
      <c r="R33" s="120">
        <f>+Actuals!O57</f>
        <v>0</v>
      </c>
      <c r="S33" s="121">
        <f>+Actuals!P57</f>
        <v>0</v>
      </c>
      <c r="T33" s="120">
        <f>+Actuals!Q57</f>
        <v>0</v>
      </c>
      <c r="U33" s="121">
        <f>+Actuals!R57</f>
        <v>0</v>
      </c>
      <c r="V33" s="120">
        <f>+Actuals!S57</f>
        <v>0</v>
      </c>
      <c r="W33" s="121">
        <f>+Actuals!T57</f>
        <v>0</v>
      </c>
      <c r="X33" s="120">
        <f>+Actuals!U57</f>
        <v>0</v>
      </c>
      <c r="Y33" s="121">
        <f>+Actuals!V57</f>
        <v>0</v>
      </c>
      <c r="Z33" s="120">
        <f>+Actuals!W57</f>
        <v>0</v>
      </c>
      <c r="AA33" s="121">
        <f>+Actuals!X57</f>
        <v>0</v>
      </c>
      <c r="AB33" s="120">
        <f>+Actuals!Y57</f>
        <v>0</v>
      </c>
      <c r="AC33" s="121">
        <f>+Actuals!Z57</f>
        <v>0</v>
      </c>
      <c r="AD33" s="120">
        <f>+Actuals!AA57</f>
        <v>0</v>
      </c>
      <c r="AE33" s="121">
        <f>+Actuals!AB57</f>
        <v>0</v>
      </c>
      <c r="AF33" s="120">
        <f>+Actuals!AC57</f>
        <v>0</v>
      </c>
      <c r="AG33" s="121">
        <f>+Actuals!AD57</f>
        <v>0</v>
      </c>
      <c r="AH33" s="120">
        <f>+Actuals!AE57</f>
        <v>0</v>
      </c>
      <c r="AI33" s="121">
        <f>+Actuals!AF57</f>
        <v>0</v>
      </c>
      <c r="AJ33" s="120">
        <f>+Actuals!AG57</f>
        <v>0</v>
      </c>
      <c r="AK33" s="121">
        <f>+Actuals!AH57</f>
        <v>0</v>
      </c>
      <c r="AL33" s="120">
        <f>+Actuals!AI57</f>
        <v>0</v>
      </c>
      <c r="AM33" s="121">
        <f>+Actuals!AJ57</f>
        <v>0</v>
      </c>
      <c r="AN33" s="120">
        <f>+Actuals!AK57</f>
        <v>0</v>
      </c>
      <c r="AO33" s="121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58">
        <f>'TIE-OUT'!L34+RECLASS!J34</f>
        <v>0</v>
      </c>
      <c r="G34" s="15">
        <f>'TIE-OUT'!M34+RECLASS!K34</f>
        <v>0</v>
      </c>
      <c r="H34" s="120">
        <f>+Actuals!E58</f>
        <v>0</v>
      </c>
      <c r="I34" s="121">
        <f>+Actuals!F58</f>
        <v>0</v>
      </c>
      <c r="J34" s="120">
        <f>+Actuals!G58</f>
        <v>0</v>
      </c>
      <c r="K34" s="121">
        <f>+Actuals!H58</f>
        <v>0</v>
      </c>
      <c r="L34" s="120">
        <f>+Actuals!I58</f>
        <v>0</v>
      </c>
      <c r="M34" s="121">
        <f>+Actuals!J58</f>
        <v>0</v>
      </c>
      <c r="N34" s="120">
        <f>+Actuals!K58</f>
        <v>0</v>
      </c>
      <c r="O34" s="121">
        <f>+Actuals!L58</f>
        <v>0</v>
      </c>
      <c r="P34" s="120">
        <f>+Actuals!M58</f>
        <v>0</v>
      </c>
      <c r="Q34" s="121">
        <f>+Actuals!N58</f>
        <v>0</v>
      </c>
      <c r="R34" s="120">
        <f>+Actuals!O58</f>
        <v>0</v>
      </c>
      <c r="S34" s="121">
        <f>+Actuals!P58</f>
        <v>0</v>
      </c>
      <c r="T34" s="120">
        <f>+Actuals!Q58</f>
        <v>0</v>
      </c>
      <c r="U34" s="121">
        <f>+Actuals!R58</f>
        <v>0</v>
      </c>
      <c r="V34" s="120">
        <f>+Actuals!S58</f>
        <v>0</v>
      </c>
      <c r="W34" s="121">
        <f>+Actuals!T58</f>
        <v>0</v>
      </c>
      <c r="X34" s="120">
        <f>+Actuals!U58</f>
        <v>0</v>
      </c>
      <c r="Y34" s="121">
        <f>+Actuals!V58</f>
        <v>0</v>
      </c>
      <c r="Z34" s="120">
        <f>+Actuals!W58</f>
        <v>0</v>
      </c>
      <c r="AA34" s="121">
        <f>+Actuals!X58</f>
        <v>0</v>
      </c>
      <c r="AB34" s="120">
        <f>+Actuals!Y58</f>
        <v>0</v>
      </c>
      <c r="AC34" s="121">
        <f>+Actuals!Z58</f>
        <v>0</v>
      </c>
      <c r="AD34" s="120">
        <f>+Actuals!AA58</f>
        <v>0</v>
      </c>
      <c r="AE34" s="121">
        <f>+Actuals!AB58</f>
        <v>0</v>
      </c>
      <c r="AF34" s="120">
        <f>+Actuals!AC58</f>
        <v>0</v>
      </c>
      <c r="AG34" s="121">
        <f>+Actuals!AD58</f>
        <v>0</v>
      </c>
      <c r="AH34" s="120">
        <f>+Actuals!AE58</f>
        <v>0</v>
      </c>
      <c r="AI34" s="121">
        <f>+Actuals!AF58</f>
        <v>0</v>
      </c>
      <c r="AJ34" s="120">
        <f>+Actuals!AG58</f>
        <v>0</v>
      </c>
      <c r="AK34" s="121">
        <f>+Actuals!AH58</f>
        <v>0</v>
      </c>
      <c r="AL34" s="120">
        <f>+Actuals!AI58</f>
        <v>0</v>
      </c>
      <c r="AM34" s="121">
        <f>+Actuals!AJ58</f>
        <v>0</v>
      </c>
      <c r="AN34" s="120">
        <f>+Actuals!AK58</f>
        <v>0</v>
      </c>
      <c r="AO34" s="121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97">
        <f>'TIE-OUT'!L35+RECLASS!J35</f>
        <v>0</v>
      </c>
      <c r="G35" s="98">
        <f>'TIE-OUT'!M35+RECLASS!K35</f>
        <v>0</v>
      </c>
      <c r="H35" s="120">
        <f>+Actuals!E59</f>
        <v>0</v>
      </c>
      <c r="I35" s="121">
        <f>+Actuals!F59</f>
        <v>0</v>
      </c>
      <c r="J35" s="120">
        <f>+Actuals!G59</f>
        <v>0</v>
      </c>
      <c r="K35" s="121">
        <f>+Actuals!H59</f>
        <v>0</v>
      </c>
      <c r="L35" s="120">
        <f>+Actuals!I59</f>
        <v>0</v>
      </c>
      <c r="M35" s="121">
        <f>+Actuals!J59</f>
        <v>0</v>
      </c>
      <c r="N35" s="120">
        <f>+Actuals!K59</f>
        <v>0</v>
      </c>
      <c r="O35" s="121">
        <f>+Actuals!L59</f>
        <v>0</v>
      </c>
      <c r="P35" s="120">
        <f>+Actuals!M59</f>
        <v>0</v>
      </c>
      <c r="Q35" s="121">
        <f>+Actuals!N59</f>
        <v>0</v>
      </c>
      <c r="R35" s="120">
        <f>+Actuals!O59</f>
        <v>0</v>
      </c>
      <c r="S35" s="121">
        <f>+Actuals!P59</f>
        <v>0</v>
      </c>
      <c r="T35" s="120">
        <f>+Actuals!Q59</f>
        <v>0</v>
      </c>
      <c r="U35" s="121">
        <f>+Actuals!R59</f>
        <v>0</v>
      </c>
      <c r="V35" s="120">
        <f>+Actuals!S59</f>
        <v>0</v>
      </c>
      <c r="W35" s="121">
        <f>+Actuals!T59</f>
        <v>0</v>
      </c>
      <c r="X35" s="120">
        <f>+Actuals!U59</f>
        <v>0</v>
      </c>
      <c r="Y35" s="121">
        <f>+Actuals!V59</f>
        <v>0</v>
      </c>
      <c r="Z35" s="120">
        <f>+Actuals!W59</f>
        <v>0</v>
      </c>
      <c r="AA35" s="121">
        <f>+Actuals!X59</f>
        <v>0</v>
      </c>
      <c r="AB35" s="120">
        <f>+Actuals!Y59</f>
        <v>0</v>
      </c>
      <c r="AC35" s="121">
        <f>+Actuals!Z59</f>
        <v>0</v>
      </c>
      <c r="AD35" s="120">
        <f>+Actuals!AA59</f>
        <v>0</v>
      </c>
      <c r="AE35" s="121">
        <f>+Actuals!AB59</f>
        <v>0</v>
      </c>
      <c r="AF35" s="120">
        <f>+Actuals!AC59</f>
        <v>0</v>
      </c>
      <c r="AG35" s="121">
        <f>+Actuals!AD59</f>
        <v>0</v>
      </c>
      <c r="AH35" s="120">
        <f>+Actuals!AE59</f>
        <v>0</v>
      </c>
      <c r="AI35" s="121">
        <f>+Actuals!AF59</f>
        <v>0</v>
      </c>
      <c r="AJ35" s="120">
        <f>+Actuals!AG59</f>
        <v>0</v>
      </c>
      <c r="AK35" s="121">
        <f>+Actuals!AH59</f>
        <v>0</v>
      </c>
      <c r="AL35" s="120">
        <f>+Actuals!AI59</f>
        <v>0</v>
      </c>
      <c r="AM35" s="121">
        <f>+Actuals!AJ59</f>
        <v>0</v>
      </c>
      <c r="AN35" s="120">
        <f>+Actuals!AK59</f>
        <v>0</v>
      </c>
      <c r="AO35" s="121">
        <f>+Actuals!AL59</f>
        <v>0</v>
      </c>
    </row>
    <row r="36" spans="1:41" x14ac:dyDescent="0.25">
      <c r="A36" s="9"/>
      <c r="B36" s="7" t="s">
        <v>43</v>
      </c>
      <c r="C36" s="6"/>
      <c r="D36" s="61">
        <f t="shared" ref="D36:I36" si="12">SUM(D32:D35)</f>
        <v>-223071</v>
      </c>
      <c r="E36" s="39">
        <f t="shared" si="12"/>
        <v>-486517.85</v>
      </c>
      <c r="F36" s="59">
        <f t="shared" si="12"/>
        <v>0</v>
      </c>
      <c r="G36" s="23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ref="J36:AO36" si="13">SUM(J32:J35)</f>
        <v>-171463</v>
      </c>
      <c r="K36" s="39">
        <f t="shared" si="13"/>
        <v>-373960.80300000001</v>
      </c>
      <c r="L36" s="61">
        <f t="shared" si="13"/>
        <v>-27067</v>
      </c>
      <c r="M36" s="39">
        <f t="shared" si="13"/>
        <v>-59033.127</v>
      </c>
      <c r="N36" s="61">
        <f t="shared" ref="N36:S36" si="14">SUM(N32:N35)</f>
        <v>0</v>
      </c>
      <c r="O36" s="39">
        <f t="shared" si="14"/>
        <v>0</v>
      </c>
      <c r="P36" s="61">
        <f t="shared" si="14"/>
        <v>10000</v>
      </c>
      <c r="Q36" s="39">
        <f t="shared" si="14"/>
        <v>21810</v>
      </c>
      <c r="R36" s="61">
        <f t="shared" si="14"/>
        <v>-10000</v>
      </c>
      <c r="S36" s="39">
        <f t="shared" si="14"/>
        <v>-21810</v>
      </c>
      <c r="T36" s="61">
        <f t="shared" si="13"/>
        <v>0</v>
      </c>
      <c r="U36" s="39">
        <f t="shared" si="13"/>
        <v>0</v>
      </c>
      <c r="V36" s="61">
        <f t="shared" si="13"/>
        <v>0</v>
      </c>
      <c r="W36" s="39">
        <f t="shared" si="13"/>
        <v>0</v>
      </c>
      <c r="X36" s="61">
        <f t="shared" si="13"/>
        <v>0</v>
      </c>
      <c r="Y36" s="39">
        <f t="shared" si="13"/>
        <v>0</v>
      </c>
      <c r="Z36" s="61">
        <f t="shared" si="13"/>
        <v>-24541</v>
      </c>
      <c r="AA36" s="39">
        <f t="shared" si="13"/>
        <v>-53523.92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5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1604146</v>
      </c>
      <c r="E39" s="38">
        <f t="shared" si="15"/>
        <v>3432872.44</v>
      </c>
      <c r="F39" s="84">
        <f>'TIE-OUT'!L39+RECLASS!J39</f>
        <v>0</v>
      </c>
      <c r="G39" s="85">
        <f>'TIE-OUT'!M39+RECLASS!K39</f>
        <v>0</v>
      </c>
      <c r="H39" s="120">
        <f>+Actuals!E60</f>
        <v>0</v>
      </c>
      <c r="I39" s="121">
        <f>+Actuals!F60</f>
        <v>0</v>
      </c>
      <c r="J39" s="120">
        <f>+Actuals!G60</f>
        <v>1604146</v>
      </c>
      <c r="K39" s="121">
        <f>+Actuals!H60</f>
        <v>3432872.44</v>
      </c>
      <c r="L39" s="120">
        <f>+Actuals!I60</f>
        <v>0</v>
      </c>
      <c r="M39" s="121">
        <f>+Actuals!J60</f>
        <v>0</v>
      </c>
      <c r="N39" s="120">
        <f>+Actuals!K60</f>
        <v>0</v>
      </c>
      <c r="O39" s="121">
        <f>+Actuals!L60</f>
        <v>0</v>
      </c>
      <c r="P39" s="120">
        <f>+Actuals!M60</f>
        <v>0</v>
      </c>
      <c r="Q39" s="121">
        <f>+Actuals!N60</f>
        <v>0</v>
      </c>
      <c r="R39" s="120">
        <f>+Actuals!O60</f>
        <v>0</v>
      </c>
      <c r="S39" s="121">
        <f>+Actuals!P60</f>
        <v>0</v>
      </c>
      <c r="T39" s="120">
        <f>+Actuals!Q60</f>
        <v>0</v>
      </c>
      <c r="U39" s="121">
        <f>+Actuals!R60</f>
        <v>0</v>
      </c>
      <c r="V39" s="120">
        <f>+Actuals!S60</f>
        <v>0</v>
      </c>
      <c r="W39" s="121">
        <f>+Actuals!T60</f>
        <v>0</v>
      </c>
      <c r="X39" s="120">
        <f>+Actuals!U60</f>
        <v>0</v>
      </c>
      <c r="Y39" s="121">
        <f>+Actuals!V60</f>
        <v>0</v>
      </c>
      <c r="Z39" s="120">
        <f>+Actuals!W60</f>
        <v>0</v>
      </c>
      <c r="AA39" s="121">
        <f>+Actuals!X60</f>
        <v>0</v>
      </c>
      <c r="AB39" s="120">
        <f>+Actuals!Y60</f>
        <v>0</v>
      </c>
      <c r="AC39" s="121">
        <f>+Actuals!Z60</f>
        <v>0</v>
      </c>
      <c r="AD39" s="120">
        <f>+Actuals!AA60</f>
        <v>0</v>
      </c>
      <c r="AE39" s="121">
        <f>+Actuals!AB60</f>
        <v>0</v>
      </c>
      <c r="AF39" s="120">
        <f>+Actuals!AC60</f>
        <v>0</v>
      </c>
      <c r="AG39" s="121">
        <f>+Actuals!AD60</f>
        <v>0</v>
      </c>
      <c r="AH39" s="120">
        <f>+Actuals!AE60</f>
        <v>0</v>
      </c>
      <c r="AI39" s="121">
        <f>+Actuals!AF60</f>
        <v>0</v>
      </c>
      <c r="AJ39" s="120">
        <f>+Actuals!AG60</f>
        <v>0</v>
      </c>
      <c r="AK39" s="121">
        <f>+Actuals!AH60</f>
        <v>0</v>
      </c>
      <c r="AL39" s="120">
        <f>+Actuals!AI60</f>
        <v>0</v>
      </c>
      <c r="AM39" s="121">
        <f>+Actuals!AJ60</f>
        <v>0</v>
      </c>
      <c r="AN39" s="120">
        <f>+Actuals!AK60</f>
        <v>0</v>
      </c>
      <c r="AO39" s="121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5"/>
        <v>-1134989</v>
      </c>
      <c r="E40" s="38">
        <f t="shared" si="15"/>
        <v>-2428876.46</v>
      </c>
      <c r="F40" s="58">
        <f>'TIE-OUT'!L40+RECLASS!J40</f>
        <v>0</v>
      </c>
      <c r="G40" s="15">
        <f>'TIE-OUT'!M40+RECLASS!K40</f>
        <v>0</v>
      </c>
      <c r="H40" s="120">
        <f>+Actuals!E61</f>
        <v>0</v>
      </c>
      <c r="I40" s="121">
        <f>+Actuals!F61</f>
        <v>0</v>
      </c>
      <c r="J40" s="120">
        <f>+Actuals!G61</f>
        <v>-1156576</v>
      </c>
      <c r="K40" s="121">
        <f>+Actuals!H61</f>
        <v>-2475072.64</v>
      </c>
      <c r="L40" s="120">
        <f>+Actuals!I61</f>
        <v>20907</v>
      </c>
      <c r="M40" s="121">
        <f>+Actuals!J61</f>
        <v>44470.98</v>
      </c>
      <c r="N40" s="120">
        <f>+Actuals!K61</f>
        <v>0</v>
      </c>
      <c r="O40" s="121">
        <f>+Actuals!L61</f>
        <v>270</v>
      </c>
      <c r="P40" s="120">
        <f>+Actuals!M61</f>
        <v>680</v>
      </c>
      <c r="Q40" s="121">
        <f>+Actuals!N61</f>
        <v>1455.2</v>
      </c>
      <c r="R40" s="120">
        <f>+Actuals!O61</f>
        <v>0</v>
      </c>
      <c r="S40" s="121">
        <f>+Actuals!P61</f>
        <v>0</v>
      </c>
      <c r="T40" s="120">
        <f>+Actuals!Q61</f>
        <v>0</v>
      </c>
      <c r="U40" s="121">
        <f>+Actuals!R61</f>
        <v>0</v>
      </c>
      <c r="V40" s="120">
        <f>+Actuals!S61</f>
        <v>0</v>
      </c>
      <c r="W40" s="121">
        <f>+Actuals!T61</f>
        <v>0</v>
      </c>
      <c r="X40" s="120">
        <f>+Actuals!U61</f>
        <v>0</v>
      </c>
      <c r="Y40" s="121">
        <f>+Actuals!V61</f>
        <v>0</v>
      </c>
      <c r="Z40" s="120">
        <f>+Actuals!W61</f>
        <v>0</v>
      </c>
      <c r="AA40" s="121">
        <f>+Actuals!X61</f>
        <v>0</v>
      </c>
      <c r="AB40" s="120">
        <f>+Actuals!Y61</f>
        <v>0</v>
      </c>
      <c r="AC40" s="121">
        <f>+Actuals!Z61</f>
        <v>0</v>
      </c>
      <c r="AD40" s="120">
        <f>+Actuals!AA61</f>
        <v>0</v>
      </c>
      <c r="AE40" s="121">
        <f>+Actuals!AB61</f>
        <v>0</v>
      </c>
      <c r="AF40" s="120">
        <f>+Actuals!AC61</f>
        <v>0</v>
      </c>
      <c r="AG40" s="121">
        <f>+Actuals!AD61</f>
        <v>0</v>
      </c>
      <c r="AH40" s="120">
        <f>+Actuals!AE61</f>
        <v>0</v>
      </c>
      <c r="AI40" s="121">
        <f>+Actuals!AF61</f>
        <v>0</v>
      </c>
      <c r="AJ40" s="120">
        <f>+Actuals!AG61</f>
        <v>0</v>
      </c>
      <c r="AK40" s="121">
        <f>+Actuals!AH61</f>
        <v>0</v>
      </c>
      <c r="AL40" s="120">
        <f>+Actuals!AI61</f>
        <v>0</v>
      </c>
      <c r="AM40" s="121">
        <f>+Actuals!AJ61</f>
        <v>0</v>
      </c>
      <c r="AN40" s="120">
        <f>+Actuals!AK61</f>
        <v>0</v>
      </c>
      <c r="AO40" s="121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97">
        <f>'TIE-OUT'!L41+RECLASS!J41</f>
        <v>0</v>
      </c>
      <c r="G41" s="98">
        <f>'TIE-OUT'!M41+RECLASS!K41</f>
        <v>0</v>
      </c>
      <c r="H41" s="120">
        <f>+Actuals!E62</f>
        <v>0</v>
      </c>
      <c r="I41" s="121">
        <f>+Actuals!F62</f>
        <v>0</v>
      </c>
      <c r="J41" s="120">
        <f>+Actuals!G62</f>
        <v>0</v>
      </c>
      <c r="K41" s="121">
        <f>+Actuals!H62</f>
        <v>0</v>
      </c>
      <c r="L41" s="120">
        <f>+Actuals!I62</f>
        <v>0</v>
      </c>
      <c r="M41" s="121">
        <f>+Actuals!J62</f>
        <v>0</v>
      </c>
      <c r="N41" s="120">
        <f>+Actuals!K62</f>
        <v>0</v>
      </c>
      <c r="O41" s="121">
        <f>+Actuals!L62</f>
        <v>0</v>
      </c>
      <c r="P41" s="120">
        <f>+Actuals!M62</f>
        <v>0</v>
      </c>
      <c r="Q41" s="121">
        <f>+Actuals!N62</f>
        <v>0</v>
      </c>
      <c r="R41" s="120">
        <f>+Actuals!O62</f>
        <v>0</v>
      </c>
      <c r="S41" s="121">
        <f>+Actuals!P62</f>
        <v>0</v>
      </c>
      <c r="T41" s="120">
        <f>+Actuals!Q62</f>
        <v>0</v>
      </c>
      <c r="U41" s="121">
        <f>+Actuals!R62</f>
        <v>0</v>
      </c>
      <c r="V41" s="120">
        <f>+Actuals!S62</f>
        <v>0</v>
      </c>
      <c r="W41" s="121">
        <f>+Actuals!T62</f>
        <v>0</v>
      </c>
      <c r="X41" s="120">
        <f>+Actuals!U62</f>
        <v>0</v>
      </c>
      <c r="Y41" s="121">
        <f>+Actuals!V62</f>
        <v>0</v>
      </c>
      <c r="Z41" s="120">
        <f>+Actuals!W62</f>
        <v>0</v>
      </c>
      <c r="AA41" s="121">
        <f>+Actuals!X62</f>
        <v>0</v>
      </c>
      <c r="AB41" s="120">
        <f>+Actuals!Y62</f>
        <v>0</v>
      </c>
      <c r="AC41" s="121">
        <f>+Actuals!Z62</f>
        <v>0</v>
      </c>
      <c r="AD41" s="120">
        <f>+Actuals!AA62</f>
        <v>0</v>
      </c>
      <c r="AE41" s="121">
        <f>+Actuals!AB62</f>
        <v>0</v>
      </c>
      <c r="AF41" s="120">
        <f>+Actuals!AC62</f>
        <v>0</v>
      </c>
      <c r="AG41" s="121">
        <f>+Actuals!AD62</f>
        <v>0</v>
      </c>
      <c r="AH41" s="120">
        <f>+Actuals!AE62</f>
        <v>0</v>
      </c>
      <c r="AI41" s="121">
        <f>+Actuals!AF62</f>
        <v>0</v>
      </c>
      <c r="AJ41" s="120">
        <f>+Actuals!AG62</f>
        <v>0</v>
      </c>
      <c r="AK41" s="121">
        <f>+Actuals!AH62</f>
        <v>0</v>
      </c>
      <c r="AL41" s="120">
        <f>+Actuals!AI62</f>
        <v>0</v>
      </c>
      <c r="AM41" s="121">
        <f>+Actuals!AJ62</f>
        <v>0</v>
      </c>
      <c r="AN41" s="120">
        <f>+Actuals!AK62</f>
        <v>0</v>
      </c>
      <c r="AO41" s="121">
        <f>+Actuals!AL62</f>
        <v>0</v>
      </c>
    </row>
    <row r="42" spans="1:41" x14ac:dyDescent="0.25">
      <c r="A42" s="9"/>
      <c r="B42" s="7"/>
      <c r="C42" s="53" t="s">
        <v>48</v>
      </c>
      <c r="D42" s="61">
        <f t="shared" ref="D42:I42" si="16">SUM(D40:D41)</f>
        <v>-1134989</v>
      </c>
      <c r="E42" s="39">
        <f t="shared" si="16"/>
        <v>-2428876.46</v>
      </c>
      <c r="F42" s="59">
        <f t="shared" si="16"/>
        <v>0</v>
      </c>
      <c r="G42" s="23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ref="J42:AO42" si="17">SUM(J40:J41)</f>
        <v>-1156576</v>
      </c>
      <c r="K42" s="39">
        <f t="shared" si="17"/>
        <v>-2475072.64</v>
      </c>
      <c r="L42" s="61">
        <f t="shared" si="17"/>
        <v>20907</v>
      </c>
      <c r="M42" s="39">
        <f t="shared" si="17"/>
        <v>44470.98</v>
      </c>
      <c r="N42" s="61">
        <f t="shared" ref="N42:S42" si="18">SUM(N40:N41)</f>
        <v>0</v>
      </c>
      <c r="O42" s="39">
        <f t="shared" si="18"/>
        <v>270</v>
      </c>
      <c r="P42" s="61">
        <f t="shared" si="18"/>
        <v>680</v>
      </c>
      <c r="Q42" s="39">
        <f t="shared" si="18"/>
        <v>1455.2</v>
      </c>
      <c r="R42" s="61">
        <f t="shared" si="18"/>
        <v>0</v>
      </c>
      <c r="S42" s="39">
        <f t="shared" si="18"/>
        <v>0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9">D42+D39</f>
        <v>469157</v>
      </c>
      <c r="E43" s="39">
        <f t="shared" si="19"/>
        <v>1003995.98</v>
      </c>
      <c r="F43" s="59">
        <f t="shared" si="19"/>
        <v>0</v>
      </c>
      <c r="G43" s="23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ref="J43:AO43" si="20">J42+J39</f>
        <v>447570</v>
      </c>
      <c r="K43" s="39">
        <f t="shared" si="20"/>
        <v>957799.79999999981</v>
      </c>
      <c r="L43" s="61">
        <f t="shared" si="20"/>
        <v>20907</v>
      </c>
      <c r="M43" s="39">
        <f t="shared" si="20"/>
        <v>44470.98</v>
      </c>
      <c r="N43" s="61">
        <f t="shared" ref="N43:S43" si="21">N42+N39</f>
        <v>0</v>
      </c>
      <c r="O43" s="39">
        <f t="shared" si="21"/>
        <v>270</v>
      </c>
      <c r="P43" s="61">
        <f t="shared" si="21"/>
        <v>680</v>
      </c>
      <c r="Q43" s="39">
        <f t="shared" si="21"/>
        <v>1455.2</v>
      </c>
      <c r="R43" s="61">
        <f t="shared" si="21"/>
        <v>0</v>
      </c>
      <c r="S43" s="39">
        <f t="shared" si="21"/>
        <v>0</v>
      </c>
      <c r="T43" s="61">
        <f t="shared" si="20"/>
        <v>0</v>
      </c>
      <c r="U43" s="39">
        <f t="shared" si="20"/>
        <v>0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5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84">
        <f>'TIE-OUT'!L45+RECLASS!J45</f>
        <v>0</v>
      </c>
      <c r="G45" s="85">
        <f>'TIE-OUT'!M45+RECLASS!K45</f>
        <v>0</v>
      </c>
      <c r="H45" s="120">
        <f>+Actuals!E63</f>
        <v>0</v>
      </c>
      <c r="I45" s="121">
        <f>+Actuals!F63</f>
        <v>0</v>
      </c>
      <c r="J45" s="120">
        <f>+Actuals!G63</f>
        <v>5161</v>
      </c>
      <c r="K45" s="121">
        <f>+Actuals!H63</f>
        <v>10898.77</v>
      </c>
      <c r="L45" s="120">
        <f>+Actuals!I63</f>
        <v>0</v>
      </c>
      <c r="M45" s="121">
        <f>+Actuals!J63</f>
        <v>0.13</v>
      </c>
      <c r="N45" s="120">
        <f>+Actuals!K63</f>
        <v>0</v>
      </c>
      <c r="O45" s="121">
        <f>+Actuals!L63</f>
        <v>0.13</v>
      </c>
      <c r="P45" s="120">
        <f>+Actuals!M63</f>
        <v>0</v>
      </c>
      <c r="Q45" s="121">
        <f>+Actuals!N63</f>
        <v>0</v>
      </c>
      <c r="R45" s="120">
        <f>+Actuals!O63</f>
        <v>0</v>
      </c>
      <c r="S45" s="121">
        <f>+Actuals!P63</f>
        <v>0</v>
      </c>
      <c r="T45" s="120">
        <f>+Actuals!Q63</f>
        <v>0</v>
      </c>
      <c r="U45" s="121">
        <f>+Actuals!R63</f>
        <v>0</v>
      </c>
      <c r="V45" s="120">
        <f>+Actuals!S63</f>
        <v>0</v>
      </c>
      <c r="W45" s="121">
        <f>+Actuals!T63</f>
        <v>0</v>
      </c>
      <c r="X45" s="120">
        <f>+Actuals!U63</f>
        <v>0</v>
      </c>
      <c r="Y45" s="121">
        <f>+Actuals!V63</f>
        <v>0</v>
      </c>
      <c r="Z45" s="120">
        <f>+Actuals!W63</f>
        <v>0</v>
      </c>
      <c r="AA45" s="121">
        <f>+Actuals!X63</f>
        <v>0</v>
      </c>
      <c r="AB45" s="120">
        <f>+Actuals!Y63</f>
        <v>0</v>
      </c>
      <c r="AC45" s="121">
        <f>+Actuals!Z63</f>
        <v>0</v>
      </c>
      <c r="AD45" s="120">
        <f>+Actuals!AA63</f>
        <v>0</v>
      </c>
      <c r="AE45" s="121">
        <f>+Actuals!AB63</f>
        <v>0</v>
      </c>
      <c r="AF45" s="120">
        <f>+Actuals!AC63</f>
        <v>0</v>
      </c>
      <c r="AG45" s="121">
        <f>+Actuals!AD63</f>
        <v>0</v>
      </c>
      <c r="AH45" s="120">
        <f>+Actuals!AE63</f>
        <v>0</v>
      </c>
      <c r="AI45" s="121">
        <f>+Actuals!AF63</f>
        <v>0</v>
      </c>
      <c r="AJ45" s="120">
        <f>+Actuals!AG63</f>
        <v>0</v>
      </c>
      <c r="AK45" s="121">
        <f>+Actuals!AH63</f>
        <v>0</v>
      </c>
      <c r="AL45" s="120">
        <f>+Actuals!AI63</f>
        <v>0</v>
      </c>
      <c r="AM45" s="121">
        <f>+Actuals!AJ63</f>
        <v>0</v>
      </c>
      <c r="AN45" s="120">
        <f>+Actuals!AK63</f>
        <v>0</v>
      </c>
      <c r="AO45" s="121">
        <f>+Actuals!AL63</f>
        <v>0</v>
      </c>
    </row>
    <row r="46" spans="1:41" x14ac:dyDescent="0.25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20">
        <f>+Actuals!E64</f>
        <v>0</v>
      </c>
      <c r="I47" s="121">
        <f>+Actuals!F64</f>
        <v>0</v>
      </c>
      <c r="J47" s="120">
        <f>+Actuals!G64</f>
        <v>0</v>
      </c>
      <c r="K47" s="121">
        <f>+Actuals!H64</f>
        <v>0</v>
      </c>
      <c r="L47" s="120">
        <f>+Actuals!I64</f>
        <v>0</v>
      </c>
      <c r="M47" s="121">
        <f>+Actuals!J64</f>
        <v>0</v>
      </c>
      <c r="N47" s="120">
        <f>+Actuals!K64</f>
        <v>0</v>
      </c>
      <c r="O47" s="121">
        <f>+Actuals!L64</f>
        <v>0</v>
      </c>
      <c r="P47" s="120">
        <f>+Actuals!M64</f>
        <v>0</v>
      </c>
      <c r="Q47" s="121">
        <f>+Actuals!N64</f>
        <v>0</v>
      </c>
      <c r="R47" s="120">
        <f>+Actuals!O64</f>
        <v>0</v>
      </c>
      <c r="S47" s="121">
        <f>+Actuals!P64</f>
        <v>0</v>
      </c>
      <c r="T47" s="120">
        <f>+Actuals!Q64</f>
        <v>0</v>
      </c>
      <c r="U47" s="121">
        <f>+Actuals!R64</f>
        <v>0</v>
      </c>
      <c r="V47" s="120">
        <f>+Actuals!S64</f>
        <v>0</v>
      </c>
      <c r="W47" s="121">
        <f>+Actuals!T64</f>
        <v>0</v>
      </c>
      <c r="X47" s="120">
        <f>+Actuals!U64</f>
        <v>0</v>
      </c>
      <c r="Y47" s="121">
        <f>+Actuals!V64</f>
        <v>0</v>
      </c>
      <c r="Z47" s="120">
        <f>+Actuals!W64</f>
        <v>0</v>
      </c>
      <c r="AA47" s="121">
        <f>+Actuals!X64</f>
        <v>0</v>
      </c>
      <c r="AB47" s="120">
        <f>+Actuals!Y64</f>
        <v>0</v>
      </c>
      <c r="AC47" s="121">
        <f>+Actuals!Z64</f>
        <v>0</v>
      </c>
      <c r="AD47" s="120">
        <f>+Actuals!AA64</f>
        <v>0</v>
      </c>
      <c r="AE47" s="121">
        <f>+Actuals!AB64</f>
        <v>0</v>
      </c>
      <c r="AF47" s="120">
        <f>+Actuals!AC64</f>
        <v>0</v>
      </c>
      <c r="AG47" s="121">
        <f>+Actuals!AD64</f>
        <v>0</v>
      </c>
      <c r="AH47" s="120">
        <f>+Actuals!AE64</f>
        <v>0</v>
      </c>
      <c r="AI47" s="121">
        <f>+Actuals!AF64</f>
        <v>0</v>
      </c>
      <c r="AJ47" s="120">
        <f>+Actuals!AG64</f>
        <v>0</v>
      </c>
      <c r="AK47" s="121">
        <f>+Actuals!AH64</f>
        <v>0</v>
      </c>
      <c r="AL47" s="120">
        <f>+Actuals!AI64</f>
        <v>0</v>
      </c>
      <c r="AM47" s="121">
        <f>+Actuals!AJ64</f>
        <v>0</v>
      </c>
      <c r="AN47" s="120">
        <f>+Actuals!AK64</f>
        <v>0</v>
      </c>
      <c r="AO47" s="121">
        <f>+Actuals!AL64</f>
        <v>0</v>
      </c>
    </row>
    <row r="48" spans="1:41" x14ac:dyDescent="0.25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67334</v>
      </c>
      <c r="E49" s="38">
        <f>SUM(G49,I49,K49,M49,O49,Q49,S49,U49,W49,Y49,AA49,AC49,AE49)</f>
        <v>146855.45500000002</v>
      </c>
      <c r="F49" s="58">
        <f>'TIE-OUT'!L49+RECLASS!J49</f>
        <v>0</v>
      </c>
      <c r="G49" s="15">
        <f>'TIE-OUT'!M49+RECLASS!K49</f>
        <v>0</v>
      </c>
      <c r="H49" s="120">
        <f>+Actuals!E65</f>
        <v>-61658</v>
      </c>
      <c r="I49" s="121">
        <f>+Actuals!F65</f>
        <v>-134476.098</v>
      </c>
      <c r="J49" s="120">
        <f>+Actuals!G65</f>
        <v>65908</v>
      </c>
      <c r="K49" s="121">
        <f>+Actuals!H65</f>
        <v>143745.35</v>
      </c>
      <c r="L49" s="120">
        <f>+Actuals!I65</f>
        <v>12485</v>
      </c>
      <c r="M49" s="121">
        <f>+Actuals!J65</f>
        <v>27229.785</v>
      </c>
      <c r="N49" s="120">
        <f>+Actuals!K65</f>
        <v>5151</v>
      </c>
      <c r="O49" s="121">
        <f>+Actuals!L65</f>
        <v>11234.331</v>
      </c>
      <c r="P49" s="120">
        <f>+Actuals!M65</f>
        <v>10907</v>
      </c>
      <c r="Q49" s="121">
        <f>+Actuals!N65</f>
        <v>23788.167000000001</v>
      </c>
      <c r="R49" s="120">
        <f>+Actuals!O65</f>
        <v>10000</v>
      </c>
      <c r="S49" s="121">
        <f>+Actuals!P65</f>
        <v>21810</v>
      </c>
      <c r="T49" s="120">
        <f>+Actuals!Q65</f>
        <v>0</v>
      </c>
      <c r="U49" s="121">
        <f>+Actuals!R65</f>
        <v>0</v>
      </c>
      <c r="V49" s="120">
        <f>+Actuals!S64</f>
        <v>0</v>
      </c>
      <c r="W49" s="121">
        <f>+Actuals!T64</f>
        <v>0</v>
      </c>
      <c r="X49" s="120">
        <f>+Actuals!U65</f>
        <v>0</v>
      </c>
      <c r="Y49" s="121">
        <f>+Actuals!V65</f>
        <v>0</v>
      </c>
      <c r="Z49" s="120">
        <v>24541</v>
      </c>
      <c r="AA49" s="121">
        <v>53523.92</v>
      </c>
      <c r="AB49" s="120">
        <f>+Actuals!Y65</f>
        <v>0</v>
      </c>
      <c r="AC49" s="121">
        <f>+Actuals!Z65</f>
        <v>0</v>
      </c>
      <c r="AD49" s="120">
        <f>+Actuals!AA65</f>
        <v>0</v>
      </c>
      <c r="AE49" s="121">
        <f>+Actuals!AB65</f>
        <v>0</v>
      </c>
      <c r="AF49" s="120">
        <f>+Actuals!AC65</f>
        <v>0</v>
      </c>
      <c r="AG49" s="121">
        <f>+Actuals!AD65</f>
        <v>0</v>
      </c>
      <c r="AH49" s="120">
        <f>+Actuals!AE65</f>
        <v>0</v>
      </c>
      <c r="AI49" s="121">
        <f>+Actuals!AF65</f>
        <v>0</v>
      </c>
      <c r="AJ49" s="120">
        <f>+Actuals!AG65</f>
        <v>0</v>
      </c>
      <c r="AK49" s="121">
        <f>+Actuals!AH65</f>
        <v>0</v>
      </c>
      <c r="AL49" s="120">
        <f>+Actuals!AI65</f>
        <v>0</v>
      </c>
      <c r="AM49" s="121">
        <f>+Actuals!AJ65</f>
        <v>0</v>
      </c>
      <c r="AN49" s="120">
        <f>+Actuals!AK65</f>
        <v>0</v>
      </c>
      <c r="AO49" s="121">
        <f>+Actuals!AL65</f>
        <v>0</v>
      </c>
    </row>
    <row r="50" spans="1:41" x14ac:dyDescent="0.25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-48792</v>
      </c>
      <c r="E51" s="38">
        <f>SUM(G51,I51,K51,M51,O51,Q51,S51,U51,W51,Y51,AA51,AC51,AE51)</f>
        <v>-116050.98</v>
      </c>
      <c r="F51" s="58">
        <f>'TIE-OUT'!L51+RECLASS!J51</f>
        <v>0</v>
      </c>
      <c r="G51" s="15">
        <f>'TIE-OUT'!M51+RECLASS!K51</f>
        <v>0</v>
      </c>
      <c r="H51" s="120">
        <f>+Actuals!E66</f>
        <v>0</v>
      </c>
      <c r="I51" s="121">
        <f>+Actuals!F66</f>
        <v>0</v>
      </c>
      <c r="J51" s="120">
        <f>+Actuals!G66-12619</f>
        <v>-48792</v>
      </c>
      <c r="K51" s="121">
        <f>+Actuals!H66-30352</f>
        <v>-116050.98</v>
      </c>
      <c r="L51" s="120">
        <f>+Actuals!I66</f>
        <v>0</v>
      </c>
      <c r="M51" s="121">
        <f>+Actuals!J66</f>
        <v>0</v>
      </c>
      <c r="N51" s="120">
        <f>+Actuals!K66</f>
        <v>0</v>
      </c>
      <c r="O51" s="121">
        <f>+Actuals!L66</f>
        <v>0</v>
      </c>
      <c r="P51" s="120">
        <f>+Actuals!M66</f>
        <v>0</v>
      </c>
      <c r="Q51" s="121">
        <f>+Actuals!N66</f>
        <v>0</v>
      </c>
      <c r="R51" s="120">
        <f>+Actuals!O66</f>
        <v>0</v>
      </c>
      <c r="S51" s="121">
        <f>+Actuals!P66</f>
        <v>0</v>
      </c>
      <c r="T51" s="120">
        <f>+Actuals!Q66</f>
        <v>0</v>
      </c>
      <c r="U51" s="121">
        <f>+Actuals!R66</f>
        <v>0</v>
      </c>
      <c r="V51" s="120">
        <f>+Actuals!S66</f>
        <v>0</v>
      </c>
      <c r="W51" s="121">
        <f>+Actuals!T66</f>
        <v>0</v>
      </c>
      <c r="X51" s="120">
        <f>+Actuals!U66</f>
        <v>0</v>
      </c>
      <c r="Y51" s="121">
        <f>+Actuals!V66</f>
        <v>0</v>
      </c>
      <c r="Z51" s="120">
        <f>+Actuals!W66</f>
        <v>0</v>
      </c>
      <c r="AA51" s="121">
        <f>+Actuals!X66</f>
        <v>0</v>
      </c>
      <c r="AB51" s="120">
        <f>+Actuals!Y66</f>
        <v>0</v>
      </c>
      <c r="AC51" s="121">
        <f>+Actuals!Z66</f>
        <v>0</v>
      </c>
      <c r="AD51" s="120">
        <f>+Actuals!AA66</f>
        <v>0</v>
      </c>
      <c r="AE51" s="121">
        <f>+Actuals!AB66</f>
        <v>0</v>
      </c>
      <c r="AF51" s="120">
        <f>+Actuals!AC66</f>
        <v>0</v>
      </c>
      <c r="AG51" s="121">
        <f>+Actuals!AD66</f>
        <v>0</v>
      </c>
      <c r="AH51" s="120">
        <f>+Actuals!AE66</f>
        <v>0</v>
      </c>
      <c r="AI51" s="121">
        <f>+Actuals!AF66</f>
        <v>0</v>
      </c>
      <c r="AJ51" s="120">
        <f>+Actuals!AG66</f>
        <v>0</v>
      </c>
      <c r="AK51" s="121">
        <f>+Actuals!AH66</f>
        <v>0</v>
      </c>
      <c r="AL51" s="120">
        <f>+Actuals!AI66</f>
        <v>0</v>
      </c>
      <c r="AM51" s="121">
        <f>+Actuals!AJ66</f>
        <v>0</v>
      </c>
      <c r="AN51" s="120">
        <f>+Actuals!AK66</f>
        <v>0</v>
      </c>
      <c r="AO51" s="121">
        <f>+Actuals!AL66</f>
        <v>0</v>
      </c>
    </row>
    <row r="52" spans="1:41" x14ac:dyDescent="0.25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-574244</v>
      </c>
      <c r="E54" s="38">
        <f>SUM(G54,I54,K54,M54,O54,Q54,S54,U54,W54,Y54,AA54,AC54,AE54)</f>
        <v>-3961.47</v>
      </c>
      <c r="F54" s="84">
        <f>'TIE-OUT'!L54+RECLASS!J54</f>
        <v>0</v>
      </c>
      <c r="G54" s="85">
        <f>'TIE-OUT'!M54+RECLASS!K54</f>
        <v>0</v>
      </c>
      <c r="H54" s="120">
        <f>+Actuals!E67</f>
        <v>0</v>
      </c>
      <c r="I54" s="121">
        <f>+Actuals!F67</f>
        <v>0</v>
      </c>
      <c r="J54" s="120">
        <f>+Actuals!G67</f>
        <v>0</v>
      </c>
      <c r="K54" s="121">
        <f>+Actuals!H67</f>
        <v>0</v>
      </c>
      <c r="L54" s="120">
        <f>+Actuals!I67</f>
        <v>0</v>
      </c>
      <c r="M54" s="121">
        <f>+Actuals!J67</f>
        <v>0</v>
      </c>
      <c r="N54" s="120">
        <f>+Actuals!K67</f>
        <v>0</v>
      </c>
      <c r="O54" s="121">
        <f>+Actuals!L67</f>
        <v>0</v>
      </c>
      <c r="P54" s="120">
        <f>+Actuals!M67</f>
        <v>-132049</v>
      </c>
      <c r="Q54" s="121">
        <f>+Actuals!N67</f>
        <v>-3961.47</v>
      </c>
      <c r="R54" s="120">
        <f>+Actuals!O67</f>
        <v>0</v>
      </c>
      <c r="S54" s="121">
        <f>+Actuals!P67</f>
        <v>0</v>
      </c>
      <c r="T54" s="120">
        <f>+Actuals!Q67</f>
        <v>0</v>
      </c>
      <c r="U54" s="121">
        <f>+Actuals!R67</f>
        <v>0</v>
      </c>
      <c r="V54" s="120">
        <f>+Actuals!S67</f>
        <v>0</v>
      </c>
      <c r="W54" s="121">
        <f>+Actuals!T67</f>
        <v>0</v>
      </c>
      <c r="X54" s="120">
        <v>-466736</v>
      </c>
      <c r="Y54" s="121">
        <f>+Actuals!V67</f>
        <v>0</v>
      </c>
      <c r="Z54" s="120">
        <v>24541</v>
      </c>
      <c r="AA54" s="121">
        <f>+Actuals!X67</f>
        <v>0</v>
      </c>
      <c r="AB54" s="120">
        <f>+Actuals!Y67</f>
        <v>0</v>
      </c>
      <c r="AC54" s="121">
        <f>+Actuals!Z67</f>
        <v>0</v>
      </c>
      <c r="AD54" s="120">
        <f>+Actuals!AA67</f>
        <v>0</v>
      </c>
      <c r="AE54" s="121">
        <f>+Actuals!AB67</f>
        <v>0</v>
      </c>
      <c r="AF54" s="120">
        <f>+Actuals!AC67</f>
        <v>0</v>
      </c>
      <c r="AG54" s="121">
        <f>+Actuals!AD67</f>
        <v>0</v>
      </c>
      <c r="AH54" s="120">
        <f>+Actuals!AE67</f>
        <v>0</v>
      </c>
      <c r="AI54" s="121">
        <f>+Actuals!AF67</f>
        <v>0</v>
      </c>
      <c r="AJ54" s="120">
        <f>+Actuals!AG67</f>
        <v>0</v>
      </c>
      <c r="AK54" s="121">
        <f>+Actuals!AH67</f>
        <v>0</v>
      </c>
      <c r="AL54" s="120">
        <f>+Actuals!AI67</f>
        <v>0</v>
      </c>
      <c r="AM54" s="121">
        <f>+Actuals!AJ67</f>
        <v>0</v>
      </c>
      <c r="AN54" s="120">
        <f>+Actuals!AK67</f>
        <v>0</v>
      </c>
      <c r="AO54" s="121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20">
        <f>+Actuals!E68</f>
        <v>0</v>
      </c>
      <c r="I55" s="121">
        <f>+Actuals!F68</f>
        <v>0</v>
      </c>
      <c r="J55" s="120">
        <f>+Actuals!G68</f>
        <v>0</v>
      </c>
      <c r="K55" s="121">
        <f>+Actuals!H68</f>
        <v>0</v>
      </c>
      <c r="L55" s="120">
        <f>+Actuals!I68</f>
        <v>0</v>
      </c>
      <c r="M55" s="121">
        <f>+Actuals!J68</f>
        <v>0</v>
      </c>
      <c r="N55" s="120">
        <f>+Actuals!K68</f>
        <v>0</v>
      </c>
      <c r="O55" s="121">
        <f>+Actuals!L68</f>
        <v>0</v>
      </c>
      <c r="P55" s="120">
        <f>+Actuals!M68</f>
        <v>0</v>
      </c>
      <c r="Q55" s="121">
        <f>+Actuals!N68</f>
        <v>0</v>
      </c>
      <c r="R55" s="120">
        <f>+Actuals!O68</f>
        <v>0</v>
      </c>
      <c r="S55" s="121">
        <f>+Actuals!P68</f>
        <v>0</v>
      </c>
      <c r="T55" s="120">
        <f>+Actuals!Q68</f>
        <v>0</v>
      </c>
      <c r="U55" s="121">
        <f>+Actuals!R68</f>
        <v>0</v>
      </c>
      <c r="V55" s="120">
        <f>+Actuals!S68</f>
        <v>0</v>
      </c>
      <c r="W55" s="121">
        <f>+Actuals!T68</f>
        <v>0</v>
      </c>
      <c r="X55" s="120">
        <f>+Actuals!U68</f>
        <v>0</v>
      </c>
      <c r="Y55" s="121">
        <f>+Actuals!V68</f>
        <v>0</v>
      </c>
      <c r="Z55" s="120">
        <f>+Actuals!W68</f>
        <v>0</v>
      </c>
      <c r="AA55" s="121">
        <f>+Actuals!X68</f>
        <v>0</v>
      </c>
      <c r="AB55" s="120">
        <f>+Actuals!Y68</f>
        <v>0</v>
      </c>
      <c r="AC55" s="121">
        <f>+Actuals!Z68</f>
        <v>0</v>
      </c>
      <c r="AD55" s="120">
        <f>+Actuals!AA68</f>
        <v>0</v>
      </c>
      <c r="AE55" s="121">
        <f>+Actuals!AB68</f>
        <v>0</v>
      </c>
      <c r="AF55" s="120">
        <f>+Actuals!AC68</f>
        <v>0</v>
      </c>
      <c r="AG55" s="121">
        <f>+Actuals!AD68</f>
        <v>0</v>
      </c>
      <c r="AH55" s="120">
        <f>+Actuals!AE68</f>
        <v>0</v>
      </c>
      <c r="AI55" s="121">
        <f>+Actuals!AF68</f>
        <v>0</v>
      </c>
      <c r="AJ55" s="120">
        <f>+Actuals!AG68</f>
        <v>0</v>
      </c>
      <c r="AK55" s="121">
        <f>+Actuals!AH68</f>
        <v>0</v>
      </c>
      <c r="AL55" s="120">
        <f>+Actuals!AI68</f>
        <v>0</v>
      </c>
      <c r="AM55" s="121">
        <f>+Actuals!AJ68</f>
        <v>0</v>
      </c>
      <c r="AN55" s="120">
        <f>+Actuals!AK68</f>
        <v>0</v>
      </c>
      <c r="AO55" s="121">
        <f>+Actuals!AL68</f>
        <v>0</v>
      </c>
    </row>
    <row r="56" spans="1:41" x14ac:dyDescent="0.25">
      <c r="A56" s="9"/>
      <c r="B56" s="7" t="s">
        <v>57</v>
      </c>
      <c r="C56" s="6"/>
      <c r="D56" s="61">
        <f t="shared" ref="D56:I56" si="22">SUM(D54:D55)</f>
        <v>-574244</v>
      </c>
      <c r="E56" s="39">
        <f t="shared" si="22"/>
        <v>-3961.47</v>
      </c>
      <c r="F56" s="59">
        <f t="shared" si="22"/>
        <v>0</v>
      </c>
      <c r="G56" s="23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ref="J56:AO56" si="23">SUM(J54:J55)</f>
        <v>0</v>
      </c>
      <c r="K56" s="39">
        <f t="shared" si="23"/>
        <v>0</v>
      </c>
      <c r="L56" s="61">
        <f t="shared" si="23"/>
        <v>0</v>
      </c>
      <c r="M56" s="39">
        <f t="shared" si="23"/>
        <v>0</v>
      </c>
      <c r="N56" s="61">
        <f t="shared" ref="N56:S56" si="24">SUM(N54:N55)</f>
        <v>0</v>
      </c>
      <c r="O56" s="39">
        <f t="shared" si="24"/>
        <v>0</v>
      </c>
      <c r="P56" s="61">
        <f t="shared" si="24"/>
        <v>-132049</v>
      </c>
      <c r="Q56" s="39">
        <f t="shared" si="24"/>
        <v>-3961.47</v>
      </c>
      <c r="R56" s="61">
        <f t="shared" si="24"/>
        <v>0</v>
      </c>
      <c r="S56" s="39">
        <f t="shared" si="24"/>
        <v>0</v>
      </c>
      <c r="T56" s="61">
        <f t="shared" si="23"/>
        <v>0</v>
      </c>
      <c r="U56" s="39">
        <f t="shared" si="23"/>
        <v>0</v>
      </c>
      <c r="V56" s="61">
        <f t="shared" si="23"/>
        <v>0</v>
      </c>
      <c r="W56" s="39">
        <f t="shared" si="23"/>
        <v>0</v>
      </c>
      <c r="X56" s="61">
        <f t="shared" si="23"/>
        <v>-466736</v>
      </c>
      <c r="Y56" s="39">
        <f t="shared" si="23"/>
        <v>0</v>
      </c>
      <c r="Z56" s="61">
        <f t="shared" si="23"/>
        <v>24541</v>
      </c>
      <c r="AA56" s="39">
        <f t="shared" si="23"/>
        <v>0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5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71544.72</v>
      </c>
      <c r="F59" s="84">
        <f>'TIE-OUT'!L59+RECLASS!J59</f>
        <v>0</v>
      </c>
      <c r="G59" s="85">
        <f>'TIE-OUT'!M59+RECLASS!K59</f>
        <v>0</v>
      </c>
      <c r="H59" s="120">
        <f>+Actuals!E69</f>
        <v>3608663</v>
      </c>
      <c r="I59" s="121">
        <f>+Actuals!F69</f>
        <v>71638.92</v>
      </c>
      <c r="J59" s="120">
        <f>+Actuals!G69</f>
        <v>-848182</v>
      </c>
      <c r="K59" s="121">
        <f>+Actuals!H69</f>
        <v>155.80000000000001</v>
      </c>
      <c r="L59" s="120">
        <f>+Actuals!I69</f>
        <v>26380</v>
      </c>
      <c r="M59" s="121">
        <f>+Actuals!J69</f>
        <v>-250</v>
      </c>
      <c r="N59" s="120">
        <f>+Actuals!K69</f>
        <v>466736</v>
      </c>
      <c r="O59" s="121">
        <f>+Actuals!L69</f>
        <v>0</v>
      </c>
      <c r="P59" s="120">
        <f>+Actuals!M69</f>
        <v>10000</v>
      </c>
      <c r="Q59" s="121">
        <f>+Actuals!N69</f>
        <v>0</v>
      </c>
      <c r="R59" s="120">
        <f>+Actuals!O69</f>
        <v>0</v>
      </c>
      <c r="S59" s="121">
        <f>+Actuals!P69</f>
        <v>0</v>
      </c>
      <c r="T59" s="120">
        <f>+Actuals!Q69</f>
        <v>0</v>
      </c>
      <c r="U59" s="121">
        <f>+Actuals!R69</f>
        <v>0</v>
      </c>
      <c r="V59" s="120">
        <f>+Actuals!S69</f>
        <v>0</v>
      </c>
      <c r="W59" s="121">
        <f>+Actuals!T69</f>
        <v>0</v>
      </c>
      <c r="X59" s="120">
        <f>+Actuals!U69</f>
        <v>0</v>
      </c>
      <c r="Y59" s="121">
        <f>+Actuals!V69</f>
        <v>0</v>
      </c>
      <c r="Z59" s="120">
        <f>+Actuals!W69</f>
        <v>0</v>
      </c>
      <c r="AA59" s="121">
        <f>+Actuals!X69</f>
        <v>0</v>
      </c>
      <c r="AB59" s="120">
        <f>+Actuals!Y69</f>
        <v>0</v>
      </c>
      <c r="AC59" s="121">
        <f>+Actuals!Z69</f>
        <v>0</v>
      </c>
      <c r="AD59" s="120">
        <f>+Actuals!AA69</f>
        <v>0</v>
      </c>
      <c r="AE59" s="121">
        <f>+Actuals!AB69</f>
        <v>0</v>
      </c>
      <c r="AF59" s="120">
        <f>+Actuals!AC69</f>
        <v>0</v>
      </c>
      <c r="AG59" s="121">
        <f>+Actuals!AD69</f>
        <v>0</v>
      </c>
      <c r="AH59" s="120">
        <f>+Actuals!AE69</f>
        <v>0</v>
      </c>
      <c r="AI59" s="121">
        <f>+Actuals!AF69</f>
        <v>0</v>
      </c>
      <c r="AJ59" s="120">
        <f>+Actuals!AG69</f>
        <v>0</v>
      </c>
      <c r="AK59" s="121">
        <f>+Actuals!AH69</f>
        <v>0</v>
      </c>
      <c r="AL59" s="120">
        <f>+Actuals!AI69</f>
        <v>0</v>
      </c>
      <c r="AM59" s="121">
        <f>+Actuals!AJ69</f>
        <v>0</v>
      </c>
      <c r="AN59" s="120">
        <f>+Actuals!AK69</f>
        <v>0</v>
      </c>
      <c r="AO59" s="121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97">
        <f>'TIE-OUT'!L60+RECLASS!J60</f>
        <v>0</v>
      </c>
      <c r="G60" s="98">
        <f>'TIE-OUT'!M60+RECLASS!K60</f>
        <v>0</v>
      </c>
      <c r="H60" s="120">
        <f>+Actuals!E70</f>
        <v>0</v>
      </c>
      <c r="I60" s="121">
        <f>+Actuals!F70+170000</f>
        <v>170000</v>
      </c>
      <c r="J60" s="120">
        <f>+Actuals!G70</f>
        <v>0</v>
      </c>
      <c r="K60" s="121">
        <f>+Actuals!H70</f>
        <v>0</v>
      </c>
      <c r="L60" s="120">
        <f>+Actuals!I70</f>
        <v>0</v>
      </c>
      <c r="M60" s="121">
        <f>+Actuals!J70</f>
        <v>0</v>
      </c>
      <c r="N60" s="120">
        <f>+Actuals!K70</f>
        <v>0</v>
      </c>
      <c r="O60" s="121">
        <f>+Actuals!L70</f>
        <v>0</v>
      </c>
      <c r="P60" s="120">
        <f>+Actuals!M70</f>
        <v>0</v>
      </c>
      <c r="Q60" s="121">
        <f>+Actuals!N70</f>
        <v>0</v>
      </c>
      <c r="R60" s="120">
        <f>+Actuals!O70</f>
        <v>0</v>
      </c>
      <c r="S60" s="121">
        <f>+Actuals!P70</f>
        <v>0</v>
      </c>
      <c r="T60" s="120">
        <f>+Actuals!Q70</f>
        <v>0</v>
      </c>
      <c r="U60" s="121">
        <f>+Actuals!R70</f>
        <v>0</v>
      </c>
      <c r="V60" s="120">
        <f>+Actuals!S70</f>
        <v>0</v>
      </c>
      <c r="W60" s="121">
        <f>+Actuals!T70</f>
        <v>0</v>
      </c>
      <c r="X60" s="120">
        <f>+Actuals!U70</f>
        <v>0</v>
      </c>
      <c r="Y60" s="121">
        <f>+Actuals!V70</f>
        <v>0</v>
      </c>
      <c r="Z60" s="120">
        <f>+Actuals!W70</f>
        <v>0</v>
      </c>
      <c r="AA60" s="121">
        <f>+Actuals!X70</f>
        <v>0</v>
      </c>
      <c r="AB60" s="120">
        <f>+Actuals!Y70</f>
        <v>0</v>
      </c>
      <c r="AC60" s="121">
        <f>+Actuals!Z70</f>
        <v>0</v>
      </c>
      <c r="AD60" s="120">
        <f>+Actuals!AA70</f>
        <v>0</v>
      </c>
      <c r="AE60" s="121">
        <f>+Actuals!AB70</f>
        <v>0</v>
      </c>
      <c r="AF60" s="120">
        <f>+Actuals!AC70</f>
        <v>0</v>
      </c>
      <c r="AG60" s="121">
        <f>+Actuals!AD70</f>
        <v>0</v>
      </c>
      <c r="AH60" s="120">
        <f>+Actuals!AE70</f>
        <v>0</v>
      </c>
      <c r="AI60" s="121">
        <f>+Actuals!AF70</f>
        <v>0</v>
      </c>
      <c r="AJ60" s="120">
        <f>+Actuals!AG70</f>
        <v>0</v>
      </c>
      <c r="AK60" s="121">
        <f>+Actuals!AH70</f>
        <v>0</v>
      </c>
      <c r="AL60" s="120">
        <f>+Actuals!AI70</f>
        <v>0</v>
      </c>
      <c r="AM60" s="121">
        <f>+Actuals!AJ70</f>
        <v>0</v>
      </c>
      <c r="AN60" s="120">
        <f>+Actuals!AK70</f>
        <v>0</v>
      </c>
      <c r="AO60" s="121">
        <f>+Actuals!AL70</f>
        <v>0</v>
      </c>
    </row>
    <row r="61" spans="1:41" x14ac:dyDescent="0.25">
      <c r="A61" s="9"/>
      <c r="B61" s="62" t="s">
        <v>61</v>
      </c>
      <c r="C61" s="6"/>
      <c r="D61" s="61">
        <f t="shared" ref="D61:I61" si="25">SUM(D59:D60)</f>
        <v>3263597</v>
      </c>
      <c r="E61" s="39">
        <f t="shared" si="25"/>
        <v>241544.72</v>
      </c>
      <c r="F61" s="59">
        <f t="shared" si="25"/>
        <v>0</v>
      </c>
      <c r="G61" s="23">
        <f t="shared" si="25"/>
        <v>0</v>
      </c>
      <c r="H61" s="61">
        <f t="shared" si="25"/>
        <v>3608663</v>
      </c>
      <c r="I61" s="39">
        <f t="shared" si="25"/>
        <v>241638.91999999998</v>
      </c>
      <c r="J61" s="61">
        <f t="shared" ref="J61:AO61" si="26">SUM(J59:J60)</f>
        <v>-848182</v>
      </c>
      <c r="K61" s="39">
        <f t="shared" si="26"/>
        <v>155.80000000000001</v>
      </c>
      <c r="L61" s="61">
        <f t="shared" si="26"/>
        <v>26380</v>
      </c>
      <c r="M61" s="39">
        <f t="shared" si="26"/>
        <v>-250</v>
      </c>
      <c r="N61" s="61">
        <f t="shared" ref="N61:S61" si="27">SUM(N59:N60)</f>
        <v>466736</v>
      </c>
      <c r="O61" s="39">
        <f t="shared" si="27"/>
        <v>0</v>
      </c>
      <c r="P61" s="61">
        <f t="shared" si="27"/>
        <v>10000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5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-2359601.39</v>
      </c>
      <c r="F64" s="84">
        <f>'TIE-OUT'!L64+RECLASS!J64</f>
        <v>0</v>
      </c>
      <c r="G64" s="85">
        <f>'TIE-OUT'!M64+RECLASS!K64</f>
        <v>0</v>
      </c>
      <c r="H64" s="120">
        <f>+Actuals!E71</f>
        <v>-13296149</v>
      </c>
      <c r="I64" s="121">
        <f>+Actuals!F71</f>
        <v>-2278678.81</v>
      </c>
      <c r="J64" s="120">
        <f>+Actuals!G71</f>
        <v>-6665955</v>
      </c>
      <c r="K64" s="121">
        <f>+Actuals!H71</f>
        <v>-62256.21</v>
      </c>
      <c r="L64" s="120">
        <f>+Actuals!I71</f>
        <v>-617</v>
      </c>
      <c r="M64" s="121">
        <f>+Actuals!J71</f>
        <v>-61.7</v>
      </c>
      <c r="N64" s="120">
        <f>+Actuals!K71</f>
        <v>-5463</v>
      </c>
      <c r="O64" s="121">
        <f>+Actuals!L71</f>
        <v>-546.30999999999995</v>
      </c>
      <c r="P64" s="120">
        <f>+Actuals!M71</f>
        <v>0</v>
      </c>
      <c r="Q64" s="121">
        <f>+Actuals!N71</f>
        <v>0</v>
      </c>
      <c r="R64" s="120">
        <f>+Actuals!O71</f>
        <v>0</v>
      </c>
      <c r="S64" s="121">
        <f>+Actuals!P71</f>
        <v>-17512.060000000001</v>
      </c>
      <c r="T64" s="120">
        <f>+Actuals!Q71</f>
        <v>0</v>
      </c>
      <c r="U64" s="121">
        <f>+Actuals!R71</f>
        <v>-546.29999999999995</v>
      </c>
      <c r="V64" s="120">
        <f>+Actuals!S71</f>
        <v>0</v>
      </c>
      <c r="W64" s="121">
        <f>+Actuals!T71</f>
        <v>0</v>
      </c>
      <c r="X64" s="120">
        <f>+Actuals!U71</f>
        <v>0</v>
      </c>
      <c r="Y64" s="121">
        <f>+Actuals!V71</f>
        <v>0</v>
      </c>
      <c r="Z64" s="120">
        <f>+Actuals!W71</f>
        <v>0</v>
      </c>
      <c r="AA64" s="121">
        <f>+Actuals!X71</f>
        <v>0</v>
      </c>
      <c r="AB64" s="120">
        <f>+Actuals!Y71</f>
        <v>0</v>
      </c>
      <c r="AC64" s="121">
        <f>+Actuals!Z71</f>
        <v>0</v>
      </c>
      <c r="AD64" s="120">
        <f>+Actuals!AA71</f>
        <v>0</v>
      </c>
      <c r="AE64" s="121">
        <f>+Actuals!AB71</f>
        <v>0</v>
      </c>
      <c r="AF64" s="120">
        <f>+Actuals!AC71</f>
        <v>0</v>
      </c>
      <c r="AG64" s="121">
        <f>+Actuals!AD71</f>
        <v>0</v>
      </c>
      <c r="AH64" s="120">
        <f>+Actuals!AE71</f>
        <v>0</v>
      </c>
      <c r="AI64" s="121">
        <f>+Actuals!AF71</f>
        <v>0</v>
      </c>
      <c r="AJ64" s="120">
        <f>+Actuals!AG71</f>
        <v>0</v>
      </c>
      <c r="AK64" s="121">
        <f>+Actuals!AH71</f>
        <v>0</v>
      </c>
      <c r="AL64" s="120">
        <f>+Actuals!AI71</f>
        <v>0</v>
      </c>
      <c r="AM64" s="121">
        <f>+Actuals!AJ71</f>
        <v>0</v>
      </c>
      <c r="AN64" s="120">
        <f>+Actuals!AK71</f>
        <v>0</v>
      </c>
      <c r="AO64" s="121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19989553</v>
      </c>
      <c r="E65" s="38">
        <f>SUM(G65,I65,K65,M65,O65,Q65,S65,U65,W65,Y65,AA65,AC65,AE65)</f>
        <v>2359055.08</v>
      </c>
      <c r="F65" s="97">
        <f>'TIE-OUT'!L65+RECLASS!J65</f>
        <v>0</v>
      </c>
      <c r="G65" s="98">
        <f>'TIE-OUT'!M65+RECLASS!K65</f>
        <v>0</v>
      </c>
      <c r="H65" s="120">
        <f>+Actuals!E72+1625515</f>
        <v>13293037</v>
      </c>
      <c r="I65" s="121">
        <f>+Actuals!F72+640000</f>
        <v>2278367.62</v>
      </c>
      <c r="J65" s="120">
        <f>+Actuals!G72</f>
        <v>6690436</v>
      </c>
      <c r="K65" s="121">
        <f>+Actuals!H72</f>
        <v>62567.4</v>
      </c>
      <c r="L65" s="120">
        <f>+Actuals!I72</f>
        <v>617</v>
      </c>
      <c r="M65" s="121">
        <f>+Actuals!J72</f>
        <v>61.7</v>
      </c>
      <c r="N65" s="120">
        <f>+Actuals!K72</f>
        <v>0</v>
      </c>
      <c r="O65" s="121">
        <f>+Actuals!L72</f>
        <v>0</v>
      </c>
      <c r="P65" s="120">
        <f>+Actuals!M72</f>
        <v>0</v>
      </c>
      <c r="Q65" s="121">
        <f>+Actuals!N72</f>
        <v>0</v>
      </c>
      <c r="R65" s="120">
        <f>+Actuals!O72</f>
        <v>0</v>
      </c>
      <c r="S65" s="121">
        <f>+Actuals!P72</f>
        <v>0</v>
      </c>
      <c r="T65" s="120">
        <f>+Actuals!Q72</f>
        <v>5463</v>
      </c>
      <c r="U65" s="121">
        <f>+Actuals!R72</f>
        <v>18058.36</v>
      </c>
      <c r="V65" s="120">
        <f>+Actuals!S72</f>
        <v>0</v>
      </c>
      <c r="W65" s="121">
        <f>+Actuals!T72</f>
        <v>0</v>
      </c>
      <c r="X65" s="120">
        <f>+Actuals!U72</f>
        <v>0</v>
      </c>
      <c r="Y65" s="121">
        <f>+Actuals!V72</f>
        <v>0</v>
      </c>
      <c r="Z65" s="120">
        <f>+Actuals!W72</f>
        <v>0</v>
      </c>
      <c r="AA65" s="121">
        <f>+Actuals!X72</f>
        <v>0</v>
      </c>
      <c r="AB65" s="120">
        <f>+Actuals!Y72</f>
        <v>0</v>
      </c>
      <c r="AC65" s="121">
        <f>+Actuals!Z72</f>
        <v>0</v>
      </c>
      <c r="AD65" s="120">
        <f>+Actuals!AA72</f>
        <v>0</v>
      </c>
      <c r="AE65" s="121">
        <f>+Actuals!AB72</f>
        <v>0</v>
      </c>
      <c r="AF65" s="120">
        <f>+Actuals!AC72</f>
        <v>0</v>
      </c>
      <c r="AG65" s="121">
        <f>+Actuals!AD72</f>
        <v>0</v>
      </c>
      <c r="AH65" s="120">
        <f>+Actuals!AE72</f>
        <v>0</v>
      </c>
      <c r="AI65" s="121">
        <f>+Actuals!AF72</f>
        <v>0</v>
      </c>
      <c r="AJ65" s="120">
        <f>+Actuals!AG72</f>
        <v>0</v>
      </c>
      <c r="AK65" s="121">
        <f>+Actuals!AH72</f>
        <v>0</v>
      </c>
      <c r="AL65" s="120">
        <f>+Actuals!AI72</f>
        <v>0</v>
      </c>
      <c r="AM65" s="121">
        <f>+Actuals!AJ72</f>
        <v>0</v>
      </c>
      <c r="AN65" s="120">
        <f>+Actuals!AK72</f>
        <v>0</v>
      </c>
      <c r="AO65" s="121">
        <f>+Actuals!AL72</f>
        <v>0</v>
      </c>
    </row>
    <row r="66" spans="1:41" x14ac:dyDescent="0.25">
      <c r="A66" s="9"/>
      <c r="B66" s="7" t="s">
        <v>64</v>
      </c>
      <c r="C66" s="6"/>
      <c r="D66" s="61">
        <f t="shared" ref="D66:I66" si="28">SUM(D64:D65)</f>
        <v>21369</v>
      </c>
      <c r="E66" s="39">
        <f t="shared" si="28"/>
        <v>-546.31000000005588</v>
      </c>
      <c r="F66" s="59">
        <f t="shared" si="28"/>
        <v>0</v>
      </c>
      <c r="G66" s="23">
        <f t="shared" si="28"/>
        <v>0</v>
      </c>
      <c r="H66" s="61">
        <f t="shared" si="28"/>
        <v>-3112</v>
      </c>
      <c r="I66" s="39">
        <f t="shared" si="28"/>
        <v>-311.18999999994412</v>
      </c>
      <c r="J66" s="61">
        <f t="shared" ref="J66:AO66" si="29">SUM(J64:J65)</f>
        <v>24481</v>
      </c>
      <c r="K66" s="39">
        <f t="shared" si="29"/>
        <v>311.19000000000233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-5463</v>
      </c>
      <c r="O66" s="39">
        <f t="shared" si="30"/>
        <v>-546.30999999999995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-17512.060000000001</v>
      </c>
      <c r="T66" s="61">
        <f t="shared" si="29"/>
        <v>5463</v>
      </c>
      <c r="U66" s="39">
        <f t="shared" si="29"/>
        <v>17512.060000000001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5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20">
        <f>+Actuals!E73</f>
        <v>0</v>
      </c>
      <c r="I70" s="121">
        <f>+Actuals!F73</f>
        <v>0</v>
      </c>
      <c r="J70" s="120">
        <f>+Actuals!G73</f>
        <v>0</v>
      </c>
      <c r="K70" s="121">
        <f>+Actuals!H73</f>
        <v>0</v>
      </c>
      <c r="L70" s="120">
        <f>+Actuals!I73</f>
        <v>0</v>
      </c>
      <c r="M70" s="121">
        <f>+Actuals!J73</f>
        <v>0</v>
      </c>
      <c r="N70" s="120">
        <f>+Actuals!K73</f>
        <v>0</v>
      </c>
      <c r="O70" s="121">
        <f>+Actuals!L73</f>
        <v>0</v>
      </c>
      <c r="P70" s="120">
        <f>+Actuals!M73</f>
        <v>0</v>
      </c>
      <c r="Q70" s="121">
        <f>+Actuals!N73</f>
        <v>0</v>
      </c>
      <c r="R70" s="120">
        <f>+Actuals!O73</f>
        <v>0</v>
      </c>
      <c r="S70" s="121">
        <f>+Actuals!P73</f>
        <v>0</v>
      </c>
      <c r="T70" s="120">
        <f>+Actuals!Q73</f>
        <v>0</v>
      </c>
      <c r="U70" s="121">
        <f>+Actuals!R73</f>
        <v>0</v>
      </c>
      <c r="V70" s="120">
        <f>+Actuals!S73</f>
        <v>0</v>
      </c>
      <c r="W70" s="121">
        <f>+Actuals!T73</f>
        <v>0</v>
      </c>
      <c r="X70" s="120">
        <f>+Actuals!U73</f>
        <v>0</v>
      </c>
      <c r="Y70" s="121">
        <f>+Actuals!V73</f>
        <v>0</v>
      </c>
      <c r="Z70" s="120">
        <f>+Actuals!W73</f>
        <v>0</v>
      </c>
      <c r="AA70" s="121">
        <f>+Actuals!X73</f>
        <v>0</v>
      </c>
      <c r="AB70" s="120">
        <f>+Actuals!Y73</f>
        <v>0</v>
      </c>
      <c r="AC70" s="121">
        <f>+Actuals!Z73</f>
        <v>0</v>
      </c>
      <c r="AD70" s="120">
        <f>+Actuals!AA73</f>
        <v>0</v>
      </c>
      <c r="AE70" s="121">
        <f>+Actuals!AB73</f>
        <v>0</v>
      </c>
      <c r="AF70" s="120">
        <f>+Actuals!AC73</f>
        <v>0</v>
      </c>
      <c r="AG70" s="121">
        <f>+Actuals!AD73</f>
        <v>0</v>
      </c>
      <c r="AH70" s="120">
        <f>+Actuals!AE73</f>
        <v>0</v>
      </c>
      <c r="AI70" s="121">
        <f>+Actuals!AF73</f>
        <v>0</v>
      </c>
      <c r="AJ70" s="120">
        <f>+Actuals!AG73</f>
        <v>0</v>
      </c>
      <c r="AK70" s="121">
        <f>+Actuals!AH73</f>
        <v>0</v>
      </c>
      <c r="AL70" s="120">
        <f>+Actuals!AI73</f>
        <v>0</v>
      </c>
      <c r="AM70" s="121">
        <f>+Actuals!AJ73</f>
        <v>0</v>
      </c>
      <c r="AN70" s="120">
        <f>+Actuals!AK73</f>
        <v>0</v>
      </c>
      <c r="AO70" s="121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20">
        <f>+Actuals!E74</f>
        <v>0</v>
      </c>
      <c r="I71" s="121">
        <f>+Actuals!F74</f>
        <v>0</v>
      </c>
      <c r="J71" s="120">
        <f>+Actuals!G74</f>
        <v>0</v>
      </c>
      <c r="K71" s="121">
        <f>+Actuals!H74</f>
        <v>0</v>
      </c>
      <c r="L71" s="120">
        <f>+Actuals!I74</f>
        <v>0</v>
      </c>
      <c r="M71" s="121">
        <f>+Actuals!J74</f>
        <v>0</v>
      </c>
      <c r="N71" s="120">
        <f>+Actuals!K74</f>
        <v>0</v>
      </c>
      <c r="O71" s="121">
        <f>+Actuals!L74</f>
        <v>0</v>
      </c>
      <c r="P71" s="120">
        <f>+Actuals!M74</f>
        <v>0</v>
      </c>
      <c r="Q71" s="121">
        <f>+Actuals!N74</f>
        <v>0</v>
      </c>
      <c r="R71" s="120">
        <f>+Actuals!O74</f>
        <v>0</v>
      </c>
      <c r="S71" s="121">
        <f>+Actuals!P74</f>
        <v>0</v>
      </c>
      <c r="T71" s="120">
        <f>+Actuals!Q74</f>
        <v>0</v>
      </c>
      <c r="U71" s="121">
        <f>+Actuals!R74</f>
        <v>0</v>
      </c>
      <c r="V71" s="120">
        <f>+Actuals!S74</f>
        <v>0</v>
      </c>
      <c r="W71" s="121">
        <f>+Actuals!T74</f>
        <v>0</v>
      </c>
      <c r="X71" s="120">
        <f>+Actuals!U74</f>
        <v>0</v>
      </c>
      <c r="Y71" s="121">
        <f>+Actuals!V74</f>
        <v>0</v>
      </c>
      <c r="Z71" s="120">
        <f>+Actuals!W74</f>
        <v>0</v>
      </c>
      <c r="AA71" s="121">
        <f>+Actuals!X74</f>
        <v>0</v>
      </c>
      <c r="AB71" s="120">
        <f>+Actuals!Y74</f>
        <v>0</v>
      </c>
      <c r="AC71" s="121">
        <f>+Actuals!Z74</f>
        <v>0</v>
      </c>
      <c r="AD71" s="120">
        <f>+Actuals!AA74</f>
        <v>0</v>
      </c>
      <c r="AE71" s="121">
        <f>+Actuals!AB74</f>
        <v>0</v>
      </c>
      <c r="AF71" s="120">
        <f>+Actuals!AC74</f>
        <v>0</v>
      </c>
      <c r="AG71" s="121">
        <f>+Actuals!AD74</f>
        <v>0</v>
      </c>
      <c r="AH71" s="120">
        <f>+Actuals!AE74</f>
        <v>0</v>
      </c>
      <c r="AI71" s="121">
        <f>+Actuals!AF74</f>
        <v>0</v>
      </c>
      <c r="AJ71" s="120">
        <f>+Actuals!AG74</f>
        <v>0</v>
      </c>
      <c r="AK71" s="121">
        <f>+Actuals!AH74</f>
        <v>0</v>
      </c>
      <c r="AL71" s="120">
        <f>+Actuals!AI74</f>
        <v>0</v>
      </c>
      <c r="AM71" s="121">
        <f>+Actuals!AJ74</f>
        <v>0</v>
      </c>
      <c r="AN71" s="120">
        <f>+Actuals!AK74</f>
        <v>0</v>
      </c>
      <c r="AO71" s="121">
        <f>+Actuals!AL74</f>
        <v>0</v>
      </c>
    </row>
    <row r="72" spans="1:41" x14ac:dyDescent="0.25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0</v>
      </c>
      <c r="F72" s="59">
        <f t="shared" si="31"/>
        <v>0</v>
      </c>
      <c r="G72" s="23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58">
        <f>'TIE-OUT'!L73+RECLASS!J73</f>
        <v>0</v>
      </c>
      <c r="G73" s="58">
        <f>'TIE-OUT'!M73+RECLASS!K73</f>
        <v>0</v>
      </c>
      <c r="H73" s="120">
        <f>+Actuals!E75</f>
        <v>0</v>
      </c>
      <c r="I73" s="121">
        <f>+Actuals!F75</f>
        <v>0</v>
      </c>
      <c r="J73" s="120">
        <f>+Actuals!G75</f>
        <v>0</v>
      </c>
      <c r="K73" s="121">
        <f>+Actuals!H75</f>
        <v>0</v>
      </c>
      <c r="L73" s="120">
        <f>+Actuals!I75</f>
        <v>0</v>
      </c>
      <c r="M73" s="121">
        <f>+Actuals!J75</f>
        <v>0</v>
      </c>
      <c r="N73" s="120">
        <f>+Actuals!K75</f>
        <v>0</v>
      </c>
      <c r="O73" s="121">
        <f>+Actuals!L75</f>
        <v>0</v>
      </c>
      <c r="P73" s="120">
        <f>+Actuals!M75</f>
        <v>0</v>
      </c>
      <c r="Q73" s="121">
        <f>+Actuals!N75</f>
        <v>0</v>
      </c>
      <c r="R73" s="120">
        <f>+Actuals!O75</f>
        <v>0</v>
      </c>
      <c r="S73" s="121">
        <f>+Actuals!P75</f>
        <v>0</v>
      </c>
      <c r="T73" s="120">
        <f>+Actuals!Q75</f>
        <v>0</v>
      </c>
      <c r="U73" s="121">
        <f>+Actuals!R75</f>
        <v>0</v>
      </c>
      <c r="V73" s="120">
        <f>+Actuals!S75</f>
        <v>0</v>
      </c>
      <c r="W73" s="121">
        <f>+Actuals!T75</f>
        <v>0</v>
      </c>
      <c r="X73" s="120">
        <f>+Actuals!U75</f>
        <v>0</v>
      </c>
      <c r="Y73" s="121">
        <f>+Actuals!V75</f>
        <v>0</v>
      </c>
      <c r="Z73" s="120">
        <f>+Actuals!W75</f>
        <v>0</v>
      </c>
      <c r="AA73" s="121">
        <f>+Actuals!X75</f>
        <v>0</v>
      </c>
      <c r="AB73" s="120">
        <f>+Actuals!Y75</f>
        <v>0</v>
      </c>
      <c r="AC73" s="121">
        <f>+Actuals!Z75</f>
        <v>0</v>
      </c>
      <c r="AD73" s="120">
        <f>+Actuals!AA75</f>
        <v>0</v>
      </c>
      <c r="AE73" s="121">
        <f>+Actuals!AB75</f>
        <v>0</v>
      </c>
      <c r="AF73" s="120">
        <f>+Actuals!AC75</f>
        <v>0</v>
      </c>
      <c r="AG73" s="121">
        <f>+Actuals!AD75</f>
        <v>0</v>
      </c>
      <c r="AH73" s="120">
        <f>+Actuals!AE75</f>
        <v>0</v>
      </c>
      <c r="AI73" s="121">
        <f>+Actuals!AF75</f>
        <v>0</v>
      </c>
      <c r="AJ73" s="120">
        <f>+Actuals!AG75</f>
        <v>0</v>
      </c>
      <c r="AK73" s="121">
        <f>+Actuals!AH75</f>
        <v>0</v>
      </c>
      <c r="AL73" s="120">
        <f>+Actuals!AI75</f>
        <v>0</v>
      </c>
      <c r="AM73" s="121">
        <f>+Actuals!AJ75</f>
        <v>0</v>
      </c>
      <c r="AN73" s="120">
        <f>+Actuals!AK75</f>
        <v>0</v>
      </c>
      <c r="AO73" s="121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0</v>
      </c>
      <c r="F74" s="58">
        <f>'TIE-OUT'!L74+RECLASS!J74</f>
        <v>0</v>
      </c>
      <c r="G74" s="58">
        <f>'TIE-OUT'!M74+RECLASS!K74</f>
        <v>0</v>
      </c>
      <c r="H74" s="120">
        <f>+Actuals!E76</f>
        <v>0</v>
      </c>
      <c r="I74" s="121">
        <f>+Actuals!F76</f>
        <v>0</v>
      </c>
      <c r="J74" s="120">
        <f>+Actuals!G76</f>
        <v>0</v>
      </c>
      <c r="K74" s="121">
        <f>+Actuals!H76</f>
        <v>0</v>
      </c>
      <c r="L74" s="120">
        <f>+Actuals!I76</f>
        <v>0</v>
      </c>
      <c r="M74" s="121">
        <f>+Actuals!J76</f>
        <v>0</v>
      </c>
      <c r="N74" s="120">
        <f>+Actuals!K76</f>
        <v>0</v>
      </c>
      <c r="O74" s="121">
        <f>+Actuals!L76</f>
        <v>0</v>
      </c>
      <c r="P74" s="120">
        <f>+Actuals!M76</f>
        <v>0</v>
      </c>
      <c r="Q74" s="121">
        <f>+Actuals!N76</f>
        <v>0</v>
      </c>
      <c r="R74" s="120">
        <f>+Actuals!O76</f>
        <v>0</v>
      </c>
      <c r="S74" s="121">
        <f>+Actuals!P76</f>
        <v>0</v>
      </c>
      <c r="T74" s="120">
        <f>+Actuals!Q76</f>
        <v>0</v>
      </c>
      <c r="U74" s="121">
        <f>+Actuals!R76</f>
        <v>0</v>
      </c>
      <c r="V74" s="120">
        <f>+Actuals!S76</f>
        <v>0</v>
      </c>
      <c r="W74" s="121">
        <f>+Actuals!T76</f>
        <v>0</v>
      </c>
      <c r="X74" s="120">
        <f>+Actuals!U76</f>
        <v>0</v>
      </c>
      <c r="Y74" s="121">
        <f>+Actuals!V76</f>
        <v>0</v>
      </c>
      <c r="Z74" s="120">
        <f>+Actuals!W76</f>
        <v>0</v>
      </c>
      <c r="AA74" s="121">
        <f>+Actuals!X76</f>
        <v>0</v>
      </c>
      <c r="AB74" s="120">
        <f>+Actuals!Y76</f>
        <v>0</v>
      </c>
      <c r="AC74" s="121">
        <f>+Actuals!Z76</f>
        <v>0</v>
      </c>
      <c r="AD74" s="120">
        <f>+Actuals!AA76</f>
        <v>0</v>
      </c>
      <c r="AE74" s="121">
        <f>+Actuals!AB76</f>
        <v>0</v>
      </c>
      <c r="AF74" s="120">
        <f>+Actuals!AC76</f>
        <v>0</v>
      </c>
      <c r="AG74" s="121">
        <f>+Actuals!AD76</f>
        <v>0</v>
      </c>
      <c r="AH74" s="120">
        <f>+Actuals!AE76</f>
        <v>0</v>
      </c>
      <c r="AI74" s="121">
        <f>+Actuals!AF76</f>
        <v>0</v>
      </c>
      <c r="AJ74" s="120">
        <f>+Actuals!AG76</f>
        <v>0</v>
      </c>
      <c r="AK74" s="121">
        <f>+Actuals!AH76</f>
        <v>0</v>
      </c>
      <c r="AL74" s="120">
        <f>+Actuals!AI76</f>
        <v>0</v>
      </c>
      <c r="AM74" s="121">
        <f>+Actuals!AJ76</f>
        <v>0</v>
      </c>
      <c r="AN74" s="120">
        <f>+Actuals!AK76</f>
        <v>0</v>
      </c>
      <c r="AO74" s="121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0</v>
      </c>
      <c r="F75" s="58">
        <f>'TIE-OUT'!L75+RECLASS!J75</f>
        <v>0</v>
      </c>
      <c r="G75" s="58">
        <f>'TIE-OUT'!M75+RECLASS!K75</f>
        <v>0</v>
      </c>
      <c r="H75" s="120">
        <f>+Actuals!E77</f>
        <v>0</v>
      </c>
      <c r="I75" s="121">
        <f>+Actuals!F77</f>
        <v>0</v>
      </c>
      <c r="J75" s="120">
        <f>+Actuals!G77</f>
        <v>0</v>
      </c>
      <c r="K75" s="121">
        <f>+Actuals!H77</f>
        <v>0</v>
      </c>
      <c r="L75" s="120">
        <f>+Actuals!I77</f>
        <v>0</v>
      </c>
      <c r="M75" s="121">
        <f>+Actuals!J77</f>
        <v>0</v>
      </c>
      <c r="N75" s="120">
        <f>+Actuals!K77</f>
        <v>0</v>
      </c>
      <c r="O75" s="121">
        <f>+Actuals!L77</f>
        <v>0</v>
      </c>
      <c r="P75" s="120">
        <f>+Actuals!M77</f>
        <v>0</v>
      </c>
      <c r="Q75" s="121">
        <f>+Actuals!N77</f>
        <v>0</v>
      </c>
      <c r="R75" s="120">
        <f>+Actuals!O77</f>
        <v>0</v>
      </c>
      <c r="S75" s="121">
        <f>+Actuals!P77</f>
        <v>0</v>
      </c>
      <c r="T75" s="120">
        <f>+Actuals!Q77</f>
        <v>0</v>
      </c>
      <c r="U75" s="121">
        <f>+Actuals!R77</f>
        <v>0</v>
      </c>
      <c r="V75" s="120">
        <f>+Actuals!S77</f>
        <v>0</v>
      </c>
      <c r="W75" s="121">
        <f>+Actuals!T77</f>
        <v>0</v>
      </c>
      <c r="X75" s="120">
        <f>+Actuals!U77</f>
        <v>0</v>
      </c>
      <c r="Y75" s="121">
        <f>+Actuals!V77</f>
        <v>0</v>
      </c>
      <c r="Z75" s="120">
        <f>+Actuals!W77</f>
        <v>0</v>
      </c>
      <c r="AA75" s="121">
        <f>+Actuals!X77</f>
        <v>0</v>
      </c>
      <c r="AB75" s="120">
        <f>+Actuals!Y77</f>
        <v>0</v>
      </c>
      <c r="AC75" s="121">
        <f>+Actuals!Z77</f>
        <v>0</v>
      </c>
      <c r="AD75" s="120">
        <f>+Actuals!AA77</f>
        <v>0</v>
      </c>
      <c r="AE75" s="121">
        <f>+Actuals!AB77</f>
        <v>0</v>
      </c>
      <c r="AF75" s="120">
        <f>+Actuals!AC77</f>
        <v>0</v>
      </c>
      <c r="AG75" s="121">
        <f>+Actuals!AD77</f>
        <v>0</v>
      </c>
      <c r="AH75" s="120">
        <f>+Actuals!AE77</f>
        <v>0</v>
      </c>
      <c r="AI75" s="121">
        <f>+Actuals!AF77</f>
        <v>0</v>
      </c>
      <c r="AJ75" s="120">
        <f>+Actuals!AG77</f>
        <v>0</v>
      </c>
      <c r="AK75" s="121">
        <f>+Actuals!AH77</f>
        <v>0</v>
      </c>
      <c r="AL75" s="120">
        <f>+Actuals!AI77</f>
        <v>0</v>
      </c>
      <c r="AM75" s="121">
        <f>+Actuals!AJ77</f>
        <v>0</v>
      </c>
      <c r="AN75" s="120">
        <f>+Actuals!AK77</f>
        <v>0</v>
      </c>
      <c r="AO75" s="121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0</v>
      </c>
      <c r="F76" s="58">
        <f>'TIE-OUT'!L76+RECLASS!J76</f>
        <v>0</v>
      </c>
      <c r="G76" s="58">
        <f>'TIE-OUT'!M76+RECLASS!K76</f>
        <v>0</v>
      </c>
      <c r="H76" s="120">
        <f>+Actuals!E78</f>
        <v>0</v>
      </c>
      <c r="I76" s="121">
        <f>+Actuals!F78</f>
        <v>0</v>
      </c>
      <c r="J76" s="120">
        <f>+Actuals!G78</f>
        <v>0</v>
      </c>
      <c r="K76" s="121">
        <f>+Actuals!H78</f>
        <v>0</v>
      </c>
      <c r="L76" s="120">
        <f>+Actuals!I78</f>
        <v>0</v>
      </c>
      <c r="M76" s="121">
        <f>+Actuals!J78</f>
        <v>0</v>
      </c>
      <c r="N76" s="120">
        <f>+Actuals!K78</f>
        <v>0</v>
      </c>
      <c r="O76" s="121">
        <f>+Actuals!L78</f>
        <v>0</v>
      </c>
      <c r="P76" s="120">
        <f>+Actuals!M78</f>
        <v>0</v>
      </c>
      <c r="Q76" s="121">
        <f>+Actuals!N78</f>
        <v>0</v>
      </c>
      <c r="R76" s="120">
        <f>+Actuals!O78</f>
        <v>0</v>
      </c>
      <c r="S76" s="121">
        <f>+Actuals!P78</f>
        <v>0</v>
      </c>
      <c r="T76" s="120">
        <f>+Actuals!Q78</f>
        <v>0</v>
      </c>
      <c r="U76" s="121">
        <f>+Actuals!R78</f>
        <v>0</v>
      </c>
      <c r="V76" s="120">
        <f>+Actuals!S78</f>
        <v>0</v>
      </c>
      <c r="W76" s="121">
        <f>+Actuals!T78</f>
        <v>0</v>
      </c>
      <c r="X76" s="120">
        <f>+Actuals!U78</f>
        <v>0</v>
      </c>
      <c r="Y76" s="121">
        <f>+Actuals!V78</f>
        <v>0</v>
      </c>
      <c r="Z76" s="120">
        <f>+Actuals!W78</f>
        <v>0</v>
      </c>
      <c r="AA76" s="121">
        <f>+Actuals!X78</f>
        <v>0</v>
      </c>
      <c r="AB76" s="120">
        <f>+Actuals!Y78</f>
        <v>0</v>
      </c>
      <c r="AC76" s="121">
        <f>+Actuals!Z78</f>
        <v>0</v>
      </c>
      <c r="AD76" s="120">
        <f>+Actuals!AA78</f>
        <v>0</v>
      </c>
      <c r="AE76" s="121">
        <f>+Actuals!AB78</f>
        <v>0</v>
      </c>
      <c r="AF76" s="120">
        <f>+Actuals!AC78</f>
        <v>0</v>
      </c>
      <c r="AG76" s="121">
        <f>+Actuals!AD78</f>
        <v>0</v>
      </c>
      <c r="AH76" s="120">
        <f>+Actuals!AE78</f>
        <v>0</v>
      </c>
      <c r="AI76" s="121">
        <f>+Actuals!AF78</f>
        <v>0</v>
      </c>
      <c r="AJ76" s="120">
        <f>+Actuals!AG78</f>
        <v>0</v>
      </c>
      <c r="AK76" s="121">
        <f>+Actuals!AH78</f>
        <v>0</v>
      </c>
      <c r="AL76" s="120">
        <f>+Actuals!AI78</f>
        <v>0</v>
      </c>
      <c r="AM76" s="121">
        <f>+Actuals!AJ78</f>
        <v>0</v>
      </c>
      <c r="AN76" s="120">
        <f>+Actuals!AK78</f>
        <v>0</v>
      </c>
      <c r="AO76" s="121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58">
        <f>'TIE-OUT'!L77+RECLASS!J77</f>
        <v>0</v>
      </c>
      <c r="G77" s="58">
        <f>'TIE-OUT'!M77+RECLASS!K77</f>
        <v>0</v>
      </c>
      <c r="H77" s="120">
        <f>+Actuals!E79</f>
        <v>0</v>
      </c>
      <c r="I77" s="121">
        <f>+Actuals!F79</f>
        <v>0</v>
      </c>
      <c r="J77" s="120">
        <f>+Actuals!G79</f>
        <v>0</v>
      </c>
      <c r="K77" s="121">
        <f>+Actuals!H79</f>
        <v>0</v>
      </c>
      <c r="L77" s="120">
        <f>+Actuals!I79</f>
        <v>0</v>
      </c>
      <c r="M77" s="121">
        <f>+Actuals!J79</f>
        <v>0</v>
      </c>
      <c r="N77" s="120">
        <f>+Actuals!K79</f>
        <v>0</v>
      </c>
      <c r="O77" s="121">
        <f>+Actuals!L79</f>
        <v>0</v>
      </c>
      <c r="P77" s="120">
        <f>+Actuals!M79</f>
        <v>0</v>
      </c>
      <c r="Q77" s="121">
        <f>+Actuals!N79</f>
        <v>0</v>
      </c>
      <c r="R77" s="120">
        <f>+Actuals!O79</f>
        <v>0</v>
      </c>
      <c r="S77" s="121">
        <f>+Actuals!P79</f>
        <v>0</v>
      </c>
      <c r="T77" s="120">
        <f>+Actuals!Q79</f>
        <v>0</v>
      </c>
      <c r="U77" s="121">
        <f>+Actuals!R79</f>
        <v>0</v>
      </c>
      <c r="V77" s="120">
        <f>+Actuals!S79</f>
        <v>0</v>
      </c>
      <c r="W77" s="121">
        <f>+Actuals!T79</f>
        <v>0</v>
      </c>
      <c r="X77" s="120">
        <f>+Actuals!U79</f>
        <v>0</v>
      </c>
      <c r="Y77" s="121">
        <f>+Actuals!V79</f>
        <v>0</v>
      </c>
      <c r="Z77" s="120">
        <f>+Actuals!W79</f>
        <v>0</v>
      </c>
      <c r="AA77" s="121">
        <f>+Actuals!X79</f>
        <v>0</v>
      </c>
      <c r="AB77" s="120">
        <f>+Actuals!Y79</f>
        <v>0</v>
      </c>
      <c r="AC77" s="121">
        <f>+Actuals!Z79</f>
        <v>0</v>
      </c>
      <c r="AD77" s="120">
        <f>+Actuals!AA79</f>
        <v>0</v>
      </c>
      <c r="AE77" s="121">
        <f>+Actuals!AB79</f>
        <v>0</v>
      </c>
      <c r="AF77" s="120">
        <f>+Actuals!AC79</f>
        <v>0</v>
      </c>
      <c r="AG77" s="121">
        <f>+Actuals!AD79</f>
        <v>0</v>
      </c>
      <c r="AH77" s="120">
        <f>+Actuals!AE79</f>
        <v>0</v>
      </c>
      <c r="AI77" s="121">
        <f>+Actuals!AF79</f>
        <v>0</v>
      </c>
      <c r="AJ77" s="120">
        <f>+Actuals!AG79</f>
        <v>0</v>
      </c>
      <c r="AK77" s="121">
        <f>+Actuals!AH79</f>
        <v>0</v>
      </c>
      <c r="AL77" s="120">
        <f>+Actuals!AI79</f>
        <v>0</v>
      </c>
      <c r="AM77" s="121">
        <f>+Actuals!AJ79</f>
        <v>0</v>
      </c>
      <c r="AN77" s="120">
        <f>+Actuals!AK79</f>
        <v>0</v>
      </c>
      <c r="AO77" s="121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58">
        <f>'TIE-OUT'!L78+RECLASS!J78</f>
        <v>0</v>
      </c>
      <c r="G78" s="58">
        <f>'TIE-OUT'!M78+RECLASS!K78</f>
        <v>0</v>
      </c>
      <c r="H78" s="120">
        <f>+Actuals!E80</f>
        <v>0</v>
      </c>
      <c r="I78" s="121">
        <f>+Actuals!F80</f>
        <v>0</v>
      </c>
      <c r="J78" s="120">
        <f>+Actuals!G80</f>
        <v>0</v>
      </c>
      <c r="K78" s="121">
        <f>+Actuals!H80</f>
        <v>0</v>
      </c>
      <c r="L78" s="120">
        <f>+Actuals!I80</f>
        <v>0</v>
      </c>
      <c r="M78" s="121">
        <f>+Actuals!J80</f>
        <v>0</v>
      </c>
      <c r="N78" s="120">
        <f>+Actuals!K80</f>
        <v>0</v>
      </c>
      <c r="O78" s="121">
        <f>+Actuals!L80</f>
        <v>0</v>
      </c>
      <c r="P78" s="120">
        <f>+Actuals!M80</f>
        <v>0</v>
      </c>
      <c r="Q78" s="121">
        <f>+Actuals!N80</f>
        <v>0</v>
      </c>
      <c r="R78" s="120">
        <f>+Actuals!O80</f>
        <v>0</v>
      </c>
      <c r="S78" s="121">
        <f>+Actuals!P80</f>
        <v>0</v>
      </c>
      <c r="T78" s="120">
        <f>+Actuals!Q80</f>
        <v>0</v>
      </c>
      <c r="U78" s="121">
        <f>+Actuals!R80</f>
        <v>0</v>
      </c>
      <c r="V78" s="120">
        <f>+Actuals!S80</f>
        <v>0</v>
      </c>
      <c r="W78" s="121">
        <f>+Actuals!T80</f>
        <v>0</v>
      </c>
      <c r="X78" s="120">
        <f>+Actuals!U80</f>
        <v>0</v>
      </c>
      <c r="Y78" s="121">
        <f>+Actuals!V80</f>
        <v>0</v>
      </c>
      <c r="Z78" s="120">
        <f>+Actuals!W80</f>
        <v>0</v>
      </c>
      <c r="AA78" s="121">
        <f>+Actuals!X80</f>
        <v>0</v>
      </c>
      <c r="AB78" s="120">
        <f>+Actuals!Y80</f>
        <v>0</v>
      </c>
      <c r="AC78" s="121">
        <f>+Actuals!Z80</f>
        <v>0</v>
      </c>
      <c r="AD78" s="120">
        <f>+Actuals!AA80</f>
        <v>0</v>
      </c>
      <c r="AE78" s="121">
        <f>+Actuals!AB80</f>
        <v>0</v>
      </c>
      <c r="AF78" s="120">
        <f>+Actuals!AC80</f>
        <v>0</v>
      </c>
      <c r="AG78" s="121">
        <f>+Actuals!AD80</f>
        <v>0</v>
      </c>
      <c r="AH78" s="120">
        <f>+Actuals!AE80</f>
        <v>0</v>
      </c>
      <c r="AI78" s="121">
        <f>+Actuals!AF80</f>
        <v>0</v>
      </c>
      <c r="AJ78" s="120">
        <f>+Actuals!AG80</f>
        <v>0</v>
      </c>
      <c r="AK78" s="121">
        <f>+Actuals!AH80</f>
        <v>0</v>
      </c>
      <c r="AL78" s="120">
        <f>+Actuals!AI80</f>
        <v>0</v>
      </c>
      <c r="AM78" s="121">
        <f>+Actuals!AJ80</f>
        <v>0</v>
      </c>
      <c r="AN78" s="120">
        <f>+Actuals!AK80</f>
        <v>0</v>
      </c>
      <c r="AO78" s="121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58">
        <f>'TIE-OUT'!L79+RECLASS!J79</f>
        <v>0</v>
      </c>
      <c r="G79" s="58">
        <f>'TIE-OUT'!M79+RECLASS!K79</f>
        <v>0</v>
      </c>
      <c r="H79" s="120">
        <f>+Actuals!E81</f>
        <v>0</v>
      </c>
      <c r="I79" s="121">
        <f>+Actuals!F81</f>
        <v>0</v>
      </c>
      <c r="J79" s="120">
        <f>+Actuals!G81</f>
        <v>0</v>
      </c>
      <c r="K79" s="121">
        <f>+Actuals!H81</f>
        <v>0</v>
      </c>
      <c r="L79" s="120">
        <f>+Actuals!I81</f>
        <v>0</v>
      </c>
      <c r="M79" s="121">
        <f>+Actuals!J81</f>
        <v>0</v>
      </c>
      <c r="N79" s="120">
        <f>+Actuals!K81</f>
        <v>0</v>
      </c>
      <c r="O79" s="121">
        <f>+Actuals!L81</f>
        <v>0</v>
      </c>
      <c r="P79" s="120">
        <f>+Actuals!M81</f>
        <v>0</v>
      </c>
      <c r="Q79" s="121">
        <f>+Actuals!N81</f>
        <v>0</v>
      </c>
      <c r="R79" s="120">
        <f>+Actuals!O81</f>
        <v>0</v>
      </c>
      <c r="S79" s="121">
        <f>+Actuals!P81</f>
        <v>0</v>
      </c>
      <c r="T79" s="120">
        <f>+Actuals!Q81</f>
        <v>0</v>
      </c>
      <c r="U79" s="121">
        <f>+Actuals!R81</f>
        <v>0</v>
      </c>
      <c r="V79" s="120">
        <f>+Actuals!S81</f>
        <v>0</v>
      </c>
      <c r="W79" s="121">
        <f>+Actuals!T81</f>
        <v>0</v>
      </c>
      <c r="X79" s="120">
        <f>+Actuals!U81</f>
        <v>0</v>
      </c>
      <c r="Y79" s="121">
        <f>+Actuals!V81</f>
        <v>0</v>
      </c>
      <c r="Z79" s="120">
        <f>+Actuals!W81</f>
        <v>0</v>
      </c>
      <c r="AA79" s="121">
        <f>+Actuals!X81</f>
        <v>0</v>
      </c>
      <c r="AB79" s="120">
        <f>+Actuals!Y81</f>
        <v>0</v>
      </c>
      <c r="AC79" s="121">
        <f>+Actuals!Z81</f>
        <v>0</v>
      </c>
      <c r="AD79" s="120">
        <f>+Actuals!AA81</f>
        <v>0</v>
      </c>
      <c r="AE79" s="121">
        <f>+Actuals!AB81</f>
        <v>0</v>
      </c>
      <c r="AF79" s="120">
        <f>+Actuals!AC81</f>
        <v>0</v>
      </c>
      <c r="AG79" s="121">
        <f>+Actuals!AD81</f>
        <v>0</v>
      </c>
      <c r="AH79" s="120">
        <f>+Actuals!AE81</f>
        <v>0</v>
      </c>
      <c r="AI79" s="121">
        <f>+Actuals!AF81</f>
        <v>0</v>
      </c>
      <c r="AJ79" s="120">
        <f>+Actuals!AG81</f>
        <v>0</v>
      </c>
      <c r="AK79" s="121">
        <f>+Actuals!AH81</f>
        <v>0</v>
      </c>
      <c r="AL79" s="120">
        <f>+Actuals!AI81</f>
        <v>0</v>
      </c>
      <c r="AM79" s="121">
        <f>+Actuals!AJ81</f>
        <v>0</v>
      </c>
      <c r="AN79" s="120">
        <f>+Actuals!AK81</f>
        <v>0</v>
      </c>
      <c r="AO79" s="121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58">
        <f>'TIE-OUT'!L80+RECLASS!J80</f>
        <v>0</v>
      </c>
      <c r="G80" s="58">
        <f>'TIE-OUT'!M80+RECLASS!K80</f>
        <v>0</v>
      </c>
      <c r="H80" s="120">
        <f>+Actuals!E82</f>
        <v>0</v>
      </c>
      <c r="I80" s="121">
        <f>+Actuals!F82</f>
        <v>0</v>
      </c>
      <c r="J80" s="120">
        <f>+Actuals!G82</f>
        <v>0</v>
      </c>
      <c r="K80" s="121">
        <f>+Actuals!H82</f>
        <v>0</v>
      </c>
      <c r="L80" s="120">
        <f>+Actuals!I82</f>
        <v>0</v>
      </c>
      <c r="M80" s="121">
        <f>+Actuals!J82</f>
        <v>0</v>
      </c>
      <c r="N80" s="120">
        <f>+Actuals!K82</f>
        <v>0</v>
      </c>
      <c r="O80" s="121">
        <f>+Actuals!L82</f>
        <v>0</v>
      </c>
      <c r="P80" s="120">
        <f>+Actuals!M82</f>
        <v>0</v>
      </c>
      <c r="Q80" s="121">
        <f>+Actuals!N82</f>
        <v>0</v>
      </c>
      <c r="R80" s="120">
        <f>+Actuals!O82</f>
        <v>0</v>
      </c>
      <c r="S80" s="121">
        <f>+Actuals!P82</f>
        <v>0</v>
      </c>
      <c r="T80" s="120">
        <f>+Actuals!Q82</f>
        <v>0</v>
      </c>
      <c r="U80" s="121">
        <f>+Actuals!R82</f>
        <v>0</v>
      </c>
      <c r="V80" s="120">
        <f>+Actuals!S82</f>
        <v>0</v>
      </c>
      <c r="W80" s="121">
        <f>+Actuals!T82</f>
        <v>0</v>
      </c>
      <c r="X80" s="120">
        <f>+Actuals!U82</f>
        <v>0</v>
      </c>
      <c r="Y80" s="121">
        <f>+Actuals!V82</f>
        <v>0</v>
      </c>
      <c r="Z80" s="120">
        <f>+Actuals!W82</f>
        <v>0</v>
      </c>
      <c r="AA80" s="121">
        <f>+Actuals!X82</f>
        <v>0</v>
      </c>
      <c r="AB80" s="120">
        <f>+Actuals!Y82</f>
        <v>0</v>
      </c>
      <c r="AC80" s="121">
        <f>+Actuals!Z82</f>
        <v>0</v>
      </c>
      <c r="AD80" s="120">
        <f>+Actuals!AA82</f>
        <v>0</v>
      </c>
      <c r="AE80" s="121">
        <f>+Actuals!AB82</f>
        <v>0</v>
      </c>
      <c r="AF80" s="120">
        <f>+Actuals!AC82</f>
        <v>0</v>
      </c>
      <c r="AG80" s="121">
        <f>+Actuals!AD82</f>
        <v>0</v>
      </c>
      <c r="AH80" s="120">
        <f>+Actuals!AE82</f>
        <v>0</v>
      </c>
      <c r="AI80" s="121">
        <f>+Actuals!AF82</f>
        <v>0</v>
      </c>
      <c r="AJ80" s="120">
        <f>+Actuals!AG82</f>
        <v>0</v>
      </c>
      <c r="AK80" s="121">
        <f>+Actuals!AH82</f>
        <v>0</v>
      </c>
      <c r="AL80" s="120">
        <f>+Actuals!AI82</f>
        <v>0</v>
      </c>
      <c r="AM80" s="121">
        <f>+Actuals!AJ82</f>
        <v>0</v>
      </c>
      <c r="AN80" s="120">
        <f>+Actuals!AK82</f>
        <v>0</v>
      </c>
      <c r="AO80" s="121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58">
        <f>'TIE-OUT'!L81+RECLASS!J81</f>
        <v>0</v>
      </c>
      <c r="G81" s="58">
        <f>'TIE-OUT'!M81+RECLASS!K81</f>
        <v>0</v>
      </c>
      <c r="H81" s="120">
        <f>+Actuals!E83</f>
        <v>0</v>
      </c>
      <c r="I81" s="121">
        <f>+Actuals!F83</f>
        <v>0</v>
      </c>
      <c r="J81" s="120">
        <f>+Actuals!G83</f>
        <v>0</v>
      </c>
      <c r="K81" s="121">
        <f>+Actuals!H83</f>
        <v>0</v>
      </c>
      <c r="L81" s="120">
        <f>+Actuals!I83</f>
        <v>0</v>
      </c>
      <c r="M81" s="121">
        <f>+Actuals!J83</f>
        <v>0</v>
      </c>
      <c r="N81" s="120">
        <f>+Actuals!K83</f>
        <v>0</v>
      </c>
      <c r="O81" s="121">
        <f>+Actuals!L83</f>
        <v>0</v>
      </c>
      <c r="P81" s="120">
        <f>+Actuals!M83</f>
        <v>0</v>
      </c>
      <c r="Q81" s="121">
        <f>+Actuals!N83</f>
        <v>0</v>
      </c>
      <c r="R81" s="120">
        <f>+Actuals!O83</f>
        <v>0</v>
      </c>
      <c r="S81" s="121">
        <f>+Actuals!P83</f>
        <v>0</v>
      </c>
      <c r="T81" s="120">
        <f>+Actuals!Q83</f>
        <v>0</v>
      </c>
      <c r="U81" s="121">
        <f>+Actuals!R83</f>
        <v>0</v>
      </c>
      <c r="V81" s="120">
        <f>+Actuals!S83</f>
        <v>0</v>
      </c>
      <c r="W81" s="121">
        <f>+Actuals!T83</f>
        <v>0</v>
      </c>
      <c r="X81" s="120">
        <f>+Actuals!U83</f>
        <v>0</v>
      </c>
      <c r="Y81" s="121">
        <f>+Actuals!V83</f>
        <v>0</v>
      </c>
      <c r="Z81" s="120">
        <f>+Actuals!W83</f>
        <v>0</v>
      </c>
      <c r="AA81" s="121">
        <f>+Actuals!X83</f>
        <v>0</v>
      </c>
      <c r="AB81" s="120">
        <f>+Actuals!Y83</f>
        <v>0</v>
      </c>
      <c r="AC81" s="121">
        <f>+Actuals!Z83</f>
        <v>0</v>
      </c>
      <c r="AD81" s="120">
        <f>+Actuals!AA83</f>
        <v>0</v>
      </c>
      <c r="AE81" s="121">
        <f>+Actuals!AB83</f>
        <v>0</v>
      </c>
      <c r="AF81" s="120">
        <f>+Actuals!AC83</f>
        <v>0</v>
      </c>
      <c r="AG81" s="121">
        <f>+Actuals!AD83</f>
        <v>0</v>
      </c>
      <c r="AH81" s="120">
        <f>+Actuals!AE83</f>
        <v>0</v>
      </c>
      <c r="AI81" s="121">
        <f>+Actuals!AF83</f>
        <v>0</v>
      </c>
      <c r="AJ81" s="120">
        <f>+Actuals!AG83</f>
        <v>0</v>
      </c>
      <c r="AK81" s="121">
        <f>+Actuals!AH83</f>
        <v>0</v>
      </c>
      <c r="AL81" s="120">
        <f>+Actuals!AI83</f>
        <v>0</v>
      </c>
      <c r="AM81" s="121">
        <f>+Actuals!AJ83</f>
        <v>0</v>
      </c>
      <c r="AN81" s="120">
        <f>+Actuals!AK83</f>
        <v>0</v>
      </c>
      <c r="AO81" s="121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-978175.89500000631</v>
      </c>
      <c r="F82" s="91">
        <f>F16+F24+F29+F36+F43+F45+F47+F49</f>
        <v>0</v>
      </c>
      <c r="G82" s="92">
        <f>SUM(G72:G81)+G16+G24+G29+G36+G43+G45+G47+G49+G51+G56+G61+G66</f>
        <v>-238632.95999999999</v>
      </c>
      <c r="H82" s="91">
        <f>H16+H24+H29+H36+H43+H45+H47+H49</f>
        <v>0</v>
      </c>
      <c r="I82" s="92">
        <f>SUM(I72:I81)+I16+I24+I29+I36+I43+I45+I47+I49+I51+I56+I61+I66</f>
        <v>-682888.34800000419</v>
      </c>
      <c r="J82" s="91">
        <f>J16+J24+J29+J36+J43+J45+J47+J49</f>
        <v>0</v>
      </c>
      <c r="K82" s="110">
        <f>SUM(K72:K81)+K16+K24+K29+K36+K43+K45+K47+K49+K51+K56+K61+K66</f>
        <v>-24029.053000000178</v>
      </c>
      <c r="L82" s="91">
        <f>L16+L24+L29+L36+L43+L45+L47+L49</f>
        <v>0</v>
      </c>
      <c r="M82" s="92">
        <f>SUM(M72:M81)+M16+M24+M29+M36+M43+M45+M47+M49+M51+M56+M61+M66</f>
        <v>-85833.141999999993</v>
      </c>
      <c r="N82" s="91">
        <f>N16+N24+N29+N36+N43+N45+N47+N49</f>
        <v>0</v>
      </c>
      <c r="O82" s="92">
        <f>SUM(O72:O81)+O16+O24+O29+O36+O43+O45+O47+O49+O51+O56+O61+O66</f>
        <v>72474.641000000003</v>
      </c>
      <c r="P82" s="91">
        <f>P16+P24+P29+P36+P43+P45+P47+P49</f>
        <v>0</v>
      </c>
      <c r="Q82" s="92">
        <f>SUM(Q72:Q81)+Q16+Q24+Q29+Q36+Q43+Q45+Q47+Q49+Q51+Q56+Q61+Q66</f>
        <v>-19267.033000000003</v>
      </c>
      <c r="R82" s="91">
        <f>R16+R24+R29+R36+R43+R45+R47+R49</f>
        <v>0</v>
      </c>
      <c r="S82" s="92">
        <f>SUM(S72:S81)+S16+S24+S29+S36+S43+S45+S47+S49+S51+S56+S61+S66</f>
        <v>-17512.060000000001</v>
      </c>
      <c r="T82" s="91">
        <f>T16+T24+T29+T36+T43+T45+T47+T49</f>
        <v>0</v>
      </c>
      <c r="U82" s="92">
        <f>SUM(U72:U81)+U16+U24+U29+U36+U43+U45+U47+U49+U51+U56+U61+U66</f>
        <v>17512.060000000001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S79" activePane="bottomRight" state="frozen"/>
      <selection activeCell="Z9" sqref="Z9"/>
      <selection pane="topRight" activeCell="Z9" sqref="Z9"/>
      <selection pane="bottomLeft" activeCell="Z9" sqref="Z9"/>
      <selection pane="bottomRight" activeCell="AA79" sqref="AA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0" width="15.44140625" customWidth="1"/>
    <col min="11" max="11" width="15.6640625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 t="shared" ref="D11:E15" si="0">SUM(F11,H11,J11,L11,N11,P11,R11,T11,V11,X11,Z11,AB11,AD11)</f>
        <v>115920927</v>
      </c>
      <c r="E11" s="38">
        <f t="shared" si="0"/>
        <v>271506035.71600002</v>
      </c>
      <c r="F11" s="60">
        <f>('TIE-OUT'!L11+'TIE-OUT'!J11)+(RECLASS!J11+RECLASS!H11)</f>
        <v>0</v>
      </c>
      <c r="G11" s="38">
        <f>('TIE-OUT'!M11+'TIE-OUT'!K11)+(RECLASS!K11+RECLASS!I11)</f>
        <v>1531784</v>
      </c>
      <c r="H11" s="60">
        <f>'EAST-EGM-GL'!H11+'EAST-LRC-GL'!H11</f>
        <v>113148316</v>
      </c>
      <c r="I11" s="38">
        <f>'EAST-EGM-GL'!I11+'EAST-LRC-GL'!I11</f>
        <v>264286349.35999998</v>
      </c>
      <c r="J11" s="60">
        <f>'EAST-EGM-GL'!J11+'EAST-LRC-GL'!J11</f>
        <v>2785275</v>
      </c>
      <c r="K11" s="38">
        <f>'EAST-EGM-GL'!K11+'EAST-LRC-GL'!K11</f>
        <v>6472116.5700000003</v>
      </c>
      <c r="L11" s="60">
        <f>'EAST-EGM-GL'!L11+'EAST-LRC-GL'!L11</f>
        <v>348078</v>
      </c>
      <c r="M11" s="38">
        <f>'EAST-EGM-GL'!M11+'EAST-LRC-GL'!M11</f>
        <v>981899.03</v>
      </c>
      <c r="N11" s="60">
        <f>'EAST-EGM-GL'!N11+'EAST-LRC-GL'!N11</f>
        <v>-364115</v>
      </c>
      <c r="O11" s="38">
        <f>'EAST-EGM-GL'!O11+'EAST-LRC-GL'!O11</f>
        <v>-694453.24</v>
      </c>
      <c r="P11" s="60">
        <f>'EAST-EGM-GL'!P11+'EAST-LRC-GL'!P11</f>
        <v>3437</v>
      </c>
      <c r="Q11" s="38">
        <f>'EAST-EGM-GL'!Q11+'EAST-LRC-GL'!Q11</f>
        <v>10113.719999999999</v>
      </c>
      <c r="R11" s="60">
        <f>'EAST-EGM-GL'!R11+'EAST-LRC-GL'!R11</f>
        <v>264</v>
      </c>
      <c r="S11" s="38">
        <f>'EAST-EGM-GL'!S11+'EAST-LRC-GL'!S11</f>
        <v>370.32</v>
      </c>
      <c r="T11" s="60">
        <f>'EAST-EGM-GL'!T11+'EAST-LRC-GL'!T11</f>
        <v>0</v>
      </c>
      <c r="U11" s="38">
        <f>'EAST-EGM-GL'!U11+'EAST-LRC-GL'!U11</f>
        <v>-1084589.5900000001</v>
      </c>
      <c r="V11" s="60">
        <f>'EAST-EGM-GL'!V11+'EAST-LRC-GL'!V11</f>
        <v>-328</v>
      </c>
      <c r="W11" s="38">
        <f>'EAST-EGM-GL'!W11+'EAST-LRC-GL'!W11</f>
        <v>-623.01400000000001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3068.56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si="0"/>
        <v>0</v>
      </c>
      <c r="E12" s="38">
        <f t="shared" si="0"/>
        <v>-7900096.0700000003</v>
      </c>
      <c r="F12" s="60">
        <f>('TIE-OUT'!L12+'TIE-OUT'!J12)+(RECLASS!J12+RECLASS!H12)</f>
        <v>0</v>
      </c>
      <c r="G12" s="38">
        <f>('TIE-OUT'!M12+'TIE-OUT'!K12)+(RECLASS!K12+RECLASS!I12)</f>
        <v>-7900096.0700000003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37550214</v>
      </c>
      <c r="E13" s="38">
        <f t="shared" si="0"/>
        <v>88583524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37570214</v>
      </c>
      <c r="I13" s="38">
        <f>'EAST-EGM-GL'!I13+'EAST-LRC-GL'!I13</f>
        <v>88625124</v>
      </c>
      <c r="J13" s="60">
        <f>'EAST-EGM-GL'!J13+'EAST-LRC-GL'!J13</f>
        <v>-26364091</v>
      </c>
      <c r="K13" s="38">
        <f>'EAST-EGM-GL'!K13+'EAST-LRC-GL'!K13</f>
        <v>-63661092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26344091</v>
      </c>
      <c r="U13" s="38">
        <f>'EAST-EGM-GL'!U13+'EAST-LRC-GL'!U13</f>
        <v>63619492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879055.2699999999</v>
      </c>
      <c r="F15" s="81">
        <f>('TIE-OUT'!L15+'TIE-OUT'!J15)+(RECLASS!J15+RECLASS!H15)</f>
        <v>0</v>
      </c>
      <c r="G15" s="82">
        <f>('TIE-OUT'!M15+'TIE-OUT'!K15)+(RECLASS!K15+RECLASS!I15)</f>
        <v>-1299073</v>
      </c>
      <c r="H15" s="60">
        <f>'EAST-EGM-GL'!H15+'EAST-LRC-GL'!H15</f>
        <v>0</v>
      </c>
      <c r="I15" s="38">
        <f>'EAST-EGM-GL'!I15+'EAST-LRC-GL'!I15</f>
        <v>2073543.27</v>
      </c>
      <c r="J15" s="60">
        <f>'EAST-EGM-GL'!J15+'EAST-LRC-GL'!J15</f>
        <v>0</v>
      </c>
      <c r="K15" s="38">
        <f>'EAST-EGM-GL'!K15+'EAST-LRC-GL'!K15</f>
        <v>102064.44</v>
      </c>
      <c r="L15" s="60">
        <f>'EAST-EGM-GL'!L15+'EAST-LRC-GL'!L15</f>
        <v>0</v>
      </c>
      <c r="M15" s="38">
        <f>'EAST-EGM-GL'!M15+'EAST-LRC-GL'!M15</f>
        <v>-18.850000000000001</v>
      </c>
      <c r="N15" s="60">
        <f>'EAST-EGM-GL'!N15+'EAST-LRC-GL'!N15</f>
        <v>0</v>
      </c>
      <c r="O15" s="38">
        <f>'EAST-EGM-GL'!O15+'EAST-LRC-GL'!O15</f>
        <v>1842.46</v>
      </c>
      <c r="P15" s="60">
        <f>'EAST-EGM-GL'!P15+'EAST-LRC-GL'!P15</f>
        <v>0</v>
      </c>
      <c r="Q15" s="38">
        <f>'EAST-EGM-GL'!Q15+'EAST-LRC-GL'!Q15</f>
        <v>696.95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>SUM(D11:D15)</f>
        <v>153471141</v>
      </c>
      <c r="E16" s="39">
        <f t="shared" ref="E16:AO16" si="1">SUM(E11:E15)</f>
        <v>353068518.91600001</v>
      </c>
      <c r="F16" s="61">
        <f t="shared" si="1"/>
        <v>0</v>
      </c>
      <c r="G16" s="39">
        <f t="shared" si="1"/>
        <v>-7667385.0700000003</v>
      </c>
      <c r="H16" s="61">
        <f t="shared" si="1"/>
        <v>150718530</v>
      </c>
      <c r="I16" s="39">
        <f t="shared" si="1"/>
        <v>354985016.63</v>
      </c>
      <c r="J16" s="61">
        <f t="shared" si="1"/>
        <v>-23578816</v>
      </c>
      <c r="K16" s="39">
        <f t="shared" si="1"/>
        <v>-57086910.990000002</v>
      </c>
      <c r="L16" s="61">
        <f t="shared" si="1"/>
        <v>348078</v>
      </c>
      <c r="M16" s="39">
        <f t="shared" si="1"/>
        <v>981880.18</v>
      </c>
      <c r="N16" s="61">
        <f t="shared" ref="N16:S16" si="2">SUM(N11:N15)</f>
        <v>-364115</v>
      </c>
      <c r="O16" s="39">
        <f t="shared" si="2"/>
        <v>-692610.78</v>
      </c>
      <c r="P16" s="61">
        <f t="shared" si="2"/>
        <v>3437</v>
      </c>
      <c r="Q16" s="39">
        <f t="shared" si="2"/>
        <v>10810.67</v>
      </c>
      <c r="R16" s="61">
        <f t="shared" si="2"/>
        <v>264</v>
      </c>
      <c r="S16" s="39">
        <f t="shared" si="2"/>
        <v>370.32</v>
      </c>
      <c r="T16" s="61">
        <f t="shared" si="1"/>
        <v>26344091</v>
      </c>
      <c r="U16" s="39">
        <f t="shared" si="1"/>
        <v>62534902.409999996</v>
      </c>
      <c r="V16" s="61">
        <f t="shared" si="1"/>
        <v>-328</v>
      </c>
      <c r="W16" s="39">
        <f t="shared" si="1"/>
        <v>-623.01400000000001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3068.56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-121317977</v>
      </c>
      <c r="E19" s="38">
        <f t="shared" si="3"/>
        <v>-272484661.84999996</v>
      </c>
      <c r="F19" s="64">
        <f>('TIE-OUT'!L19+'TIE-OUT'!J19)+(RECLASS!J19+RECLASS!H19)</f>
        <v>0</v>
      </c>
      <c r="G19" s="68">
        <f>('TIE-OUT'!M19+'TIE-OUT'!K19)+(RECLASS!K19+RECLASS!I19)</f>
        <v>3656085</v>
      </c>
      <c r="H19" s="60">
        <f>'EAST-EGM-GL'!H19+'EAST-LRC-GL'!H19</f>
        <v>-108712693</v>
      </c>
      <c r="I19" s="38">
        <f>'EAST-EGM-GL'!I19+'EAST-LRC-GL'!I19</f>
        <v>-247357702.64999998</v>
      </c>
      <c r="J19" s="60">
        <f>'EAST-EGM-GL'!J19+'EAST-LRC-GL'!J19</f>
        <v>-7774348</v>
      </c>
      <c r="K19" s="38">
        <f>'EAST-EGM-GL'!K19+'EAST-LRC-GL'!K19</f>
        <v>-14208135.109999999</v>
      </c>
      <c r="L19" s="60">
        <f>'EAST-EGM-GL'!L19+'EAST-LRC-GL'!L19</f>
        <v>187153</v>
      </c>
      <c r="M19" s="38">
        <f>'EAST-EGM-GL'!M19+'EAST-LRC-GL'!M19</f>
        <v>-1701868.05</v>
      </c>
      <c r="N19" s="60">
        <f>'EAST-EGM-GL'!N19+'EAST-LRC-GL'!N19</f>
        <v>-5007645</v>
      </c>
      <c r="O19" s="38">
        <f>'EAST-EGM-GL'!O19+'EAST-LRC-GL'!O19</f>
        <v>-12987801.959999999</v>
      </c>
      <c r="P19" s="60">
        <f>'EAST-EGM-GL'!P19+'EAST-LRC-GL'!P19</f>
        <v>-6687</v>
      </c>
      <c r="Q19" s="38">
        <f>'EAST-EGM-GL'!Q19+'EAST-LRC-GL'!Q19</f>
        <v>114707.03</v>
      </c>
      <c r="R19" s="60">
        <f>'EAST-EGM-GL'!R19+'EAST-LRC-GL'!R19</f>
        <v>-4008</v>
      </c>
      <c r="S19" s="38">
        <f>'EAST-EGM-GL'!S19+'EAST-LRC-GL'!S19</f>
        <v>-17042.96</v>
      </c>
      <c r="T19" s="60">
        <f>'EAST-EGM-GL'!T19+'EAST-LRC-GL'!T19</f>
        <v>-3277</v>
      </c>
      <c r="U19" s="38">
        <f>'EAST-EGM-GL'!U19+'EAST-LRC-GL'!U19</f>
        <v>-6426.71</v>
      </c>
      <c r="V19" s="60">
        <f>'EAST-EGM-GL'!V19+'EAST-LRC-GL'!V19</f>
        <v>-30087</v>
      </c>
      <c r="W19" s="38">
        <f>'EAST-EGM-GL'!W19+'EAST-LRC-GL'!W19</f>
        <v>82.92</v>
      </c>
      <c r="X19" s="60">
        <f>'EAST-EGM-GL'!X19+'EAST-LRC-GL'!X19</f>
        <v>-4785312</v>
      </c>
      <c r="Y19" s="38">
        <f>'EAST-EGM-GL'!Y19+'EAST-LRC-GL'!Y19</f>
        <v>-10502561.880000001</v>
      </c>
      <c r="Z19" s="60">
        <f>'EAST-EGM-GL'!Z19+'EAST-LRC-GL'!Z19</f>
        <v>4818927</v>
      </c>
      <c r="AA19" s="38">
        <f>'EAST-EGM-GL'!AA19+'EAST-LRC-GL'!AA19</f>
        <v>10526002.52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3736298.0500000003</v>
      </c>
      <c r="F20" s="60">
        <f>('TIE-OUT'!L20+'TIE-OUT'!J20)+(RECLASS!J20+RECLASS!H20)</f>
        <v>0</v>
      </c>
      <c r="G20" s="38">
        <f>('TIE-OUT'!M20+'TIE-OUT'!K20)+(RECLASS!K20+RECLASS!I20)</f>
        <v>3346971.85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389326.2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-37105350</v>
      </c>
      <c r="E21" s="38">
        <f t="shared" si="3"/>
        <v>-90701481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-36918673</v>
      </c>
      <c r="I21" s="38">
        <f>'EAST-EGM-GL'!I21+'EAST-LRC-GL'!I21</f>
        <v>-90246395</v>
      </c>
      <c r="J21" s="60">
        <f>'EAST-EGM-GL'!J21+'EAST-LRC-GL'!J21</f>
        <v>26375154</v>
      </c>
      <c r="K21" s="38">
        <f>'EAST-EGM-GL'!K21+'EAST-LRC-GL'!K21</f>
        <v>63797158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-2991</v>
      </c>
      <c r="Q21" s="38">
        <f>'EAST-EGM-GL'!Q21+'EAST-LRC-GL'!Q21</f>
        <v>-7473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-26558840</v>
      </c>
      <c r="U21" s="38">
        <f>'EAST-EGM-GL'!U21+'EAST-LRC-GL'!U21</f>
        <v>-64244771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106398</v>
      </c>
      <c r="E23" s="38">
        <f t="shared" si="3"/>
        <v>1924408.4760000005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1092162</v>
      </c>
      <c r="I23" s="38">
        <f>'EAST-EGM-GL'!I23+'EAST-LRC-GL'!I23</f>
        <v>2382005.3220000002</v>
      </c>
      <c r="J23" s="60">
        <f>'EAST-EGM-GL'!J23+'EAST-LRC-GL'!J23</f>
        <v>-13460</v>
      </c>
      <c r="K23" s="38">
        <f>'EAST-EGM-GL'!K23+'EAST-LRC-GL'!K23</f>
        <v>-22550.593000000008</v>
      </c>
      <c r="L23" s="60">
        <f>'EAST-EGM-GL'!L23+'EAST-LRC-GL'!L23</f>
        <v>-767955</v>
      </c>
      <c r="M23" s="38">
        <f>'EAST-EGM-GL'!M23+'EAST-LRC-GL'!M23</f>
        <v>10638.918</v>
      </c>
      <c r="N23" s="60">
        <f>'EAST-EGM-GL'!N23+'EAST-LRC-GL'!N23</f>
        <v>2287</v>
      </c>
      <c r="O23" s="38">
        <f>'EAST-EGM-GL'!O23+'EAST-LRC-GL'!O23</f>
        <v>4987.9470000000001</v>
      </c>
      <c r="P23" s="60">
        <f>'EAST-EGM-GL'!P23+'EAST-LRC-GL'!P23</f>
        <v>-214517</v>
      </c>
      <c r="Q23" s="38">
        <f>'EAST-EGM-GL'!Q23+'EAST-LRC-GL'!Q23</f>
        <v>-467861.57699999999</v>
      </c>
      <c r="R23" s="60">
        <f>'EAST-EGM-GL'!R23+'EAST-LRC-GL'!R23</f>
        <v>7829</v>
      </c>
      <c r="S23" s="38">
        <f>'EAST-EGM-GL'!S23+'EAST-LRC-GL'!S23</f>
        <v>17075.048999999999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22</v>
      </c>
      <c r="Y23" s="38">
        <f>'EAST-EGM-GL'!Y23+'EAST-LRC-GL'!Y23</f>
        <v>47.98</v>
      </c>
      <c r="Z23" s="60">
        <f>'EAST-EGM-GL'!Z23+'EAST-LRC-GL'!Z23</f>
        <v>30</v>
      </c>
      <c r="AA23" s="38">
        <f>'EAST-EGM-GL'!AA23+'EAST-LRC-GL'!AA23</f>
        <v>65.430000000000007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>SUM(D19:D23)</f>
        <v>-158316929</v>
      </c>
      <c r="E24" s="39">
        <f t="shared" ref="E24:AO24" si="4">SUM(E19:E23)</f>
        <v>-357525436.32399994</v>
      </c>
      <c r="F24" s="61">
        <f t="shared" si="4"/>
        <v>0</v>
      </c>
      <c r="G24" s="39">
        <f t="shared" si="4"/>
        <v>7003056.8499999996</v>
      </c>
      <c r="H24" s="61">
        <f t="shared" si="4"/>
        <v>-144539204</v>
      </c>
      <c r="I24" s="39">
        <f t="shared" si="4"/>
        <v>-335222092.32799995</v>
      </c>
      <c r="J24" s="61">
        <f t="shared" si="4"/>
        <v>18587346</v>
      </c>
      <c r="K24" s="39">
        <f t="shared" si="4"/>
        <v>49955798.497000001</v>
      </c>
      <c r="L24" s="61">
        <f t="shared" si="4"/>
        <v>-580802</v>
      </c>
      <c r="M24" s="39">
        <f t="shared" si="4"/>
        <v>-1691229.132</v>
      </c>
      <c r="N24" s="61">
        <f t="shared" ref="N24:S24" si="5">SUM(N19:N23)</f>
        <v>-5005358</v>
      </c>
      <c r="O24" s="39">
        <f t="shared" si="5"/>
        <v>-12982814.012999998</v>
      </c>
      <c r="P24" s="61">
        <f t="shared" si="5"/>
        <v>-224195</v>
      </c>
      <c r="Q24" s="39">
        <f t="shared" si="5"/>
        <v>-360627.54700000002</v>
      </c>
      <c r="R24" s="61">
        <f t="shared" si="5"/>
        <v>3821</v>
      </c>
      <c r="S24" s="39">
        <f t="shared" si="5"/>
        <v>32.088999999999942</v>
      </c>
      <c r="T24" s="61">
        <f t="shared" si="4"/>
        <v>-26562117</v>
      </c>
      <c r="U24" s="39">
        <f t="shared" si="4"/>
        <v>-64251197.710000001</v>
      </c>
      <c r="V24" s="61">
        <f t="shared" si="4"/>
        <v>-30087</v>
      </c>
      <c r="W24" s="39">
        <f t="shared" si="4"/>
        <v>82.92</v>
      </c>
      <c r="X24" s="61">
        <f t="shared" si="4"/>
        <v>-4785290</v>
      </c>
      <c r="Y24" s="39">
        <f t="shared" si="4"/>
        <v>-10502513.9</v>
      </c>
      <c r="Z24" s="61">
        <f t="shared" si="4"/>
        <v>4818957</v>
      </c>
      <c r="AA24" s="39">
        <f t="shared" si="4"/>
        <v>10526067.949999999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11234775</v>
      </c>
      <c r="E27" s="38">
        <f>SUM(G27,I27,K27,M27,O27,Q27,S27,U27,W27,Y27,AA27,AC27,AE27)</f>
        <v>26428475.219999999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12005082</v>
      </c>
      <c r="I27" s="38">
        <f>'EAST-EGM-GL'!I27+'EAST-LRC-GL'!I27</f>
        <v>28493272.199999999</v>
      </c>
      <c r="J27" s="60">
        <f>'EAST-EGM-GL'!J27+'EAST-LRC-GL'!J27</f>
        <v>-754186</v>
      </c>
      <c r="K27" s="38">
        <f>'EAST-EGM-GL'!K27+'EAST-LRC-GL'!K27</f>
        <v>-2014140.99</v>
      </c>
      <c r="L27" s="60">
        <f>'EAST-EGM-GL'!L27+'EAST-LRC-GL'!L27</f>
        <v>617</v>
      </c>
      <c r="M27" s="38">
        <f>'EAST-EGM-GL'!M27+'EAST-LRC-GL'!M27</f>
        <v>-72796.78</v>
      </c>
      <c r="N27" s="60">
        <f>'EAST-EGM-GL'!N27+'EAST-LRC-GL'!N27</f>
        <v>4849</v>
      </c>
      <c r="O27" s="38">
        <f>'EAST-EGM-GL'!O27+'EAST-LRC-GL'!O27</f>
        <v>84499.72</v>
      </c>
      <c r="P27" s="60">
        <f>'EAST-EGM-GL'!P27+'EAST-LRC-GL'!P27</f>
        <v>-21587</v>
      </c>
      <c r="Q27" s="38">
        <f>'EAST-EGM-GL'!Q27+'EAST-LRC-GL'!Q27</f>
        <v>-62358.93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-12168548</v>
      </c>
      <c r="E28" s="38">
        <f>SUM(G28,I28,K28,M28,O28,Q28,S28,U28,W28,Y28,AA28,AC28,AE28)</f>
        <v>-28534044.970000006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-12726122</v>
      </c>
      <c r="I28" s="38">
        <f>'EAST-EGM-GL'!I28+'EAST-LRC-GL'!I28</f>
        <v>-30093555.330000006</v>
      </c>
      <c r="J28" s="60">
        <f>'EAST-EGM-GL'!J28+'EAST-LRC-GL'!J28</f>
        <v>577583</v>
      </c>
      <c r="K28" s="38">
        <f>'EAST-EGM-GL'!K28+'EAST-LRC-GL'!K28</f>
        <v>1604451.24</v>
      </c>
      <c r="L28" s="60">
        <f>'EAST-EGM-GL'!L28+'EAST-LRC-GL'!L28</f>
        <v>-2303</v>
      </c>
      <c r="M28" s="38">
        <f>'EAST-EGM-GL'!M28+'EAST-LRC-GL'!M28</f>
        <v>-5284.16</v>
      </c>
      <c r="N28" s="60">
        <f>'EAST-EGM-GL'!N28+'EAST-LRC-GL'!N28</f>
        <v>-13722</v>
      </c>
      <c r="O28" s="38">
        <f>'EAST-EGM-GL'!O28+'EAST-LRC-GL'!O28</f>
        <v>-30395.18</v>
      </c>
      <c r="P28" s="60">
        <f>'EAST-EGM-GL'!P28+'EAST-LRC-GL'!P28</f>
        <v>680</v>
      </c>
      <c r="Q28" s="38">
        <f>'EAST-EGM-GL'!Q28+'EAST-LRC-GL'!Q28</f>
        <v>1577.6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-1</v>
      </c>
      <c r="U28" s="38">
        <f>'EAST-EGM-GL'!U28+'EAST-LRC-GL'!U28</f>
        <v>-2.5299999999999998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-4529</v>
      </c>
      <c r="Y28" s="38">
        <f>'EAST-EGM-GL'!Y28+'EAST-LRC-GL'!Y28</f>
        <v>-10571</v>
      </c>
      <c r="Z28" s="60">
        <f>'EAST-EGM-GL'!Z28+'EAST-LRC-GL'!Z28</f>
        <v>-134</v>
      </c>
      <c r="AA28" s="38">
        <f>'EAST-EGM-GL'!AA28+'EAST-LRC-GL'!AA28</f>
        <v>-265.61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>SUM(D27:D28)</f>
        <v>-933773</v>
      </c>
      <c r="E29" s="39">
        <f t="shared" ref="E29:AO29" si="6">SUM(E27:E28)</f>
        <v>-2105569.7500000075</v>
      </c>
      <c r="F29" s="61">
        <f t="shared" si="6"/>
        <v>0</v>
      </c>
      <c r="G29" s="39">
        <f t="shared" si="6"/>
        <v>0</v>
      </c>
      <c r="H29" s="61">
        <f t="shared" si="6"/>
        <v>-721040</v>
      </c>
      <c r="I29" s="39">
        <f t="shared" si="6"/>
        <v>-1600283.1300000064</v>
      </c>
      <c r="J29" s="61">
        <f t="shared" si="6"/>
        <v>-176603</v>
      </c>
      <c r="K29" s="39">
        <f t="shared" si="6"/>
        <v>-409689.75</v>
      </c>
      <c r="L29" s="61">
        <f t="shared" si="6"/>
        <v>-1686</v>
      </c>
      <c r="M29" s="39">
        <f t="shared" si="6"/>
        <v>-78080.94</v>
      </c>
      <c r="N29" s="61">
        <f t="shared" ref="N29:S29" si="7">SUM(N27:N28)</f>
        <v>-8873</v>
      </c>
      <c r="O29" s="39">
        <f t="shared" si="7"/>
        <v>54104.54</v>
      </c>
      <c r="P29" s="61">
        <f t="shared" si="7"/>
        <v>-20907</v>
      </c>
      <c r="Q29" s="39">
        <f t="shared" si="7"/>
        <v>-60781.33</v>
      </c>
      <c r="R29" s="61">
        <f t="shared" si="7"/>
        <v>0</v>
      </c>
      <c r="S29" s="39">
        <f t="shared" si="7"/>
        <v>0</v>
      </c>
      <c r="T29" s="61">
        <f t="shared" si="6"/>
        <v>-1</v>
      </c>
      <c r="U29" s="39">
        <f t="shared" si="6"/>
        <v>-2.5299999999999998</v>
      </c>
      <c r="V29" s="61">
        <f t="shared" si="6"/>
        <v>0</v>
      </c>
      <c r="W29" s="39">
        <f t="shared" si="6"/>
        <v>0</v>
      </c>
      <c r="X29" s="61">
        <f t="shared" si="6"/>
        <v>-4529</v>
      </c>
      <c r="Y29" s="39">
        <f t="shared" si="6"/>
        <v>-10571</v>
      </c>
      <c r="Z29" s="61">
        <f t="shared" si="6"/>
        <v>-134</v>
      </c>
      <c r="AA29" s="39">
        <f t="shared" si="6"/>
        <v>-265.61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-446506</v>
      </c>
      <c r="E32" s="38">
        <f t="shared" si="8"/>
        <v>-973829.57599999965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-105422</v>
      </c>
      <c r="I32" s="38">
        <f>'EAST-EGM-GL'!I32+'EAST-LRC-GL'!I32</f>
        <v>-229925.38200000001</v>
      </c>
      <c r="J32" s="60">
        <f>'EAST-EGM-GL'!J32+'EAST-LRC-GL'!J32</f>
        <v>-1716237</v>
      </c>
      <c r="K32" s="38">
        <f>'EAST-EGM-GL'!K32+'EAST-LRC-GL'!K32</f>
        <v>-3743112.8969999999</v>
      </c>
      <c r="L32" s="60">
        <f>'EAST-EGM-GL'!L32+'EAST-LRC-GL'!L32</f>
        <v>107811</v>
      </c>
      <c r="M32" s="38">
        <f>'EAST-EGM-GL'!M32+'EAST-LRC-GL'!M32</f>
        <v>235135.791</v>
      </c>
      <c r="N32" s="60">
        <f>'EAST-EGM-GL'!N32+'EAST-LRC-GL'!N32</f>
        <v>1134016</v>
      </c>
      <c r="O32" s="38">
        <f>'EAST-EGM-GL'!O32+'EAST-LRC-GL'!O32</f>
        <v>2473288.8960000002</v>
      </c>
      <c r="P32" s="60">
        <f>'EAST-EGM-GL'!P32+'EAST-LRC-GL'!P32</f>
        <v>222362</v>
      </c>
      <c r="Q32" s="38">
        <f>'EAST-EGM-GL'!Q32+'EAST-LRC-GL'!Q32</f>
        <v>484971.522</v>
      </c>
      <c r="R32" s="60">
        <f>'EAST-EGM-GL'!R32+'EAST-LRC-GL'!R32</f>
        <v>-10007</v>
      </c>
      <c r="S32" s="38">
        <f>'EAST-EGM-GL'!S32+'EAST-LRC-GL'!S32</f>
        <v>-21825.267</v>
      </c>
      <c r="T32" s="60">
        <f>'EAST-EGM-GL'!T32+'EAST-LRC-GL'!T32</f>
        <v>4221</v>
      </c>
      <c r="U32" s="38">
        <f>'EAST-EGM-GL'!U32+'EAST-LRC-GL'!U32</f>
        <v>9206.0010000000002</v>
      </c>
      <c r="V32" s="60">
        <f>'EAST-EGM-GL'!V32+'EAST-LRC-GL'!V32</f>
        <v>-9182</v>
      </c>
      <c r="W32" s="38">
        <f>'EAST-EGM-GL'!W32+'EAST-LRC-GL'!W32</f>
        <v>-20025.939999999999</v>
      </c>
      <c r="X32" s="60">
        <f>'EAST-EGM-GL'!X32+'EAST-LRC-GL'!X32</f>
        <v>47787</v>
      </c>
      <c r="Y32" s="38">
        <f>'EAST-EGM-GL'!Y32+'EAST-LRC-GL'!Y32</f>
        <v>104223.45</v>
      </c>
      <c r="Z32" s="60">
        <f>'EAST-EGM-GL'!Z32+'EAST-LRC-GL'!Z32</f>
        <v>-121855</v>
      </c>
      <c r="AA32" s="38">
        <f>'EAST-EGM-GL'!AA32+'EAST-LRC-GL'!AA32</f>
        <v>-265765.75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-5677172</v>
      </c>
      <c r="E33" s="38">
        <f t="shared" si="8"/>
        <v>-754280.75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-285496</v>
      </c>
      <c r="K33" s="38">
        <f>'EAST-EGM-GL'!K33+'EAST-LRC-GL'!K33</f>
        <v>-691899.48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-55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-29697.03</v>
      </c>
      <c r="R33" s="60">
        <f>'EAST-EGM-GL'!R33+'EAST-LRC-GL'!R33</f>
        <v>-121</v>
      </c>
      <c r="S33" s="38">
        <f>'EAST-EGM-GL'!S33+'EAST-LRC-GL'!S33</f>
        <v>-292.83999999999997</v>
      </c>
      <c r="T33" s="60">
        <f>'EAST-EGM-GL'!T33+'EAST-LRC-GL'!T33</f>
        <v>-866029</v>
      </c>
      <c r="U33" s="38">
        <f>'EAST-EGM-GL'!U33+'EAST-LRC-GL'!U33</f>
        <v>3629.6</v>
      </c>
      <c r="V33" s="60">
        <f>'EAST-EGM-GL'!V33+'EAST-LRC-GL'!V33</f>
        <v>865849</v>
      </c>
      <c r="W33" s="38">
        <f>'EAST-EGM-GL'!W33+'EAST-LRC-GL'!W33</f>
        <v>0</v>
      </c>
      <c r="X33" s="60">
        <f>'EAST-EGM-GL'!X33+'EAST-LRC-GL'!X33</f>
        <v>-14472</v>
      </c>
      <c r="Y33" s="38">
        <f>'EAST-EGM-GL'!Y33+'EAST-LRC-GL'!Y33</f>
        <v>-36021</v>
      </c>
      <c r="Z33" s="60">
        <f>'EAST-EGM-GL'!Z33+'EAST-LRC-GL'!Z33</f>
        <v>-5376848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195021</v>
      </c>
      <c r="E34" s="38">
        <f t="shared" si="8"/>
        <v>422646.96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180180</v>
      </c>
      <c r="K34" s="38">
        <f>'EAST-EGM-GL'!K34+'EAST-LRC-GL'!K34</f>
        <v>406917.77</v>
      </c>
      <c r="L34" s="60">
        <f>'EAST-EGM-GL'!L34+'EAST-LRC-GL'!L34</f>
        <v>3220</v>
      </c>
      <c r="M34" s="38">
        <f>'EAST-EGM-GL'!M34+'EAST-LRC-GL'!M34</f>
        <v>5723.34</v>
      </c>
      <c r="N34" s="60">
        <f>'EAST-EGM-GL'!N34+'EAST-LRC-GL'!N34</f>
        <v>144</v>
      </c>
      <c r="O34" s="38">
        <f>'EAST-EGM-GL'!O34+'EAST-LRC-GL'!O34</f>
        <v>335.49</v>
      </c>
      <c r="P34" s="60">
        <f>'EAST-EGM-GL'!P34+'EAST-LRC-GL'!P34</f>
        <v>3870</v>
      </c>
      <c r="Q34" s="38">
        <f>'EAST-EGM-GL'!Q34+'EAST-LRC-GL'!Q34</f>
        <v>8964.17</v>
      </c>
      <c r="R34" s="60">
        <f>'EAST-EGM-GL'!R34+'EAST-LRC-GL'!R34</f>
        <v>1269</v>
      </c>
      <c r="S34" s="38">
        <f>'EAST-EGM-GL'!S34+'EAST-LRC-GL'!S34</f>
        <v>703.19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6338</v>
      </c>
      <c r="W34" s="38">
        <f>'EAST-EGM-GL'!W34+'EAST-LRC-GL'!W34</f>
        <v>16138</v>
      </c>
      <c r="X34" s="60">
        <f>'EAST-EGM-GL'!X34+'EAST-LRC-GL'!X34</f>
        <v>0</v>
      </c>
      <c r="Y34" s="38">
        <f>'EAST-EGM-GL'!Y34+'EAST-LRC-GL'!Y34</f>
        <v>-16135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>SUM(D32:D35)</f>
        <v>-5928657</v>
      </c>
      <c r="E36" s="39">
        <f t="shared" ref="E36:AO36" si="9">SUM(E32:E35)</f>
        <v>-1305463.3659999997</v>
      </c>
      <c r="F36" s="61">
        <f t="shared" si="9"/>
        <v>0</v>
      </c>
      <c r="G36" s="39">
        <f t="shared" si="9"/>
        <v>0</v>
      </c>
      <c r="H36" s="61">
        <f t="shared" si="9"/>
        <v>-105422</v>
      </c>
      <c r="I36" s="39">
        <f t="shared" si="9"/>
        <v>-229925.38200000001</v>
      </c>
      <c r="J36" s="61">
        <f t="shared" si="9"/>
        <v>-1821553</v>
      </c>
      <c r="K36" s="39">
        <f t="shared" si="9"/>
        <v>-4028094.6070000003</v>
      </c>
      <c r="L36" s="61">
        <f t="shared" si="9"/>
        <v>111031</v>
      </c>
      <c r="M36" s="39">
        <f t="shared" si="9"/>
        <v>240859.13099999999</v>
      </c>
      <c r="N36" s="61">
        <f t="shared" ref="N36:S36" si="10">SUM(N32:N35)</f>
        <v>1134105</v>
      </c>
      <c r="O36" s="39">
        <f t="shared" si="10"/>
        <v>2473624.3860000004</v>
      </c>
      <c r="P36" s="61">
        <f t="shared" si="10"/>
        <v>226232</v>
      </c>
      <c r="Q36" s="39">
        <f t="shared" si="10"/>
        <v>464238.66199999995</v>
      </c>
      <c r="R36" s="61">
        <f t="shared" si="10"/>
        <v>-8859</v>
      </c>
      <c r="S36" s="39">
        <f t="shared" si="10"/>
        <v>-21414.917000000001</v>
      </c>
      <c r="T36" s="61">
        <f t="shared" si="9"/>
        <v>-861808</v>
      </c>
      <c r="U36" s="39">
        <f t="shared" si="9"/>
        <v>12835.601000000001</v>
      </c>
      <c r="V36" s="61">
        <f t="shared" si="9"/>
        <v>863005</v>
      </c>
      <c r="W36" s="39">
        <f t="shared" si="9"/>
        <v>-3887.9399999999987</v>
      </c>
      <c r="X36" s="61">
        <f t="shared" si="9"/>
        <v>33315</v>
      </c>
      <c r="Y36" s="39">
        <f t="shared" si="9"/>
        <v>52067.45</v>
      </c>
      <c r="Z36" s="61">
        <f t="shared" si="9"/>
        <v>-5498703</v>
      </c>
      <c r="AA36" s="39">
        <f t="shared" si="9"/>
        <v>-265765.75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11803726</v>
      </c>
      <c r="E39" s="38">
        <f t="shared" si="11"/>
        <v>25678080.439999998</v>
      </c>
      <c r="F39" s="64">
        <f>('TIE-OUT'!L39+'TIE-OUT'!J39)+(RECLASS!J39+RECLASS!H39)</f>
        <v>0</v>
      </c>
      <c r="G39" s="68">
        <f>('TIE-OUT'!M39+'TIE-OUT'!K39)+(RECLASS!K39+RECLASS!I39)</f>
        <v>-2032788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1604146</v>
      </c>
      <c r="K39" s="38">
        <f>'EAST-EGM-GL'!K39+'EAST-LRC-GL'!K39</f>
        <v>3432872.44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5384310</v>
      </c>
      <c r="O39" s="38">
        <f>'EAST-EGM-GL'!O39+'EAST-LRC-GL'!O39</f>
        <v>13775968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4815270</v>
      </c>
      <c r="Y39" s="38">
        <f>'EAST-EGM-GL'!Y39+'EAST-LRC-GL'!Y39</f>
        <v>10502028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-765690</v>
      </c>
      <c r="E40" s="38">
        <f t="shared" si="11"/>
        <v>-2879318.66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-349277</v>
      </c>
      <c r="I40" s="38">
        <f>'EAST-EGM-GL'!I40+'EAST-LRC-GL'!I40</f>
        <v>-889043.85</v>
      </c>
      <c r="J40" s="60">
        <f>'EAST-EGM-GL'!J40+'EAST-LRC-GL'!J40</f>
        <v>-994677</v>
      </c>
      <c r="K40" s="38">
        <f>'EAST-EGM-GL'!K40+'EAST-LRC-GL'!K40</f>
        <v>-2036470.9900000002</v>
      </c>
      <c r="L40" s="60">
        <f>'EAST-EGM-GL'!L40+'EAST-LRC-GL'!L40</f>
        <v>20907</v>
      </c>
      <c r="M40" s="38">
        <f>'EAST-EGM-GL'!M40+'EAST-LRC-GL'!M40</f>
        <v>44470.98</v>
      </c>
      <c r="N40" s="60">
        <f>'EAST-EGM-GL'!N40+'EAST-LRC-GL'!N40</f>
        <v>0</v>
      </c>
      <c r="O40" s="38">
        <f>'EAST-EGM-GL'!O40+'EAST-LRC-GL'!O40</f>
        <v>270</v>
      </c>
      <c r="P40" s="60">
        <f>'EAST-EGM-GL'!P40+'EAST-LRC-GL'!P40</f>
        <v>680</v>
      </c>
      <c r="Q40" s="38">
        <f>'EAST-EGM-GL'!Q40+'EAST-LRC-GL'!Q40</f>
        <v>1455.2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-4</v>
      </c>
      <c r="U40" s="38">
        <f>'EAST-EGM-GL'!U40+'EAST-LRC-GL'!U40</f>
        <v>0</v>
      </c>
      <c r="V40" s="60">
        <f>'EAST-EGM-GL'!V40+'EAST-LRC-GL'!V40</f>
        <v>556681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>SUM(D40:D41)</f>
        <v>-765690</v>
      </c>
      <c r="E42" s="39">
        <f t="shared" ref="E42:AO42" si="12">SUM(E40:E41)</f>
        <v>-2879318.66</v>
      </c>
      <c r="F42" s="61">
        <f t="shared" si="12"/>
        <v>0</v>
      </c>
      <c r="G42" s="39">
        <f t="shared" si="12"/>
        <v>0</v>
      </c>
      <c r="H42" s="61">
        <f t="shared" si="12"/>
        <v>-349277</v>
      </c>
      <c r="I42" s="39">
        <f t="shared" si="12"/>
        <v>-889043.85</v>
      </c>
      <c r="J42" s="61">
        <f t="shared" si="12"/>
        <v>-994677</v>
      </c>
      <c r="K42" s="39">
        <f t="shared" si="12"/>
        <v>-2036470.9900000002</v>
      </c>
      <c r="L42" s="61">
        <f t="shared" si="12"/>
        <v>20907</v>
      </c>
      <c r="M42" s="39">
        <f t="shared" si="12"/>
        <v>44470.98</v>
      </c>
      <c r="N42" s="61">
        <f t="shared" ref="N42:S42" si="13">SUM(N40:N41)</f>
        <v>0</v>
      </c>
      <c r="O42" s="39">
        <f t="shared" si="13"/>
        <v>270</v>
      </c>
      <c r="P42" s="61">
        <f t="shared" si="13"/>
        <v>680</v>
      </c>
      <c r="Q42" s="39">
        <f t="shared" si="13"/>
        <v>1455.2</v>
      </c>
      <c r="R42" s="61">
        <f t="shared" si="13"/>
        <v>0</v>
      </c>
      <c r="S42" s="39">
        <f t="shared" si="13"/>
        <v>0</v>
      </c>
      <c r="T42" s="61">
        <f t="shared" si="12"/>
        <v>-4</v>
      </c>
      <c r="U42" s="39">
        <f t="shared" si="12"/>
        <v>0</v>
      </c>
      <c r="V42" s="61">
        <f t="shared" si="12"/>
        <v>556681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11038036</v>
      </c>
      <c r="E43" s="39">
        <f t="shared" ref="E43:AO43" si="14">E42+E39</f>
        <v>22798761.779999997</v>
      </c>
      <c r="F43" s="61">
        <f t="shared" si="14"/>
        <v>0</v>
      </c>
      <c r="G43" s="39">
        <f t="shared" si="14"/>
        <v>-2032788</v>
      </c>
      <c r="H43" s="61">
        <f t="shared" si="14"/>
        <v>-349277</v>
      </c>
      <c r="I43" s="39">
        <f t="shared" si="14"/>
        <v>-889043.85</v>
      </c>
      <c r="J43" s="61">
        <f t="shared" si="14"/>
        <v>609469</v>
      </c>
      <c r="K43" s="39">
        <f t="shared" si="14"/>
        <v>1396401.4499999997</v>
      </c>
      <c r="L43" s="61">
        <f t="shared" si="14"/>
        <v>20907</v>
      </c>
      <c r="M43" s="39">
        <f t="shared" si="14"/>
        <v>44470.98</v>
      </c>
      <c r="N43" s="61">
        <f t="shared" ref="N43:S43" si="15">N42+N39</f>
        <v>5384310</v>
      </c>
      <c r="O43" s="39">
        <f t="shared" si="15"/>
        <v>13776238</v>
      </c>
      <c r="P43" s="61">
        <f t="shared" si="15"/>
        <v>680</v>
      </c>
      <c r="Q43" s="39">
        <f t="shared" si="15"/>
        <v>1455.2</v>
      </c>
      <c r="R43" s="61">
        <f t="shared" si="15"/>
        <v>0</v>
      </c>
      <c r="S43" s="39">
        <f t="shared" si="15"/>
        <v>0</v>
      </c>
      <c r="T43" s="61">
        <f t="shared" si="14"/>
        <v>-4</v>
      </c>
      <c r="U43" s="39">
        <f t="shared" si="14"/>
        <v>0</v>
      </c>
      <c r="V43" s="61">
        <f t="shared" si="14"/>
        <v>556681</v>
      </c>
      <c r="W43" s="39">
        <f t="shared" si="14"/>
        <v>0</v>
      </c>
      <c r="X43" s="61">
        <f t="shared" si="14"/>
        <v>4815270</v>
      </c>
      <c r="Y43" s="39">
        <f t="shared" si="14"/>
        <v>10502028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5161</v>
      </c>
      <c r="K45" s="38">
        <f>'EAST-EGM-GL'!K45+'EAST-LRC-GL'!K45</f>
        <v>10898.77</v>
      </c>
      <c r="L45" s="60">
        <f>'EAST-EGM-GL'!L45+'EAST-LRC-GL'!L45</f>
        <v>0</v>
      </c>
      <c r="M45" s="38">
        <f>'EAST-EGM-GL'!M45+'EAST-LRC-GL'!M45</f>
        <v>0.13</v>
      </c>
      <c r="N45" s="60">
        <f>'EAST-EGM-GL'!N45+'EAST-LRC-GL'!N45</f>
        <v>0</v>
      </c>
      <c r="O45" s="38">
        <f>'EAST-EGM-GL'!O45+'EAST-LRC-GL'!O45</f>
        <v>0.13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665021</v>
      </c>
      <c r="E49" s="38">
        <f>SUM(G49,I49,K49,M49,O49,Q49,S49,U49,W49,Y49,AA49,AC49,AE49)</f>
        <v>1450410.8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-5003587</v>
      </c>
      <c r="I49" s="38">
        <f>'EAST-EGM-GL'!I49+'EAST-LRC-GL'!I49</f>
        <v>-10912823.247</v>
      </c>
      <c r="J49" s="60">
        <f>'EAST-EGM-GL'!J49+'EAST-LRC-GL'!J49</f>
        <v>6374996</v>
      </c>
      <c r="K49" s="38">
        <f>'EAST-EGM-GL'!K49+'EAST-LRC-GL'!K49</f>
        <v>13903866.277999999</v>
      </c>
      <c r="L49" s="60">
        <f>'EAST-EGM-GL'!L49+'EAST-LRC-GL'!L49</f>
        <v>102472</v>
      </c>
      <c r="M49" s="38">
        <f>'EAST-EGM-GL'!M49+'EAST-LRC-GL'!M49</f>
        <v>223491.432</v>
      </c>
      <c r="N49" s="60">
        <f>'EAST-EGM-GL'!N49+'EAST-LRC-GL'!N49</f>
        <v>-1140069</v>
      </c>
      <c r="O49" s="38">
        <f>'EAST-EGM-GL'!O49+'EAST-LRC-GL'!O49</f>
        <v>-2486490.4890000001</v>
      </c>
      <c r="P49" s="60">
        <f>'EAST-EGM-GL'!P49+'EAST-LRC-GL'!P49</f>
        <v>14753</v>
      </c>
      <c r="Q49" s="38">
        <f>'EAST-EGM-GL'!Q49+'EAST-LRC-GL'!Q49</f>
        <v>32176.293000000001</v>
      </c>
      <c r="R49" s="60">
        <f>'EAST-EGM-GL'!R49+'EAST-LRC-GL'!R49</f>
        <v>4774</v>
      </c>
      <c r="S49" s="38">
        <f>'EAST-EGM-GL'!S49+'EAST-LRC-GL'!S49</f>
        <v>10412.093999999999</v>
      </c>
      <c r="T49" s="60">
        <f>'EAST-EGM-GL'!T49+'EAST-LRC-GL'!T49</f>
        <v>1079839</v>
      </c>
      <c r="U49" s="38">
        <f>'EAST-EGM-GL'!U49+'EAST-LRC-GL'!U49</f>
        <v>2355128.8590000002</v>
      </c>
      <c r="V49" s="60">
        <f>'EAST-EGM-GL'!V49+'EAST-LRC-GL'!V49</f>
        <v>-1389271</v>
      </c>
      <c r="W49" s="38">
        <f>'EAST-EGM-GL'!W49+'EAST-LRC-GL'!W49</f>
        <v>-3030000.05</v>
      </c>
      <c r="X49" s="60">
        <f>'EAST-EGM-GL'!X49+'EAST-LRC-GL'!X49</f>
        <v>-58766</v>
      </c>
      <c r="Y49" s="38">
        <f>'EAST-EGM-GL'!Y49+'EAST-LRC-GL'!Y49</f>
        <v>-128168.65</v>
      </c>
      <c r="Z49" s="60">
        <f>'EAST-EGM-GL'!Z49+'EAST-LRC-GL'!Z49</f>
        <v>679880</v>
      </c>
      <c r="AA49" s="38">
        <f>'EAST-EGM-GL'!AA49+'EAST-LRC-GL'!AA49</f>
        <v>1482818.28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-891850</v>
      </c>
      <c r="E51" s="38">
        <f>SUM(G51,I51,K51,M51,O51,Q51,S51,U51,W51,Y51,AA51,AC51,AE51)</f>
        <v>-1954760.4760000005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-1092162</v>
      </c>
      <c r="I51" s="38">
        <f>'EAST-EGM-GL'!I51+'EAST-LRC-GL'!I51</f>
        <v>-2382005.3220000002</v>
      </c>
      <c r="J51" s="60">
        <f>'EAST-EGM-GL'!J51+'EAST-LRC-GL'!J51</f>
        <v>841</v>
      </c>
      <c r="K51" s="38">
        <f>'EAST-EGM-GL'!K51+'EAST-LRC-GL'!K51</f>
        <v>-7801.406999999992</v>
      </c>
      <c r="L51" s="60">
        <f>'EAST-EGM-GL'!L51+'EAST-LRC-GL'!L51</f>
        <v>-4878</v>
      </c>
      <c r="M51" s="38">
        <f>'EAST-EGM-GL'!M51+'EAST-LRC-GL'!M51</f>
        <v>-10638.918</v>
      </c>
      <c r="N51" s="60">
        <f>'EAST-EGM-GL'!N51+'EAST-LRC-GL'!N51</f>
        <v>-2287</v>
      </c>
      <c r="O51" s="38">
        <f>'EAST-EGM-GL'!O51+'EAST-LRC-GL'!O51</f>
        <v>-4987.9470000000001</v>
      </c>
      <c r="P51" s="60">
        <f>'EAST-EGM-GL'!P51+'EAST-LRC-GL'!P51</f>
        <v>214517</v>
      </c>
      <c r="Q51" s="38">
        <f>'EAST-EGM-GL'!Q51+'EAST-LRC-GL'!Q51</f>
        <v>467861.57699999999</v>
      </c>
      <c r="R51" s="60">
        <f>'EAST-EGM-GL'!R51+'EAST-LRC-GL'!R51</f>
        <v>-7829</v>
      </c>
      <c r="S51" s="38">
        <f>'EAST-EGM-GL'!S51+'EAST-LRC-GL'!S51</f>
        <v>-17075.048999999999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-22</v>
      </c>
      <c r="Y51" s="38">
        <f>'EAST-EGM-GL'!Y51+'EAST-LRC-GL'!Y51</f>
        <v>-47.98</v>
      </c>
      <c r="Z51" s="60">
        <f>'EAST-EGM-GL'!Z51+'EAST-LRC-GL'!Z51</f>
        <v>-30</v>
      </c>
      <c r="AA51" s="38">
        <f>'EAST-EGM-GL'!AA51+'EAST-LRC-GL'!AA51</f>
        <v>-65.430000000000007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-81151660</v>
      </c>
      <c r="E54" s="38">
        <f>SUM(G54,I54,K54,M54,O54,Q54,S54,U54,W54,Y54,AA54,AC54,AE54)</f>
        <v>-127049.44000000003</v>
      </c>
      <c r="F54" s="64">
        <f>('TIE-OUT'!L54+'TIE-OUT'!J54)+(RECLASS!J54+RECLASS!H54)</f>
        <v>0</v>
      </c>
      <c r="G54" s="68">
        <f>('TIE-OUT'!M54+'TIE-OUT'!K54)+(RECLASS!K54+RECLASS!I54)</f>
        <v>84003</v>
      </c>
      <c r="H54" s="60">
        <f>'EAST-EGM-GL'!H54+'EAST-LRC-GL'!H54</f>
        <v>-80516992</v>
      </c>
      <c r="I54" s="38">
        <f>'EAST-EGM-GL'!I54+'EAST-LRC-GL'!I54</f>
        <v>-911761.01</v>
      </c>
      <c r="J54" s="60">
        <f>'EAST-EGM-GL'!J54+'EAST-LRC-GL'!J54</f>
        <v>7163044</v>
      </c>
      <c r="K54" s="38">
        <f>'EAST-EGM-GL'!K54+'EAST-LRC-GL'!K54</f>
        <v>240812.31</v>
      </c>
      <c r="L54" s="60">
        <f>'EAST-EGM-GL'!L54+'EAST-LRC-GL'!L54</f>
        <v>-569430</v>
      </c>
      <c r="M54" s="38">
        <f>'EAST-EGM-GL'!M54+'EAST-LRC-GL'!M54</f>
        <v>-34711.39</v>
      </c>
      <c r="N54" s="60">
        <f>'EAST-EGM-GL'!N54+'EAST-LRC-GL'!N54</f>
        <v>-194960</v>
      </c>
      <c r="O54" s="38">
        <f>'EAST-EGM-GL'!O54+'EAST-LRC-GL'!O54</f>
        <v>-23114.06</v>
      </c>
      <c r="P54" s="60">
        <f>'EAST-EGM-GL'!P54+'EAST-LRC-GL'!P54</f>
        <v>-344666</v>
      </c>
      <c r="Q54" s="38">
        <f>'EAST-EGM-GL'!Q54+'EAST-LRC-GL'!Q54</f>
        <v>-4425.78</v>
      </c>
      <c r="R54" s="60">
        <f>'EAST-EGM-GL'!R54+'EAST-LRC-GL'!R54</f>
        <v>-6274347</v>
      </c>
      <c r="S54" s="38">
        <f>'EAST-EGM-GL'!S54+'EAST-LRC-GL'!S54</f>
        <v>-134275.72</v>
      </c>
      <c r="T54" s="60">
        <f>'EAST-EGM-GL'!T54+'EAST-LRC-GL'!T54</f>
        <v>-12</v>
      </c>
      <c r="U54" s="38">
        <f>'EAST-EGM-GL'!U54+'EAST-LRC-GL'!U54</f>
        <v>655843.87</v>
      </c>
      <c r="V54" s="60">
        <f>'EAST-EGM-GL'!V54+'EAST-LRC-GL'!V54</f>
        <v>196515</v>
      </c>
      <c r="W54" s="38">
        <f>'EAST-EGM-GL'!W54+'EAST-LRC-GL'!W54</f>
        <v>963.37</v>
      </c>
      <c r="X54" s="60">
        <f>'EAST-EGM-GL'!X54+'EAST-LRC-GL'!X54</f>
        <v>-452222</v>
      </c>
      <c r="Y54" s="38">
        <f>'EAST-EGM-GL'!Y54+'EAST-LRC-GL'!Y54</f>
        <v>8.3699999999999992</v>
      </c>
      <c r="Z54" s="60">
        <f>'EAST-EGM-GL'!Z54+'EAST-LRC-GL'!Z54</f>
        <v>-158590</v>
      </c>
      <c r="AA54" s="38">
        <f>'EAST-EGM-GL'!AA54+'EAST-LRC-GL'!AA54</f>
        <v>-392.4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-1291824.3600000001</v>
      </c>
      <c r="F55" s="81">
        <f>('TIE-OUT'!L55+'TIE-OUT'!J55)+(RECLASS!J55+RECLASS!H55)</f>
        <v>0</v>
      </c>
      <c r="G55" s="82">
        <f>('TIE-OUT'!M55+'TIE-OUT'!K55)+(RECLASS!K55+RECLASS!I55)</f>
        <v>86819</v>
      </c>
      <c r="H55" s="60">
        <f>'EAST-EGM-GL'!H55+'EAST-LRC-GL'!H55</f>
        <v>0</v>
      </c>
      <c r="I55" s="38">
        <f>'EAST-EGM-GL'!I55+'EAST-LRC-GL'!I55</f>
        <v>-1089160.48</v>
      </c>
      <c r="J55" s="60">
        <f>'EAST-EGM-GL'!J55+'EAST-LRC-GL'!J55</f>
        <v>0</v>
      </c>
      <c r="K55" s="38">
        <f>'EAST-EGM-GL'!K55+'EAST-LRC-GL'!K55</f>
        <v>-28147.82</v>
      </c>
      <c r="L55" s="60">
        <f>'EAST-EGM-GL'!L55+'EAST-LRC-GL'!L55</f>
        <v>0</v>
      </c>
      <c r="M55" s="38">
        <f>'EAST-EGM-GL'!M55+'EAST-LRC-GL'!M55</f>
        <v>-224854.71</v>
      </c>
      <c r="N55" s="60">
        <f>'EAST-EGM-GL'!N55+'EAST-LRC-GL'!N55</f>
        <v>0</v>
      </c>
      <c r="O55" s="38">
        <f>'EAST-EGM-GL'!O55+'EAST-LRC-GL'!O55</f>
        <v>-36186.79</v>
      </c>
      <c r="P55" s="60">
        <f>'EAST-EGM-GL'!P55+'EAST-LRC-GL'!P55</f>
        <v>0</v>
      </c>
      <c r="Q55" s="38">
        <f>'EAST-EGM-GL'!Q55+'EAST-LRC-GL'!Q55</f>
        <v>-125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-25</v>
      </c>
      <c r="Z55" s="60">
        <f>'EAST-EGM-GL'!Z55+'EAST-LRC-GL'!Z55</f>
        <v>0</v>
      </c>
      <c r="AA55" s="38">
        <f>'EAST-EGM-GL'!AA55+'EAST-LRC-GL'!AA55</f>
        <v>-143.56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>SUM(D54:D55)</f>
        <v>-81151660</v>
      </c>
      <c r="E56" s="39">
        <f t="shared" ref="E56:AO56" si="16">SUM(E54:E55)</f>
        <v>-1418873.8</v>
      </c>
      <c r="F56" s="61">
        <f t="shared" si="16"/>
        <v>0</v>
      </c>
      <c r="G56" s="39">
        <f t="shared" si="16"/>
        <v>170822</v>
      </c>
      <c r="H56" s="61">
        <f t="shared" si="16"/>
        <v>-80516992</v>
      </c>
      <c r="I56" s="39">
        <f t="shared" si="16"/>
        <v>-2000921.49</v>
      </c>
      <c r="J56" s="61">
        <f t="shared" si="16"/>
        <v>7163044</v>
      </c>
      <c r="K56" s="39">
        <f t="shared" si="16"/>
        <v>212664.49</v>
      </c>
      <c r="L56" s="61">
        <f t="shared" si="16"/>
        <v>-569430</v>
      </c>
      <c r="M56" s="39">
        <f t="shared" si="16"/>
        <v>-259566.09999999998</v>
      </c>
      <c r="N56" s="61">
        <f t="shared" ref="N56:S56" si="17">SUM(N54:N55)</f>
        <v>-194960</v>
      </c>
      <c r="O56" s="39">
        <f t="shared" si="17"/>
        <v>-59300.850000000006</v>
      </c>
      <c r="P56" s="61">
        <f t="shared" si="17"/>
        <v>-344666</v>
      </c>
      <c r="Q56" s="39">
        <f t="shared" si="17"/>
        <v>-4550.78</v>
      </c>
      <c r="R56" s="61">
        <f t="shared" si="17"/>
        <v>-6274347</v>
      </c>
      <c r="S56" s="39">
        <f t="shared" si="17"/>
        <v>-134275.72</v>
      </c>
      <c r="T56" s="61">
        <f t="shared" si="16"/>
        <v>-12</v>
      </c>
      <c r="U56" s="39">
        <f t="shared" si="16"/>
        <v>655843.87</v>
      </c>
      <c r="V56" s="61">
        <f t="shared" si="16"/>
        <v>196515</v>
      </c>
      <c r="W56" s="39">
        <f t="shared" si="16"/>
        <v>963.37</v>
      </c>
      <c r="X56" s="61">
        <f t="shared" si="16"/>
        <v>-452222</v>
      </c>
      <c r="Y56" s="39">
        <f t="shared" si="16"/>
        <v>-16.630000000000003</v>
      </c>
      <c r="Z56" s="61">
        <f t="shared" si="16"/>
        <v>-158590</v>
      </c>
      <c r="AA56" s="39">
        <f t="shared" si="16"/>
        <v>-535.96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118000.78999999998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3608663</v>
      </c>
      <c r="I59" s="38">
        <f>'EAST-EGM-GL'!I59+'EAST-LRC-GL'!I59</f>
        <v>135374.91999999998</v>
      </c>
      <c r="J59" s="60">
        <f>'EAST-EGM-GL'!J59+'EAST-LRC-GL'!J59</f>
        <v>-848182</v>
      </c>
      <c r="K59" s="38">
        <f>'EAST-EGM-GL'!K59+'EAST-LRC-GL'!K59</f>
        <v>-17124.13</v>
      </c>
      <c r="L59" s="60">
        <f>'EAST-EGM-GL'!L59+'EAST-LRC-GL'!L59</f>
        <v>26380</v>
      </c>
      <c r="M59" s="38">
        <f>'EAST-EGM-GL'!M59+'EAST-LRC-GL'!M59</f>
        <v>-250</v>
      </c>
      <c r="N59" s="60">
        <f>'EAST-EGM-GL'!N59+'EAST-LRC-GL'!N59</f>
        <v>466736</v>
      </c>
      <c r="O59" s="38">
        <f>'EAST-EGM-GL'!O59+'EAST-LRC-GL'!O59</f>
        <v>0</v>
      </c>
      <c r="P59" s="60">
        <f>'EAST-EGM-GL'!P59+'EAST-LRC-GL'!P59</f>
        <v>10000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>SUM(D59:D60)</f>
        <v>3263597</v>
      </c>
      <c r="E61" s="39">
        <f t="shared" ref="E61:AO61" si="18">SUM(E59:E60)</f>
        <v>288000.78999999998</v>
      </c>
      <c r="F61" s="61">
        <f t="shared" si="18"/>
        <v>0</v>
      </c>
      <c r="G61" s="39">
        <f t="shared" si="18"/>
        <v>0</v>
      </c>
      <c r="H61" s="61">
        <f t="shared" si="18"/>
        <v>3608663</v>
      </c>
      <c r="I61" s="39">
        <f t="shared" si="18"/>
        <v>305374.92</v>
      </c>
      <c r="J61" s="61">
        <f t="shared" si="18"/>
        <v>-848182</v>
      </c>
      <c r="K61" s="39">
        <f t="shared" si="18"/>
        <v>-17124.13</v>
      </c>
      <c r="L61" s="61">
        <f t="shared" si="18"/>
        <v>26380</v>
      </c>
      <c r="M61" s="39">
        <f t="shared" si="18"/>
        <v>-250</v>
      </c>
      <c r="N61" s="61">
        <f t="shared" ref="N61:S61" si="19">SUM(N59:N60)</f>
        <v>466736</v>
      </c>
      <c r="O61" s="39">
        <f t="shared" si="19"/>
        <v>0</v>
      </c>
      <c r="P61" s="61">
        <f t="shared" si="19"/>
        <v>10000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-2359601.39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-13296149</v>
      </c>
      <c r="I64" s="38">
        <f>'EAST-EGM-GL'!I64+'EAST-LRC-GL'!I64</f>
        <v>-2278678.81</v>
      </c>
      <c r="J64" s="60">
        <f>'EAST-EGM-GL'!J64+'EAST-LRC-GL'!J64</f>
        <v>-6665955</v>
      </c>
      <c r="K64" s="38">
        <f>'EAST-EGM-GL'!K64+'EAST-LRC-GL'!K64</f>
        <v>-62256.21</v>
      </c>
      <c r="L64" s="60">
        <f>'EAST-EGM-GL'!L64+'EAST-LRC-GL'!L64</f>
        <v>-617</v>
      </c>
      <c r="M64" s="38">
        <f>'EAST-EGM-GL'!M64+'EAST-LRC-GL'!M64</f>
        <v>-61.7</v>
      </c>
      <c r="N64" s="60">
        <f>'EAST-EGM-GL'!N64+'EAST-LRC-GL'!N64</f>
        <v>-5463</v>
      </c>
      <c r="O64" s="38">
        <f>'EAST-EGM-GL'!O64+'EAST-LRC-GL'!O64</f>
        <v>-546.30999999999995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-17512.060000000001</v>
      </c>
      <c r="T64" s="60">
        <f>'EAST-EGM-GL'!T64+'EAST-LRC-GL'!T64</f>
        <v>0</v>
      </c>
      <c r="U64" s="38">
        <f>'EAST-EGM-GL'!U64+'EAST-LRC-GL'!U64</f>
        <v>-546.29999999999995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19989553</v>
      </c>
      <c r="E65" s="38">
        <f>SUM(G65,I65,K65,M65,O65,Q65,S65,U65,W65,Y65,AA65,AC65,AE65)</f>
        <v>2359055.08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13293037</v>
      </c>
      <c r="I65" s="38">
        <f>'EAST-EGM-GL'!I65+'EAST-LRC-GL'!I65</f>
        <v>2278367.62</v>
      </c>
      <c r="J65" s="60">
        <f>'EAST-EGM-GL'!J65+'EAST-LRC-GL'!J65</f>
        <v>6690436</v>
      </c>
      <c r="K65" s="38">
        <f>'EAST-EGM-GL'!K65+'EAST-LRC-GL'!K65</f>
        <v>62567.4</v>
      </c>
      <c r="L65" s="60">
        <f>'EAST-EGM-GL'!L65+'EAST-LRC-GL'!L65</f>
        <v>617</v>
      </c>
      <c r="M65" s="38">
        <f>'EAST-EGM-GL'!M65+'EAST-LRC-GL'!M65</f>
        <v>61.7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5463</v>
      </c>
      <c r="U65" s="38">
        <f>'EAST-EGM-GL'!U65+'EAST-LRC-GL'!U65</f>
        <v>18058.36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>SUM(D64:D65)</f>
        <v>21369</v>
      </c>
      <c r="E66" s="39">
        <f t="shared" ref="E66:AO66" si="20">SUM(E64:E65)</f>
        <v>-546.31000000005588</v>
      </c>
      <c r="F66" s="61">
        <f t="shared" si="20"/>
        <v>0</v>
      </c>
      <c r="G66" s="39">
        <f t="shared" si="20"/>
        <v>0</v>
      </c>
      <c r="H66" s="61">
        <f t="shared" si="20"/>
        <v>-3112</v>
      </c>
      <c r="I66" s="39">
        <f t="shared" si="20"/>
        <v>-311.18999999994412</v>
      </c>
      <c r="J66" s="61">
        <f t="shared" si="20"/>
        <v>24481</v>
      </c>
      <c r="K66" s="39">
        <f t="shared" si="20"/>
        <v>311.19000000000233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-5463</v>
      </c>
      <c r="O66" s="39">
        <f t="shared" si="21"/>
        <v>-546.30999999999995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-17512.060000000001</v>
      </c>
      <c r="T66" s="61">
        <f t="shared" si="20"/>
        <v>5463</v>
      </c>
      <c r="U66" s="39">
        <f t="shared" si="20"/>
        <v>17512.060000000001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('TIE-OUT'!L70+'TIE-OUT'!J70)+(RECLASS!J70+RECLASS!H70)</f>
        <v>0</v>
      </c>
      <c r="G70" s="68">
        <f>('TIE-OUT'!M70+'TIE-OUT'!K70)+(RECLASS!K70+RECLASS!I70)</f>
        <v>5194257.0599999996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('TIE-OUT'!L71+'TIE-OUT'!J71)+(RECLASS!J71+RECLASS!H71)</f>
        <v>0</v>
      </c>
      <c r="G71" s="82">
        <f>('TIE-OUT'!M71+'TIE-OUT'!K71)+(RECLASS!K71+RECLASS!I71)</f>
        <v>-15355188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>SUM(D70:D71)</f>
        <v>0</v>
      </c>
      <c r="E72" s="39">
        <f t="shared" ref="E72:AO72" si="22">SUM(E70:E71)</f>
        <v>-10160930.940000001</v>
      </c>
      <c r="F72" s="61">
        <f t="shared" si="22"/>
        <v>0</v>
      </c>
      <c r="G72" s="39">
        <f t="shared" si="22"/>
        <v>-10160930.940000001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D81" si="24">SUM(F73,H73,J73,L73,N73,P73,R73,T73,V73,X73,Z73,AB73,AD73)</f>
        <v>0</v>
      </c>
      <c r="E73" s="38">
        <f t="shared" ref="E73:E81" si="25">SUM(G73,I73,K73,M73,O73,Q73,S73,U73,W73,Y73,AA73,AC73,AE73)</f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5"/>
        <v>6551482</v>
      </c>
      <c r="F74" s="60">
        <f>('TIE-OUT'!L74+'TIE-OUT'!J74)+(RECLASS!J74+RECLASS!H74)</f>
        <v>0</v>
      </c>
      <c r="G74" s="60">
        <f>('TIE-OUT'!M74+'TIE-OUT'!K74)+(RECLASS!K74+RECLASS!I74)</f>
        <v>6551482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5"/>
        <v>111600</v>
      </c>
      <c r="F75" s="60">
        <f>('TIE-OUT'!L75+'TIE-OUT'!J75)+(RECLASS!J75+RECLASS!H75)</f>
        <v>0</v>
      </c>
      <c r="G75" s="60">
        <f>('TIE-OUT'!M75+'TIE-OUT'!K75)+(RECLASS!K75+RECLASS!I75)</f>
        <v>111600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5"/>
        <v>-3806.43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-10784.16</v>
      </c>
      <c r="J76" s="60">
        <f>'EAST-EGM-GL'!J76+'EAST-LRC-GL'!J76</f>
        <v>0</v>
      </c>
      <c r="K76" s="38">
        <f>'EAST-EGM-GL'!K76+'EAST-LRC-GL'!K76</f>
        <v>7926.09</v>
      </c>
      <c r="L76" s="60">
        <f>'EAST-EGM-GL'!L76+'EAST-LRC-GL'!L76</f>
        <v>0</v>
      </c>
      <c r="M76" s="38">
        <f>'EAST-EGM-GL'!M76+'EAST-LRC-GL'!M76</f>
        <v>-1610.09</v>
      </c>
      <c r="N76" s="60">
        <f>'EAST-EGM-GL'!N76+'EAST-LRC-GL'!N76</f>
        <v>0</v>
      </c>
      <c r="O76" s="38">
        <f>'EAST-EGM-GL'!O76+'EAST-LRC-GL'!O76</f>
        <v>743.79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-82.06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5"/>
        <v>-3933809</v>
      </c>
      <c r="F77" s="60">
        <f>('TIE-OUT'!L77+'TIE-OUT'!J77)+(RECLASS!J77+RECLASS!H77)</f>
        <v>0</v>
      </c>
      <c r="G77" s="60">
        <f>('TIE-OUT'!M77+'TIE-OUT'!K77)+(RECLASS!K77+RECLASS!I77)</f>
        <v>-3933809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5"/>
        <v>26966</v>
      </c>
      <c r="F78" s="60">
        <f>('TIE-OUT'!L78+'TIE-OUT'!J78)+(RECLASS!J78+RECLASS!H78)</f>
        <v>0</v>
      </c>
      <c r="G78" s="60">
        <f>('TIE-OUT'!M78+'TIE-OUT'!K78)+(RECLASS!K78+RECLASS!I78)</f>
        <v>26966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5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5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5"/>
        <v>0.30000000000654836</v>
      </c>
      <c r="F81" s="60">
        <f>('TIE-OUT'!L81+'TIE-OUT'!J81)+(RECLASS!J81+RECLASS!H81)</f>
        <v>0</v>
      </c>
      <c r="G81" s="60">
        <f>('TIE-OUT'!M81+'TIE-OUT'!K81)+(RECLASS!K81+RECLASS!I81)</f>
        <v>-259677</v>
      </c>
      <c r="H81" s="60">
        <f>'EAST-EGM-GL'!H81+'EAST-LRC-GL'!H81</f>
        <v>0</v>
      </c>
      <c r="I81" s="38">
        <f>'EAST-EGM-GL'!I81+'EAST-LRC-GL'!I81</f>
        <v>232711.35</v>
      </c>
      <c r="J81" s="60">
        <f>'EAST-EGM-GL'!J81+'EAST-LRC-GL'!J81</f>
        <v>0</v>
      </c>
      <c r="K81" s="38">
        <f>'EAST-EGM-GL'!K81+'EAST-LRC-GL'!K81</f>
        <v>26965.95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5897443.220000064</v>
      </c>
      <c r="F82" s="91">
        <f>F16+F24+F29+F36+F43+F45+F47+F49</f>
        <v>0</v>
      </c>
      <c r="G82" s="92">
        <f>SUM(G72:G81)+G16+G24+G29+G36+G43+G45+G47+G49+G51+G56+G61+G66</f>
        <v>-10190663.160000002</v>
      </c>
      <c r="H82" s="91">
        <f>H16+H24+H29+H36+H43+H45+H47+H49</f>
        <v>0</v>
      </c>
      <c r="I82" s="92">
        <f>SUM(I72:I81)+I16+I24+I29+I36+I43+I45+I47+I49+I51+I56+I61+I66</f>
        <v>2274912.8010000368</v>
      </c>
      <c r="J82" s="91">
        <f>J16+J24+J29+J36+J43+J45+J47+J49</f>
        <v>0</v>
      </c>
      <c r="K82" s="92">
        <f>SUM(K72:K81)+K16+K24+K29+K36+K43+K45+K47+K49+K51+K56+K61+K66</f>
        <v>3965211.8309999951</v>
      </c>
      <c r="L82" s="91">
        <f>L16+L24+L29+L36+L43+L45+L47+L49</f>
        <v>0</v>
      </c>
      <c r="M82" s="92">
        <f>SUM(M72:M81)+M16+M24+M29+M36+M43+M45+M47+M49+M51+M56+M61+M66</f>
        <v>-550673.32699999982</v>
      </c>
      <c r="N82" s="91">
        <f>N16+N24+N29+N36+N43+N45+N47+N49</f>
        <v>0</v>
      </c>
      <c r="O82" s="92">
        <f>SUM(O72:O81)+O16+O24+O29+O36+O43+O45+O47+O49+O51+O56+O61+O66</f>
        <v>77960.457000000257</v>
      </c>
      <c r="P82" s="91">
        <f>P16+P24+P29+P36+P43+P45+P47+P49</f>
        <v>0</v>
      </c>
      <c r="Q82" s="92">
        <f>SUM(Q72:Q81)+Q16+Q24+Q29+Q36+Q43+Q45+Q47+Q49+Q51+Q56+Q61+Q66</f>
        <v>550582.74499999988</v>
      </c>
      <c r="R82" s="91">
        <f>R16+R24+R29+R36+R43+R45+R47+R49</f>
        <v>0</v>
      </c>
      <c r="S82" s="92">
        <f>SUM(S72:S81)+S16+S24+S29+S36+S43+S45+S47+S49+S51+S56+S61+S66</f>
        <v>-179463.24300000002</v>
      </c>
      <c r="T82" s="91">
        <f>T16+T24+T29+T36+T43+T45+T47+T49</f>
        <v>0</v>
      </c>
      <c r="U82" s="92">
        <f>SUM(U72:U81)+U16+U24+U29+U36+U43+U45+U47+U49+U51+U56+U61+U66</f>
        <v>1324940.4999999935</v>
      </c>
      <c r="V82" s="91">
        <f>V16+V24+V29+V36+V43+V45+V47+V49</f>
        <v>0</v>
      </c>
      <c r="W82" s="92">
        <f>SUM(W72:W81)+W16+W24+W29+W36+W43+W45+W47+W49+W51+W56+W61+W66</f>
        <v>-3033464.7139999997</v>
      </c>
      <c r="X82" s="91">
        <f>X16+X24+X29+X36+X43+X45+X47+X49</f>
        <v>0</v>
      </c>
      <c r="Y82" s="92">
        <f>SUM(Y72:Y81)+Y16+Y24+Y29+Y36+Y43+Y45+Y47+Y49+Y51+Y56+Y61+Y66</f>
        <v>-87222.710000001112</v>
      </c>
      <c r="Z82" s="91">
        <f>Z16+Z24+Z29+Z36+Z43+Z45+Z47+Z49</f>
        <v>0</v>
      </c>
      <c r="AA82" s="92">
        <f>SUM(AA72:AA81)+AA16+AA24+AA29+AA36+AA43+AA45+AA47+AA49+AA51+AA56+AA61+AA66</f>
        <v>11745322.039999999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5897443.2199999932</v>
      </c>
      <c r="G84" s="14">
        <f>+'EAST-LRC-GL'!G82+'EAST-EGM-GL'!G82</f>
        <v>-10190663.160000002</v>
      </c>
      <c r="I84" s="14">
        <f>+'EAST-LRC-GL'!I82+'EAST-EGM-GL'!I82</f>
        <v>2274912.8009999869</v>
      </c>
      <c r="K84" s="14">
        <f>+'EAST-LRC-GL'!K82+'EAST-EGM-GL'!K82</f>
        <v>3965211.8309999998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6"/>
      <c r="C86" s="10" t="s">
        <v>166</v>
      </c>
      <c r="D86" s="147">
        <f t="shared" ref="D86:E88" si="26">SUM(F86,H86,J86,L86,N86,P86,R86,T86,V86,X86,Z86,AB86,AD86)</f>
        <v>0</v>
      </c>
      <c r="E86" s="147">
        <f t="shared" si="26"/>
        <v>-676202</v>
      </c>
      <c r="F86" s="147">
        <f>'EAST-EGM-GL'!F86+'EAST-LRC-GL'!F86</f>
        <v>0</v>
      </c>
      <c r="G86" s="147">
        <f>'EAST-EGM-GL'!G86+'EAST-LRC-GL'!G86</f>
        <v>-239538</v>
      </c>
      <c r="H86" s="147">
        <f>'EAST-EGM-GL'!H86+'EAST-LRC-GL'!H86</f>
        <v>0</v>
      </c>
      <c r="I86" s="147">
        <f>'EAST-EGM-GL'!I86+'EAST-LRC-GL'!I86</f>
        <v>0</v>
      </c>
      <c r="J86" s="147">
        <f>'EAST-EGM-GL'!J86+'EAST-LRC-GL'!J86</f>
        <v>0</v>
      </c>
      <c r="K86" s="147">
        <f>'EAST-EGM-GL'!K86+'EAST-LRC-GL'!K86</f>
        <v>0</v>
      </c>
      <c r="L86" s="147">
        <f>'EAST-EGM-GL'!L86+'EAST-LRC-GL'!L86</f>
        <v>0</v>
      </c>
      <c r="M86" s="147">
        <f>'EAST-EGM-GL'!M86+'EAST-LRC-GL'!M86</f>
        <v>0</v>
      </c>
      <c r="N86" s="147">
        <f>'EAST-EGM-GL'!N86+'EAST-LRC-GL'!N86</f>
        <v>0</v>
      </c>
      <c r="O86" s="147">
        <f>'EAST-EGM-GL'!O86+'EAST-LRC-GL'!O86</f>
        <v>0</v>
      </c>
      <c r="P86" s="147">
        <f>'EAST-EGM-GL'!P86+'EAST-LRC-GL'!P86</f>
        <v>0</v>
      </c>
      <c r="Q86" s="147">
        <f>'EAST-EGM-GL'!Q86+'EAST-LRC-GL'!Q86</f>
        <v>-436664</v>
      </c>
      <c r="R86" s="147">
        <f>'EAST-EGM-GL'!R86+'EAST-LRC-GL'!R86</f>
        <v>0</v>
      </c>
      <c r="S86" s="147">
        <f>'EAST-EGM-GL'!S86+'EAST-LRC-GL'!S86</f>
        <v>0</v>
      </c>
      <c r="T86" s="147">
        <f>'EAST-EGM-GL'!T86+'EAST-LRC-GL'!T86</f>
        <v>0</v>
      </c>
      <c r="U86" s="147">
        <f>'EAST-EGM-GL'!U86+'EAST-LRC-GL'!U86</f>
        <v>0</v>
      </c>
      <c r="V86" s="147">
        <f>'EAST-EGM-GL'!V86+'EAST-LRC-GL'!V86</f>
        <v>0</v>
      </c>
      <c r="W86" s="147">
        <f>'EAST-EGM-GL'!W86+'EAST-LRC-GL'!W86</f>
        <v>0</v>
      </c>
      <c r="X86" s="147">
        <f>'EAST-EGM-GL'!X86+'EAST-LRC-GL'!X86</f>
        <v>0</v>
      </c>
      <c r="Y86" s="147">
        <f>'EAST-EGM-GL'!Y86+'EAST-LRC-GL'!Y86</f>
        <v>0</v>
      </c>
      <c r="Z86" s="147">
        <f>'EAST-EGM-GL'!Z86+'EAST-LRC-GL'!Z86</f>
        <v>0</v>
      </c>
      <c r="AA86" s="147">
        <f>'EAST-EGM-GL'!AA86+'EAST-LRC-GL'!AA86</f>
        <v>0</v>
      </c>
      <c r="AB86" s="147">
        <f>'EAST-EGM-GL'!AB86+'EAST-LRC-GL'!AB86</f>
        <v>0</v>
      </c>
      <c r="AC86" s="147">
        <f>'EAST-EGM-GL'!AC86+'EAST-LRC-GL'!AC86</f>
        <v>0</v>
      </c>
      <c r="AD86" s="147">
        <f>'EAST-EGM-GL'!AD86+'EAST-LRC-GL'!AD86</f>
        <v>0</v>
      </c>
      <c r="AE86" s="147">
        <f>'EAST-EGM-GL'!AE86+'EAST-LRC-GL'!AE86</f>
        <v>0</v>
      </c>
      <c r="AF86" s="147">
        <f>'EAST-EGM-GL'!AP86+'EAST-LRC-GL'!AP86</f>
        <v>0</v>
      </c>
      <c r="AG86" s="147">
        <f>'EAST-EGM-GL'!AQ86+'EAST-LRC-GL'!AQ86</f>
        <v>0</v>
      </c>
      <c r="AH86" s="147">
        <f>'EAST-EGM-GL'!AR86+'EAST-LRC-GL'!AR86</f>
        <v>0</v>
      </c>
      <c r="AI86" s="147">
        <f>'EAST-EGM-GL'!AS86+'EAST-LRC-GL'!AS86</f>
        <v>0</v>
      </c>
      <c r="AJ86" s="147">
        <f>'EAST-EGM-GL'!AT86+'EAST-LRC-GL'!AT86</f>
        <v>0</v>
      </c>
      <c r="AK86" s="147">
        <f>'EAST-EGM-GL'!AU86+'EAST-LRC-GL'!AU86</f>
        <v>0</v>
      </c>
      <c r="AL86" s="147">
        <f>'EAST-EGM-GL'!AV86+'EAST-LRC-GL'!AV86</f>
        <v>0</v>
      </c>
      <c r="AM86" s="147">
        <f>'EAST-EGM-GL'!AW86+'EAST-LRC-GL'!AW86</f>
        <v>0</v>
      </c>
      <c r="AN86" s="147">
        <f>'EAST-EGM-GL'!AX86+'EAST-LRC-GL'!AX86</f>
        <v>0</v>
      </c>
      <c r="AO86" s="147">
        <f>'EAST-EGM-GL'!AY86+'EAST-LRC-GL'!AY86</f>
        <v>0</v>
      </c>
    </row>
    <row r="87" spans="1:77" s="3" customFormat="1" x14ac:dyDescent="0.25">
      <c r="A87" s="146"/>
      <c r="C87" s="10" t="s">
        <v>71</v>
      </c>
      <c r="D87" s="148">
        <f t="shared" si="26"/>
        <v>0</v>
      </c>
      <c r="E87" s="148">
        <f t="shared" si="26"/>
        <v>437202</v>
      </c>
      <c r="F87" s="148">
        <f>'EAST-EGM-GL'!F87+'EAST-LRC-GL'!F87</f>
        <v>0</v>
      </c>
      <c r="G87" s="148">
        <f>'EAST-EGM-GL'!G87+'EAST-LRC-GL'!G87</f>
        <v>437202</v>
      </c>
      <c r="H87" s="148">
        <f>'EAST-EGM-GL'!H87+'EAST-LRC-GL'!H87</f>
        <v>0</v>
      </c>
      <c r="I87" s="148">
        <f>'EAST-EGM-GL'!I87+'EAST-LRC-GL'!I87</f>
        <v>0</v>
      </c>
      <c r="J87" s="148">
        <f>'EAST-EGM-GL'!J87+'EAST-LRC-GL'!J87</f>
        <v>0</v>
      </c>
      <c r="K87" s="148">
        <f>'EAST-EGM-GL'!K87+'EAST-LRC-GL'!K87</f>
        <v>0</v>
      </c>
      <c r="L87" s="148">
        <f>'EAST-EGM-GL'!L87+'EAST-LRC-GL'!L87</f>
        <v>0</v>
      </c>
      <c r="M87" s="148">
        <f>'EAST-EGM-GL'!M87+'EAST-LRC-GL'!M87</f>
        <v>0</v>
      </c>
      <c r="N87" s="148">
        <f>'EAST-EGM-GL'!N87+'EAST-LRC-GL'!N87</f>
        <v>0</v>
      </c>
      <c r="O87" s="148">
        <f>'EAST-EGM-GL'!O87+'EAST-LRC-GL'!O87</f>
        <v>0</v>
      </c>
      <c r="P87" s="148">
        <f>'EAST-EGM-GL'!P87+'EAST-LRC-GL'!P87</f>
        <v>0</v>
      </c>
      <c r="Q87" s="148">
        <f>'EAST-EGM-GL'!Q87+'EAST-LRC-GL'!Q87</f>
        <v>0</v>
      </c>
      <c r="R87" s="148">
        <f>'EAST-EGM-GL'!R87+'EAST-LRC-GL'!R87</f>
        <v>0</v>
      </c>
      <c r="S87" s="148">
        <f>'EAST-EGM-GL'!S87+'EAST-LRC-GL'!S87</f>
        <v>0</v>
      </c>
      <c r="T87" s="148">
        <f>'EAST-EGM-GL'!T87+'EAST-LRC-GL'!T87</f>
        <v>0</v>
      </c>
      <c r="U87" s="148">
        <f>'EAST-EGM-GL'!U87+'EAST-LRC-GL'!U87</f>
        <v>0</v>
      </c>
      <c r="V87" s="148">
        <f>'EAST-EGM-GL'!V87+'EAST-LRC-GL'!V87</f>
        <v>0</v>
      </c>
      <c r="W87" s="148">
        <f>'EAST-EGM-GL'!W87+'EAST-LRC-GL'!W87</f>
        <v>0</v>
      </c>
      <c r="X87" s="148">
        <f>'EAST-EGM-GL'!X87+'EAST-LRC-GL'!X87</f>
        <v>0</v>
      </c>
      <c r="Y87" s="148">
        <f>'EAST-EGM-GL'!Y87+'EAST-LRC-GL'!Y87</f>
        <v>0</v>
      </c>
      <c r="Z87" s="148">
        <f>'EAST-EGM-GL'!Z87+'EAST-LRC-GL'!Z87</f>
        <v>0</v>
      </c>
      <c r="AA87" s="148">
        <f>'EAST-EGM-GL'!AA87+'EAST-LRC-GL'!AA87</f>
        <v>0</v>
      </c>
      <c r="AB87" s="148">
        <f>'EAST-EGM-GL'!AB87+'EAST-LRC-GL'!AB87</f>
        <v>0</v>
      </c>
      <c r="AC87" s="148">
        <f>'EAST-EGM-GL'!AC87+'EAST-LRC-GL'!AC87</f>
        <v>0</v>
      </c>
      <c r="AD87" s="148">
        <f>'EAST-EGM-GL'!AD87+'EAST-LRC-GL'!AD87</f>
        <v>0</v>
      </c>
      <c r="AE87" s="148">
        <f>'EAST-EGM-GL'!AE87+'EAST-LRC-GL'!AE87</f>
        <v>0</v>
      </c>
      <c r="AF87" s="148">
        <f>'EAST-EGM-GL'!AP87+'EAST-LRC-GL'!AP87</f>
        <v>0</v>
      </c>
      <c r="AG87" s="148">
        <f>'EAST-EGM-GL'!AQ87+'EAST-LRC-GL'!AQ87</f>
        <v>0</v>
      </c>
      <c r="AH87" s="148">
        <f>'EAST-EGM-GL'!AR87+'EAST-LRC-GL'!AR87</f>
        <v>0</v>
      </c>
      <c r="AI87" s="148">
        <f>'EAST-EGM-GL'!AS87+'EAST-LRC-GL'!AS87</f>
        <v>0</v>
      </c>
      <c r="AJ87" s="148">
        <f>'EAST-EGM-GL'!AT87+'EAST-LRC-GL'!AT87</f>
        <v>0</v>
      </c>
      <c r="AK87" s="148">
        <f>'EAST-EGM-GL'!AU87+'EAST-LRC-GL'!AU87</f>
        <v>0</v>
      </c>
      <c r="AL87" s="148">
        <f>'EAST-EGM-GL'!AV87+'EAST-LRC-GL'!AV87</f>
        <v>0</v>
      </c>
      <c r="AM87" s="148">
        <f>'EAST-EGM-GL'!AW87+'EAST-LRC-GL'!AW87</f>
        <v>0</v>
      </c>
      <c r="AN87" s="148">
        <f>'EAST-EGM-GL'!AX87+'EAST-LRC-GL'!AX87</f>
        <v>0</v>
      </c>
      <c r="AO87" s="148">
        <f>'EAST-EGM-GL'!AY87+'EAST-LRC-GL'!AY87</f>
        <v>0</v>
      </c>
    </row>
    <row r="88" spans="1:77" s="3" customFormat="1" x14ac:dyDescent="0.25">
      <c r="A88" s="146"/>
      <c r="C88" s="10" t="s">
        <v>72</v>
      </c>
      <c r="D88" s="149">
        <f t="shared" si="26"/>
        <v>0</v>
      </c>
      <c r="E88" s="149">
        <f t="shared" si="26"/>
        <v>0</v>
      </c>
      <c r="F88" s="149">
        <f>'EAST-EGM-GL'!F88+'EAST-LRC-GL'!F88</f>
        <v>0</v>
      </c>
      <c r="G88" s="149">
        <f>'EAST-EGM-GL'!G88+'EAST-LRC-GL'!G88</f>
        <v>0</v>
      </c>
      <c r="H88" s="149">
        <f>'EAST-EGM-GL'!H88+'EAST-LRC-GL'!H88</f>
        <v>0</v>
      </c>
      <c r="I88" s="149">
        <f>'EAST-EGM-GL'!I88+'EAST-LRC-GL'!I88</f>
        <v>0</v>
      </c>
      <c r="J88" s="149">
        <f>'EAST-EGM-GL'!J88+'EAST-LRC-GL'!J88</f>
        <v>0</v>
      </c>
      <c r="K88" s="149">
        <f>'EAST-EGM-GL'!K88+'EAST-LRC-GL'!K88</f>
        <v>0</v>
      </c>
      <c r="L88" s="149">
        <f>'EAST-EGM-GL'!L88+'EAST-LRC-GL'!L88</f>
        <v>0</v>
      </c>
      <c r="M88" s="149">
        <f>'EAST-EGM-GL'!M88+'EAST-LRC-GL'!M88</f>
        <v>0</v>
      </c>
      <c r="N88" s="149">
        <f>'EAST-EGM-GL'!N88+'EAST-LRC-GL'!N88</f>
        <v>0</v>
      </c>
      <c r="O88" s="149">
        <f>'EAST-EGM-GL'!O88+'EAST-LRC-GL'!O88</f>
        <v>0</v>
      </c>
      <c r="P88" s="149">
        <f>'EAST-EGM-GL'!P88+'EAST-LRC-GL'!P88</f>
        <v>0</v>
      </c>
      <c r="Q88" s="149">
        <f>'EAST-EGM-GL'!Q88+'EAST-LRC-GL'!Q88</f>
        <v>0</v>
      </c>
      <c r="R88" s="149">
        <f>'EAST-EGM-GL'!R88+'EAST-LRC-GL'!R88</f>
        <v>0</v>
      </c>
      <c r="S88" s="149">
        <f>'EAST-EGM-GL'!S88+'EAST-LRC-GL'!S88</f>
        <v>0</v>
      </c>
      <c r="T88" s="149">
        <f>'EAST-EGM-GL'!T88+'EAST-LRC-GL'!T88</f>
        <v>0</v>
      </c>
      <c r="U88" s="149">
        <f>'EAST-EGM-GL'!U88+'EAST-LRC-GL'!U88</f>
        <v>0</v>
      </c>
      <c r="V88" s="149">
        <f>'EAST-EGM-GL'!V88+'EAST-LRC-GL'!V88</f>
        <v>0</v>
      </c>
      <c r="W88" s="149">
        <f>'EAST-EGM-GL'!W88+'EAST-LRC-GL'!W88</f>
        <v>0</v>
      </c>
      <c r="X88" s="149">
        <f>'EAST-EGM-GL'!X88+'EAST-LRC-GL'!X88</f>
        <v>0</v>
      </c>
      <c r="Y88" s="149">
        <f>'EAST-EGM-GL'!Y88+'EAST-LRC-GL'!Y88</f>
        <v>0</v>
      </c>
      <c r="Z88" s="149">
        <f>'EAST-EGM-GL'!Z88+'EAST-LRC-GL'!Z88</f>
        <v>0</v>
      </c>
      <c r="AA88" s="149">
        <f>'EAST-EGM-GL'!AA88+'EAST-LRC-GL'!AA88</f>
        <v>0</v>
      </c>
      <c r="AB88" s="149">
        <f>'EAST-EGM-GL'!AB88+'EAST-LRC-GL'!AB88</f>
        <v>0</v>
      </c>
      <c r="AC88" s="149">
        <f>'EAST-EGM-GL'!AC88+'EAST-LRC-GL'!AC88</f>
        <v>0</v>
      </c>
      <c r="AD88" s="149">
        <f>'EAST-EGM-GL'!AD88+'EAST-LRC-GL'!AD88</f>
        <v>0</v>
      </c>
      <c r="AE88" s="149">
        <f>'EAST-EGM-GL'!AE88+'EAST-LRC-GL'!AE88</f>
        <v>0</v>
      </c>
      <c r="AF88" s="149">
        <f>'EAST-EGM-GL'!AP88+'EAST-LRC-GL'!AP88</f>
        <v>0</v>
      </c>
      <c r="AG88" s="149">
        <f>'EAST-EGM-GL'!AQ88+'EAST-LRC-GL'!AQ88</f>
        <v>0</v>
      </c>
      <c r="AH88" s="149">
        <f>'EAST-EGM-GL'!AR88+'EAST-LRC-GL'!AR88</f>
        <v>0</v>
      </c>
      <c r="AI88" s="149">
        <f>'EAST-EGM-GL'!AS88+'EAST-LRC-GL'!AS88</f>
        <v>0</v>
      </c>
      <c r="AJ88" s="149">
        <f>'EAST-EGM-GL'!AT88+'EAST-LRC-GL'!AT88</f>
        <v>0</v>
      </c>
      <c r="AK88" s="149">
        <f>'EAST-EGM-GL'!AU88+'EAST-LRC-GL'!AU88</f>
        <v>0</v>
      </c>
      <c r="AL88" s="149">
        <f>'EAST-EGM-GL'!AV88+'EAST-LRC-GL'!AV88</f>
        <v>0</v>
      </c>
      <c r="AM88" s="149">
        <f>'EAST-EGM-GL'!AW88+'EAST-LRC-GL'!AW88</f>
        <v>0</v>
      </c>
      <c r="AN88" s="149">
        <f>'EAST-EGM-GL'!AX88+'EAST-LRC-GL'!AX88</f>
        <v>0</v>
      </c>
      <c r="AO88" s="149">
        <f>'EAST-EGM-GL'!AY88+'EAST-LRC-GL'!AY88</f>
        <v>0</v>
      </c>
    </row>
    <row r="89" spans="1:77" s="44" customFormat="1" ht="20.25" customHeight="1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M89" si="27">SUM(E86:E88)</f>
        <v>-239000</v>
      </c>
      <c r="F89" s="157">
        <f t="shared" si="27"/>
        <v>0</v>
      </c>
      <c r="G89" s="157">
        <f t="shared" si="27"/>
        <v>197664</v>
      </c>
      <c r="H89" s="157">
        <f t="shared" si="27"/>
        <v>0</v>
      </c>
      <c r="I89" s="157">
        <f t="shared" si="27"/>
        <v>0</v>
      </c>
      <c r="J89" s="157">
        <f t="shared" si="27"/>
        <v>0</v>
      </c>
      <c r="K89" s="157">
        <f t="shared" si="27"/>
        <v>0</v>
      </c>
      <c r="L89" s="157">
        <f t="shared" si="27"/>
        <v>0</v>
      </c>
      <c r="M89" s="157">
        <f t="shared" si="27"/>
        <v>0</v>
      </c>
      <c r="N89" s="157">
        <f t="shared" ref="N89:AE89" si="28">SUM(N86:N88)</f>
        <v>0</v>
      </c>
      <c r="O89" s="157">
        <f t="shared" si="28"/>
        <v>0</v>
      </c>
      <c r="P89" s="157">
        <f t="shared" si="28"/>
        <v>0</v>
      </c>
      <c r="Q89" s="157">
        <f t="shared" si="28"/>
        <v>-436664</v>
      </c>
      <c r="R89" s="157">
        <f t="shared" si="28"/>
        <v>0</v>
      </c>
      <c r="S89" s="157">
        <f t="shared" si="28"/>
        <v>0</v>
      </c>
      <c r="T89" s="157">
        <f t="shared" si="28"/>
        <v>0</v>
      </c>
      <c r="U89" s="157">
        <f t="shared" si="28"/>
        <v>0</v>
      </c>
      <c r="V89" s="157">
        <f t="shared" si="28"/>
        <v>0</v>
      </c>
      <c r="W89" s="157">
        <f t="shared" si="28"/>
        <v>0</v>
      </c>
      <c r="X89" s="157">
        <f t="shared" si="28"/>
        <v>0</v>
      </c>
      <c r="Y89" s="157">
        <f t="shared" si="28"/>
        <v>0</v>
      </c>
      <c r="Z89" s="157">
        <f t="shared" si="28"/>
        <v>0</v>
      </c>
      <c r="AA89" s="157">
        <f t="shared" si="28"/>
        <v>0</v>
      </c>
      <c r="AB89" s="157">
        <f t="shared" si="28"/>
        <v>0</v>
      </c>
      <c r="AC89" s="157">
        <f t="shared" si="28"/>
        <v>0</v>
      </c>
      <c r="AD89" s="157">
        <f t="shared" si="28"/>
        <v>0</v>
      </c>
      <c r="AE89" s="157">
        <f t="shared" si="28"/>
        <v>0</v>
      </c>
      <c r="AF89" s="157">
        <f t="shared" ref="AF89:AO89" si="29">SUM(AF86:AF88)</f>
        <v>0</v>
      </c>
      <c r="AG89" s="157">
        <f t="shared" si="29"/>
        <v>0</v>
      </c>
      <c r="AH89" s="157">
        <f t="shared" si="29"/>
        <v>0</v>
      </c>
      <c r="AI89" s="157">
        <f t="shared" si="29"/>
        <v>0</v>
      </c>
      <c r="AJ89" s="157">
        <f t="shared" si="29"/>
        <v>0</v>
      </c>
      <c r="AK89" s="157">
        <f t="shared" si="29"/>
        <v>0</v>
      </c>
      <c r="AL89" s="157">
        <f t="shared" si="29"/>
        <v>0</v>
      </c>
      <c r="AM89" s="157">
        <f t="shared" si="29"/>
        <v>0</v>
      </c>
      <c r="AN89" s="157">
        <f t="shared" si="29"/>
        <v>0</v>
      </c>
      <c r="AO89" s="157">
        <f t="shared" si="29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9" customFormat="1" ht="20.25" customHeight="1" x14ac:dyDescent="0.25">
      <c r="A91" s="160"/>
      <c r="B91" s="161"/>
      <c r="C91" s="159" t="s">
        <v>172</v>
      </c>
      <c r="D91" s="162">
        <f>+D82+D89</f>
        <v>0</v>
      </c>
      <c r="E91" s="162">
        <f t="shared" ref="E91:M91" si="30">+E82+E89</f>
        <v>5658443.220000064</v>
      </c>
      <c r="F91" s="162">
        <f t="shared" si="30"/>
        <v>0</v>
      </c>
      <c r="G91" s="162">
        <f t="shared" si="30"/>
        <v>-9992999.160000002</v>
      </c>
      <c r="H91" s="162">
        <f t="shared" si="30"/>
        <v>0</v>
      </c>
      <c r="I91" s="162">
        <f t="shared" si="30"/>
        <v>2274912.8010000368</v>
      </c>
      <c r="J91" s="162">
        <f t="shared" si="30"/>
        <v>0</v>
      </c>
      <c r="K91" s="162">
        <f t="shared" si="30"/>
        <v>3965211.8309999951</v>
      </c>
      <c r="L91" s="162">
        <f t="shared" si="30"/>
        <v>0</v>
      </c>
      <c r="M91" s="162">
        <f t="shared" si="30"/>
        <v>-550673.32699999982</v>
      </c>
      <c r="N91" s="162">
        <f t="shared" ref="N91:AE91" si="31">+N82+N89</f>
        <v>0</v>
      </c>
      <c r="O91" s="162">
        <f t="shared" si="31"/>
        <v>77960.457000000257</v>
      </c>
      <c r="P91" s="162">
        <f t="shared" si="31"/>
        <v>0</v>
      </c>
      <c r="Q91" s="162">
        <f t="shared" si="31"/>
        <v>113918.74499999988</v>
      </c>
      <c r="R91" s="162">
        <f t="shared" si="31"/>
        <v>0</v>
      </c>
      <c r="S91" s="162">
        <f t="shared" si="31"/>
        <v>-179463.24300000002</v>
      </c>
      <c r="T91" s="162">
        <f t="shared" si="31"/>
        <v>0</v>
      </c>
      <c r="U91" s="162">
        <f t="shared" si="31"/>
        <v>1324940.4999999935</v>
      </c>
      <c r="V91" s="162">
        <f t="shared" si="31"/>
        <v>0</v>
      </c>
      <c r="W91" s="162">
        <f t="shared" si="31"/>
        <v>-3033464.7139999997</v>
      </c>
      <c r="X91" s="162">
        <f t="shared" si="31"/>
        <v>0</v>
      </c>
      <c r="Y91" s="162">
        <f t="shared" si="31"/>
        <v>-87222.710000001112</v>
      </c>
      <c r="Z91" s="162">
        <f t="shared" si="31"/>
        <v>0</v>
      </c>
      <c r="AA91" s="162">
        <f t="shared" si="31"/>
        <v>11745322.039999999</v>
      </c>
      <c r="AB91" s="162">
        <f t="shared" si="31"/>
        <v>0</v>
      </c>
      <c r="AC91" s="162">
        <f t="shared" si="31"/>
        <v>0</v>
      </c>
      <c r="AD91" s="162">
        <f t="shared" si="31"/>
        <v>0</v>
      </c>
      <c r="AE91" s="162">
        <f t="shared" si="31"/>
        <v>0</v>
      </c>
      <c r="AF91" s="162">
        <f t="shared" ref="AF91:AO91" si="32">+AF82+AF89</f>
        <v>0</v>
      </c>
      <c r="AG91" s="162">
        <f t="shared" si="32"/>
        <v>0</v>
      </c>
      <c r="AH91" s="162">
        <f t="shared" si="32"/>
        <v>0</v>
      </c>
      <c r="AI91" s="162">
        <f t="shared" si="32"/>
        <v>0</v>
      </c>
      <c r="AJ91" s="162">
        <f t="shared" si="32"/>
        <v>0</v>
      </c>
      <c r="AK91" s="162">
        <f t="shared" si="32"/>
        <v>0</v>
      </c>
      <c r="AL91" s="162">
        <f t="shared" si="32"/>
        <v>0</v>
      </c>
      <c r="AM91" s="162">
        <f t="shared" si="32"/>
        <v>0</v>
      </c>
      <c r="AN91" s="162">
        <f t="shared" si="32"/>
        <v>0</v>
      </c>
      <c r="AO91" s="162">
        <f t="shared" si="32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V179"/>
  <sheetViews>
    <sheetView zoomScale="75" workbookViewId="0">
      <pane xSplit="3" ySplit="9" topLeftCell="D10" activePane="bottomRight" state="frozen"/>
      <selection activeCell="Z9" sqref="Z9"/>
      <selection pane="topRight" activeCell="Z9" sqref="Z9"/>
      <selection pane="bottomLeft" activeCell="Z9" sqref="Z9"/>
      <selection pane="bottomRight" activeCell="Z9" sqref="Z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ref="N16:S16" si="3">SUM(N11:N15)</f>
        <v>0</v>
      </c>
      <c r="O16" s="61">
        <f t="shared" si="3"/>
        <v>0</v>
      </c>
      <c r="P16" s="61">
        <f t="shared" si="3"/>
        <v>0</v>
      </c>
      <c r="Q16" s="61">
        <f t="shared" si="3"/>
        <v>0</v>
      </c>
      <c r="R16" s="61">
        <f t="shared" si="3"/>
        <v>0</v>
      </c>
      <c r="S16" s="61">
        <f t="shared" si="3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0</v>
      </c>
      <c r="E19" s="38">
        <f t="shared" si="4"/>
        <v>0</v>
      </c>
      <c r="F19" s="64">
        <f>'TIE-OUT'!N19+RECLASS!L19</f>
        <v>0</v>
      </c>
      <c r="G19" s="68">
        <f>'TIE-OUT'!O19+RECLASS!M19</f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0</v>
      </c>
      <c r="F20" s="60">
        <f>'TIE-OUT'!N20+RECLASS!L20</f>
        <v>0</v>
      </c>
      <c r="G20" s="38">
        <f>'TIE-OUT'!O20+RECLASS!M20</f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0</v>
      </c>
      <c r="E21" s="38">
        <f t="shared" si="4"/>
        <v>0</v>
      </c>
      <c r="F21" s="60">
        <f>'TIE-OUT'!N21+RECLASS!L21</f>
        <v>0</v>
      </c>
      <c r="G21" s="38">
        <f>'TIE-OUT'!O21+RECLASS!M21</f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'TIE-OUT'!N22+RECLASS!L22</f>
        <v>0</v>
      </c>
      <c r="G22" s="38">
        <f>'TIE-OUT'!O22+RECLASS!M22</f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  <c r="AK22" s="120">
        <v>0</v>
      </c>
      <c r="AL22" s="120">
        <v>0</v>
      </c>
      <c r="AM22" s="120">
        <v>0</v>
      </c>
      <c r="AN22" s="120">
        <v>0</v>
      </c>
      <c r="AO22" s="120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0</v>
      </c>
      <c r="E23" s="38">
        <f t="shared" si="4"/>
        <v>0</v>
      </c>
      <c r="F23" s="81">
        <f>'TIE-OUT'!N23+RECLASS!L23</f>
        <v>0</v>
      </c>
      <c r="G23" s="82">
        <f>'TIE-OUT'!O23+RECLASS!M23</f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61">
        <f t="shared" si="5"/>
        <v>0</v>
      </c>
      <c r="J24" s="61">
        <f t="shared" ref="J24:AO24" si="6">SUM(J19:J23)</f>
        <v>0</v>
      </c>
      <c r="K24" s="61">
        <f t="shared" si="6"/>
        <v>0</v>
      </c>
      <c r="L24" s="61">
        <f t="shared" si="6"/>
        <v>0</v>
      </c>
      <c r="M24" s="61">
        <f t="shared" si="6"/>
        <v>0</v>
      </c>
      <c r="N24" s="61">
        <f t="shared" ref="N24:S24" si="7">SUM(N19:N23)</f>
        <v>0</v>
      </c>
      <c r="O24" s="61">
        <f t="shared" si="7"/>
        <v>0</v>
      </c>
      <c r="P24" s="61">
        <f t="shared" si="7"/>
        <v>0</v>
      </c>
      <c r="Q24" s="61">
        <f t="shared" si="7"/>
        <v>0</v>
      </c>
      <c r="R24" s="61">
        <f t="shared" si="7"/>
        <v>0</v>
      </c>
      <c r="S24" s="61">
        <f t="shared" si="7"/>
        <v>0</v>
      </c>
      <c r="T24" s="61">
        <f t="shared" si="6"/>
        <v>0</v>
      </c>
      <c r="U24" s="61">
        <f t="shared" si="6"/>
        <v>0</v>
      </c>
      <c r="V24" s="61">
        <f t="shared" si="6"/>
        <v>0</v>
      </c>
      <c r="W24" s="61">
        <f t="shared" si="6"/>
        <v>0</v>
      </c>
      <c r="X24" s="61">
        <f t="shared" si="6"/>
        <v>0</v>
      </c>
      <c r="Y24" s="61">
        <f t="shared" si="6"/>
        <v>0</v>
      </c>
      <c r="Z24" s="61">
        <f t="shared" si="6"/>
        <v>0</v>
      </c>
      <c r="AA24" s="61">
        <f t="shared" si="6"/>
        <v>0</v>
      </c>
      <c r="AB24" s="61">
        <f t="shared" si="6"/>
        <v>0</v>
      </c>
      <c r="AC24" s="61">
        <f t="shared" si="6"/>
        <v>0</v>
      </c>
      <c r="AD24" s="61">
        <f t="shared" si="6"/>
        <v>0</v>
      </c>
      <c r="AE24" s="61">
        <f t="shared" si="6"/>
        <v>0</v>
      </c>
      <c r="AF24" s="61">
        <f t="shared" si="6"/>
        <v>0</v>
      </c>
      <c r="AG24" s="61">
        <f t="shared" si="6"/>
        <v>0</v>
      </c>
      <c r="AH24" s="61">
        <f t="shared" si="6"/>
        <v>0</v>
      </c>
      <c r="AI24" s="61">
        <f t="shared" si="6"/>
        <v>0</v>
      </c>
      <c r="AJ24" s="61">
        <f t="shared" si="6"/>
        <v>0</v>
      </c>
      <c r="AK24" s="61">
        <f t="shared" si="6"/>
        <v>0</v>
      </c>
      <c r="AL24" s="61">
        <f t="shared" si="6"/>
        <v>0</v>
      </c>
      <c r="AM24" s="61">
        <f t="shared" si="6"/>
        <v>0</v>
      </c>
      <c r="AN24" s="61">
        <f t="shared" si="6"/>
        <v>0</v>
      </c>
      <c r="AO24" s="61">
        <f t="shared" si="6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</row>
    <row r="29" spans="1:41" x14ac:dyDescent="0.25">
      <c r="A29" s="9"/>
      <c r="B29" s="7" t="s">
        <v>37</v>
      </c>
      <c r="C29" s="18"/>
      <c r="D29" s="61">
        <f t="shared" ref="D29:I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61">
        <f t="shared" si="8"/>
        <v>0</v>
      </c>
      <c r="J29" s="61">
        <f t="shared" ref="J29:AO29" si="9">SUM(J27:J28)</f>
        <v>0</v>
      </c>
      <c r="K29" s="61">
        <f t="shared" si="9"/>
        <v>0</v>
      </c>
      <c r="L29" s="61">
        <f t="shared" si="9"/>
        <v>0</v>
      </c>
      <c r="M29" s="61">
        <f t="shared" si="9"/>
        <v>0</v>
      </c>
      <c r="N29" s="61">
        <f t="shared" ref="N29:S29" si="10">SUM(N27:N28)</f>
        <v>0</v>
      </c>
      <c r="O29" s="61">
        <f t="shared" si="10"/>
        <v>0</v>
      </c>
      <c r="P29" s="61">
        <f t="shared" si="10"/>
        <v>0</v>
      </c>
      <c r="Q29" s="61">
        <f t="shared" si="10"/>
        <v>0</v>
      </c>
      <c r="R29" s="61">
        <f t="shared" si="10"/>
        <v>0</v>
      </c>
      <c r="S29" s="61">
        <f t="shared" si="10"/>
        <v>0</v>
      </c>
      <c r="T29" s="61">
        <f t="shared" si="9"/>
        <v>0</v>
      </c>
      <c r="U29" s="61">
        <f t="shared" si="9"/>
        <v>0</v>
      </c>
      <c r="V29" s="61">
        <f t="shared" si="9"/>
        <v>0</v>
      </c>
      <c r="W29" s="61">
        <f t="shared" si="9"/>
        <v>0</v>
      </c>
      <c r="X29" s="61">
        <f t="shared" si="9"/>
        <v>0</v>
      </c>
      <c r="Y29" s="61">
        <f t="shared" si="9"/>
        <v>0</v>
      </c>
      <c r="Z29" s="61">
        <f t="shared" si="9"/>
        <v>0</v>
      </c>
      <c r="AA29" s="61">
        <f t="shared" si="9"/>
        <v>0</v>
      </c>
      <c r="AB29" s="61">
        <f t="shared" si="9"/>
        <v>0</v>
      </c>
      <c r="AC29" s="61">
        <f t="shared" si="9"/>
        <v>0</v>
      </c>
      <c r="AD29" s="61">
        <f t="shared" si="9"/>
        <v>0</v>
      </c>
      <c r="AE29" s="61">
        <f t="shared" si="9"/>
        <v>0</v>
      </c>
      <c r="AF29" s="61">
        <f t="shared" si="9"/>
        <v>0</v>
      </c>
      <c r="AG29" s="61">
        <f t="shared" si="9"/>
        <v>0</v>
      </c>
      <c r="AH29" s="61">
        <f t="shared" si="9"/>
        <v>0</v>
      </c>
      <c r="AI29" s="61">
        <f t="shared" si="9"/>
        <v>0</v>
      </c>
      <c r="AJ29" s="61">
        <f t="shared" si="9"/>
        <v>0</v>
      </c>
      <c r="AK29" s="61">
        <f t="shared" si="9"/>
        <v>0</v>
      </c>
      <c r="AL29" s="61">
        <f t="shared" si="9"/>
        <v>0</v>
      </c>
      <c r="AM29" s="61">
        <f t="shared" si="9"/>
        <v>0</v>
      </c>
      <c r="AN29" s="61">
        <f t="shared" si="9"/>
        <v>0</v>
      </c>
      <c r="AO29" s="61">
        <f t="shared" si="9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0</v>
      </c>
      <c r="E32" s="38">
        <f t="shared" si="11"/>
        <v>0</v>
      </c>
      <c r="F32" s="64">
        <f>'TIE-OUT'!N32+RECLASS!L32</f>
        <v>0</v>
      </c>
      <c r="G32" s="68">
        <f>'TIE-OUT'!O32+RECLASS!M32</f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60">
        <f>'TIE-OUT'!N33+RECLASS!L33</f>
        <v>0</v>
      </c>
      <c r="G33" s="38">
        <f>'TIE-OUT'!O33+RECLASS!M33</f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60">
        <f>'TIE-OUT'!N34+RECLASS!L34</f>
        <v>0</v>
      </c>
      <c r="G34" s="38">
        <f>'TIE-OUT'!O34+RECLASS!M34</f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81">
        <f>'TIE-OUT'!N35+RECLASS!L35</f>
        <v>0</v>
      </c>
      <c r="G35" s="82">
        <f>'TIE-OUT'!O35+RECLASS!M35</f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  <c r="AK35" s="120">
        <v>0</v>
      </c>
      <c r="AL35" s="120">
        <v>0</v>
      </c>
      <c r="AM35" s="120">
        <v>0</v>
      </c>
      <c r="AN35" s="120">
        <v>0</v>
      </c>
      <c r="AO35" s="120">
        <v>0</v>
      </c>
    </row>
    <row r="36" spans="1:41" x14ac:dyDescent="0.25">
      <c r="A36" s="9"/>
      <c r="B36" s="7" t="s">
        <v>43</v>
      </c>
      <c r="C36" s="6"/>
      <c r="D36" s="61">
        <f t="shared" ref="D36:I36" si="12">SUM(D32:D35)</f>
        <v>0</v>
      </c>
      <c r="E36" s="39">
        <f t="shared" si="12"/>
        <v>0</v>
      </c>
      <c r="F36" s="61">
        <f t="shared" si="12"/>
        <v>0</v>
      </c>
      <c r="G36" s="39">
        <f t="shared" si="12"/>
        <v>0</v>
      </c>
      <c r="H36" s="61">
        <f t="shared" si="12"/>
        <v>0</v>
      </c>
      <c r="I36" s="61">
        <f t="shared" si="12"/>
        <v>0</v>
      </c>
      <c r="J36" s="61">
        <f t="shared" ref="J36:AO36" si="13">SUM(J32:J35)</f>
        <v>0</v>
      </c>
      <c r="K36" s="61">
        <f t="shared" si="13"/>
        <v>0</v>
      </c>
      <c r="L36" s="61">
        <f t="shared" si="13"/>
        <v>0</v>
      </c>
      <c r="M36" s="61">
        <f t="shared" si="13"/>
        <v>0</v>
      </c>
      <c r="N36" s="61">
        <f t="shared" ref="N36:S36" si="14">SUM(N32:N35)</f>
        <v>0</v>
      </c>
      <c r="O36" s="61">
        <f t="shared" si="14"/>
        <v>0</v>
      </c>
      <c r="P36" s="61">
        <f t="shared" si="14"/>
        <v>0</v>
      </c>
      <c r="Q36" s="61">
        <f t="shared" si="14"/>
        <v>0</v>
      </c>
      <c r="R36" s="61">
        <f t="shared" si="14"/>
        <v>0</v>
      </c>
      <c r="S36" s="61">
        <f t="shared" si="14"/>
        <v>0</v>
      </c>
      <c r="T36" s="61">
        <f t="shared" si="13"/>
        <v>0</v>
      </c>
      <c r="U36" s="61">
        <f t="shared" si="13"/>
        <v>0</v>
      </c>
      <c r="V36" s="61">
        <f t="shared" si="13"/>
        <v>0</v>
      </c>
      <c r="W36" s="61">
        <f t="shared" si="13"/>
        <v>0</v>
      </c>
      <c r="X36" s="61">
        <f t="shared" si="13"/>
        <v>0</v>
      </c>
      <c r="Y36" s="61">
        <f t="shared" si="13"/>
        <v>0</v>
      </c>
      <c r="Z36" s="61">
        <f t="shared" si="13"/>
        <v>0</v>
      </c>
      <c r="AA36" s="61">
        <f t="shared" si="13"/>
        <v>0</v>
      </c>
      <c r="AB36" s="61">
        <f t="shared" si="13"/>
        <v>0</v>
      </c>
      <c r="AC36" s="61">
        <f t="shared" si="13"/>
        <v>0</v>
      </c>
      <c r="AD36" s="61">
        <f t="shared" si="13"/>
        <v>0</v>
      </c>
      <c r="AE36" s="61">
        <f t="shared" si="13"/>
        <v>0</v>
      </c>
      <c r="AF36" s="61">
        <f t="shared" si="13"/>
        <v>0</v>
      </c>
      <c r="AG36" s="61">
        <f t="shared" si="13"/>
        <v>0</v>
      </c>
      <c r="AH36" s="61">
        <f t="shared" si="13"/>
        <v>0</v>
      </c>
      <c r="AI36" s="61">
        <f t="shared" si="13"/>
        <v>0</v>
      </c>
      <c r="AJ36" s="61">
        <f t="shared" si="13"/>
        <v>0</v>
      </c>
      <c r="AK36" s="61">
        <f t="shared" si="13"/>
        <v>0</v>
      </c>
      <c r="AL36" s="61">
        <f t="shared" si="13"/>
        <v>0</v>
      </c>
      <c r="AM36" s="61">
        <f t="shared" si="13"/>
        <v>0</v>
      </c>
      <c r="AN36" s="61">
        <f t="shared" si="13"/>
        <v>0</v>
      </c>
      <c r="AO36" s="61">
        <f t="shared" si="13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0</v>
      </c>
      <c r="E39" s="38">
        <f t="shared" si="15"/>
        <v>0</v>
      </c>
      <c r="F39" s="64">
        <f>'TIE-OUT'!N39+RECLASS!L39</f>
        <v>0</v>
      </c>
      <c r="G39" s="68">
        <f>'TIE-OUT'!O39+RECLASS!M39</f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5"/>
        <v>0</v>
      </c>
      <c r="E40" s="38">
        <f t="shared" si="15"/>
        <v>0</v>
      </c>
      <c r="F40" s="60">
        <f>'TIE-OUT'!N40+RECLASS!L40</f>
        <v>0</v>
      </c>
      <c r="G40" s="38">
        <f>'TIE-OUT'!O40+RECLASS!M40</f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  <c r="AK40" s="120">
        <v>0</v>
      </c>
      <c r="AL40" s="120">
        <v>0</v>
      </c>
      <c r="AM40" s="120">
        <v>0</v>
      </c>
      <c r="AN40" s="120">
        <v>0</v>
      </c>
      <c r="AO40" s="120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'TIE-OUT'!N41+RECLASS!L41</f>
        <v>0</v>
      </c>
      <c r="G41" s="82">
        <f>'TIE-OUT'!O41+RECLASS!M41</f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</row>
    <row r="42" spans="1:41" x14ac:dyDescent="0.25">
      <c r="A42" s="9"/>
      <c r="B42" s="7"/>
      <c r="C42" s="53" t="s">
        <v>48</v>
      </c>
      <c r="D42" s="61">
        <f t="shared" ref="D42:I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61">
        <f t="shared" si="16"/>
        <v>0</v>
      </c>
      <c r="J42" s="61">
        <f t="shared" ref="J42:AO42" si="17">SUM(J40:J41)</f>
        <v>0</v>
      </c>
      <c r="K42" s="61">
        <f t="shared" si="17"/>
        <v>0</v>
      </c>
      <c r="L42" s="61">
        <f t="shared" si="17"/>
        <v>0</v>
      </c>
      <c r="M42" s="61">
        <f t="shared" si="17"/>
        <v>0</v>
      </c>
      <c r="N42" s="61">
        <f t="shared" ref="N42:S42" si="18">SUM(N40:N41)</f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7"/>
        <v>0</v>
      </c>
      <c r="U42" s="61">
        <f t="shared" si="17"/>
        <v>0</v>
      </c>
      <c r="V42" s="61">
        <f t="shared" si="17"/>
        <v>0</v>
      </c>
      <c r="W42" s="61">
        <f t="shared" si="17"/>
        <v>0</v>
      </c>
      <c r="X42" s="61">
        <f t="shared" si="17"/>
        <v>0</v>
      </c>
      <c r="Y42" s="61">
        <f t="shared" si="17"/>
        <v>0</v>
      </c>
      <c r="Z42" s="61">
        <f t="shared" si="17"/>
        <v>0</v>
      </c>
      <c r="AA42" s="61">
        <f t="shared" si="17"/>
        <v>0</v>
      </c>
      <c r="AB42" s="61">
        <f t="shared" si="17"/>
        <v>0</v>
      </c>
      <c r="AC42" s="61">
        <f t="shared" si="17"/>
        <v>0</v>
      </c>
      <c r="AD42" s="61">
        <f t="shared" si="17"/>
        <v>0</v>
      </c>
      <c r="AE42" s="61">
        <f t="shared" si="17"/>
        <v>0</v>
      </c>
      <c r="AF42" s="61">
        <f t="shared" si="17"/>
        <v>0</v>
      </c>
      <c r="AG42" s="61">
        <f t="shared" si="17"/>
        <v>0</v>
      </c>
      <c r="AH42" s="61">
        <f t="shared" si="17"/>
        <v>0</v>
      </c>
      <c r="AI42" s="61">
        <f t="shared" si="17"/>
        <v>0</v>
      </c>
      <c r="AJ42" s="61">
        <f t="shared" si="17"/>
        <v>0</v>
      </c>
      <c r="AK42" s="61">
        <f t="shared" si="17"/>
        <v>0</v>
      </c>
      <c r="AL42" s="61">
        <f t="shared" si="17"/>
        <v>0</v>
      </c>
      <c r="AM42" s="61">
        <f t="shared" si="17"/>
        <v>0</v>
      </c>
      <c r="AN42" s="61">
        <f t="shared" si="17"/>
        <v>0</v>
      </c>
      <c r="AO42" s="61">
        <f t="shared" si="17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61">
        <f t="shared" si="19"/>
        <v>0</v>
      </c>
      <c r="J43" s="61">
        <f t="shared" ref="J43:AO43" si="20">J42+J39</f>
        <v>0</v>
      </c>
      <c r="K43" s="61">
        <f t="shared" si="20"/>
        <v>0</v>
      </c>
      <c r="L43" s="61">
        <f t="shared" si="20"/>
        <v>0</v>
      </c>
      <c r="M43" s="61">
        <f t="shared" si="20"/>
        <v>0</v>
      </c>
      <c r="N43" s="61">
        <f t="shared" ref="N43:S43" si="21">N42+N39</f>
        <v>0</v>
      </c>
      <c r="O43" s="61">
        <f t="shared" si="21"/>
        <v>0</v>
      </c>
      <c r="P43" s="61">
        <f t="shared" si="21"/>
        <v>0</v>
      </c>
      <c r="Q43" s="61">
        <f t="shared" si="21"/>
        <v>0</v>
      </c>
      <c r="R43" s="61">
        <f t="shared" si="21"/>
        <v>0</v>
      </c>
      <c r="S43" s="61">
        <f t="shared" si="21"/>
        <v>0</v>
      </c>
      <c r="T43" s="61">
        <f t="shared" si="20"/>
        <v>0</v>
      </c>
      <c r="U43" s="61">
        <f t="shared" si="20"/>
        <v>0</v>
      </c>
      <c r="V43" s="61">
        <f t="shared" si="20"/>
        <v>0</v>
      </c>
      <c r="W43" s="61">
        <f t="shared" si="20"/>
        <v>0</v>
      </c>
      <c r="X43" s="61">
        <f t="shared" si="20"/>
        <v>0</v>
      </c>
      <c r="Y43" s="61">
        <f t="shared" si="20"/>
        <v>0</v>
      </c>
      <c r="Z43" s="61">
        <f t="shared" si="20"/>
        <v>0</v>
      </c>
      <c r="AA43" s="61">
        <f t="shared" si="20"/>
        <v>0</v>
      </c>
      <c r="AB43" s="61">
        <f t="shared" si="20"/>
        <v>0</v>
      </c>
      <c r="AC43" s="61">
        <f t="shared" si="20"/>
        <v>0</v>
      </c>
      <c r="AD43" s="61">
        <f t="shared" si="20"/>
        <v>0</v>
      </c>
      <c r="AE43" s="61">
        <f t="shared" si="20"/>
        <v>0</v>
      </c>
      <c r="AF43" s="61">
        <f t="shared" si="20"/>
        <v>0</v>
      </c>
      <c r="AG43" s="61">
        <f t="shared" si="20"/>
        <v>0</v>
      </c>
      <c r="AH43" s="61">
        <f t="shared" si="20"/>
        <v>0</v>
      </c>
      <c r="AI43" s="61">
        <f t="shared" si="20"/>
        <v>0</v>
      </c>
      <c r="AJ43" s="61">
        <f t="shared" si="20"/>
        <v>0</v>
      </c>
      <c r="AK43" s="61">
        <f t="shared" si="20"/>
        <v>0</v>
      </c>
      <c r="AL43" s="61">
        <f t="shared" si="20"/>
        <v>0</v>
      </c>
      <c r="AM43" s="61">
        <f t="shared" si="20"/>
        <v>0</v>
      </c>
      <c r="AN43" s="61">
        <f t="shared" si="20"/>
        <v>0</v>
      </c>
      <c r="AO43" s="61">
        <f t="shared" si="20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  <c r="AK49" s="120">
        <v>0</v>
      </c>
      <c r="AL49" s="120">
        <v>0</v>
      </c>
      <c r="AM49" s="120">
        <v>0</v>
      </c>
      <c r="AN49" s="120">
        <v>0</v>
      </c>
      <c r="AO49" s="120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  <c r="AK51" s="120">
        <v>0</v>
      </c>
      <c r="AL51" s="120">
        <v>0</v>
      </c>
      <c r="AM51" s="120">
        <v>0</v>
      </c>
      <c r="AN51" s="120">
        <v>0</v>
      </c>
      <c r="AO51" s="120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120">
        <v>0</v>
      </c>
      <c r="AE54" s="120">
        <v>0</v>
      </c>
      <c r="AF54" s="120">
        <v>0</v>
      </c>
      <c r="AG54" s="120">
        <v>0</v>
      </c>
      <c r="AH54" s="120">
        <v>0</v>
      </c>
      <c r="AI54" s="120">
        <v>0</v>
      </c>
      <c r="AJ54" s="120">
        <v>0</v>
      </c>
      <c r="AK54" s="120">
        <v>0</v>
      </c>
      <c r="AL54" s="120">
        <v>0</v>
      </c>
      <c r="AM54" s="120">
        <v>0</v>
      </c>
      <c r="AN54" s="120">
        <v>0</v>
      </c>
      <c r="AO54" s="120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</row>
    <row r="56" spans="1:41" x14ac:dyDescent="0.25">
      <c r="A56" s="9"/>
      <c r="B56" s="7" t="s">
        <v>57</v>
      </c>
      <c r="C56" s="6"/>
      <c r="D56" s="61">
        <f t="shared" ref="D56:I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61">
        <f t="shared" si="22"/>
        <v>0</v>
      </c>
      <c r="J56" s="61">
        <f t="shared" ref="J56:AO56" si="23">SUM(J54:J55)</f>
        <v>0</v>
      </c>
      <c r="K56" s="61">
        <f t="shared" si="23"/>
        <v>0</v>
      </c>
      <c r="L56" s="61">
        <f t="shared" si="23"/>
        <v>0</v>
      </c>
      <c r="M56" s="61">
        <f t="shared" si="23"/>
        <v>0</v>
      </c>
      <c r="N56" s="61">
        <f t="shared" ref="N56:S56" si="24">SUM(N54:N55)</f>
        <v>0</v>
      </c>
      <c r="O56" s="61">
        <f t="shared" si="24"/>
        <v>0</v>
      </c>
      <c r="P56" s="61">
        <f t="shared" si="24"/>
        <v>0</v>
      </c>
      <c r="Q56" s="61">
        <f t="shared" si="24"/>
        <v>0</v>
      </c>
      <c r="R56" s="61">
        <f t="shared" si="24"/>
        <v>0</v>
      </c>
      <c r="S56" s="61">
        <f t="shared" si="24"/>
        <v>0</v>
      </c>
      <c r="T56" s="61">
        <f t="shared" si="23"/>
        <v>0</v>
      </c>
      <c r="U56" s="61">
        <f t="shared" si="23"/>
        <v>0</v>
      </c>
      <c r="V56" s="61">
        <f t="shared" si="23"/>
        <v>0</v>
      </c>
      <c r="W56" s="61">
        <f t="shared" si="23"/>
        <v>0</v>
      </c>
      <c r="X56" s="61">
        <f t="shared" si="23"/>
        <v>0</v>
      </c>
      <c r="Y56" s="61">
        <f t="shared" si="23"/>
        <v>0</v>
      </c>
      <c r="Z56" s="61">
        <f t="shared" si="23"/>
        <v>0</v>
      </c>
      <c r="AA56" s="61">
        <f t="shared" si="23"/>
        <v>0</v>
      </c>
      <c r="AB56" s="61">
        <f t="shared" si="23"/>
        <v>0</v>
      </c>
      <c r="AC56" s="61">
        <f t="shared" si="23"/>
        <v>0</v>
      </c>
      <c r="AD56" s="61">
        <f t="shared" si="23"/>
        <v>0</v>
      </c>
      <c r="AE56" s="61">
        <f t="shared" si="23"/>
        <v>0</v>
      </c>
      <c r="AF56" s="61">
        <f t="shared" si="23"/>
        <v>0</v>
      </c>
      <c r="AG56" s="61">
        <f t="shared" si="23"/>
        <v>0</v>
      </c>
      <c r="AH56" s="61">
        <f t="shared" si="23"/>
        <v>0</v>
      </c>
      <c r="AI56" s="61">
        <f t="shared" si="23"/>
        <v>0</v>
      </c>
      <c r="AJ56" s="61">
        <f t="shared" si="23"/>
        <v>0</v>
      </c>
      <c r="AK56" s="61">
        <f t="shared" si="23"/>
        <v>0</v>
      </c>
      <c r="AL56" s="61">
        <f t="shared" si="23"/>
        <v>0</v>
      </c>
      <c r="AM56" s="61">
        <f t="shared" si="23"/>
        <v>0</v>
      </c>
      <c r="AN56" s="61">
        <f t="shared" si="23"/>
        <v>0</v>
      </c>
      <c r="AO56" s="61">
        <f t="shared" si="23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0</v>
      </c>
      <c r="AH60" s="120">
        <v>0</v>
      </c>
      <c r="AI60" s="120">
        <v>0</v>
      </c>
      <c r="AJ60" s="120">
        <v>0</v>
      </c>
      <c r="AK60" s="120">
        <v>0</v>
      </c>
      <c r="AL60" s="120">
        <v>0</v>
      </c>
      <c r="AM60" s="120">
        <v>0</v>
      </c>
      <c r="AN60" s="120">
        <v>0</v>
      </c>
      <c r="AO60" s="120">
        <v>0</v>
      </c>
    </row>
    <row r="61" spans="1:41" x14ac:dyDescent="0.25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61">
        <f t="shared" si="25"/>
        <v>0</v>
      </c>
      <c r="J61" s="61">
        <f t="shared" ref="J61:AO61" si="26">SUM(J59:J60)</f>
        <v>0</v>
      </c>
      <c r="K61" s="61">
        <f t="shared" si="26"/>
        <v>0</v>
      </c>
      <c r="L61" s="61">
        <f t="shared" si="26"/>
        <v>0</v>
      </c>
      <c r="M61" s="61">
        <f t="shared" si="26"/>
        <v>0</v>
      </c>
      <c r="N61" s="61">
        <f t="shared" ref="N61:S61" si="27">SUM(N59:N60)</f>
        <v>0</v>
      </c>
      <c r="O61" s="61">
        <f t="shared" si="27"/>
        <v>0</v>
      </c>
      <c r="P61" s="61">
        <f t="shared" si="27"/>
        <v>0</v>
      </c>
      <c r="Q61" s="61">
        <f t="shared" si="27"/>
        <v>0</v>
      </c>
      <c r="R61" s="61">
        <f t="shared" si="27"/>
        <v>0</v>
      </c>
      <c r="S61" s="61">
        <f t="shared" si="27"/>
        <v>0</v>
      </c>
      <c r="T61" s="61">
        <f t="shared" si="26"/>
        <v>0</v>
      </c>
      <c r="U61" s="61">
        <f t="shared" si="26"/>
        <v>0</v>
      </c>
      <c r="V61" s="61">
        <f t="shared" si="26"/>
        <v>0</v>
      </c>
      <c r="W61" s="61">
        <f t="shared" si="26"/>
        <v>0</v>
      </c>
      <c r="X61" s="61">
        <f t="shared" si="26"/>
        <v>0</v>
      </c>
      <c r="Y61" s="61">
        <f t="shared" si="26"/>
        <v>0</v>
      </c>
      <c r="Z61" s="61">
        <f t="shared" si="26"/>
        <v>0</v>
      </c>
      <c r="AA61" s="61">
        <f t="shared" si="26"/>
        <v>0</v>
      </c>
      <c r="AB61" s="61">
        <f t="shared" si="26"/>
        <v>0</v>
      </c>
      <c r="AC61" s="61">
        <f t="shared" si="26"/>
        <v>0</v>
      </c>
      <c r="AD61" s="61">
        <f t="shared" si="26"/>
        <v>0</v>
      </c>
      <c r="AE61" s="61">
        <f t="shared" si="26"/>
        <v>0</v>
      </c>
      <c r="AF61" s="61">
        <f t="shared" si="26"/>
        <v>0</v>
      </c>
      <c r="AG61" s="61">
        <f t="shared" si="26"/>
        <v>0</v>
      </c>
      <c r="AH61" s="61">
        <f t="shared" si="26"/>
        <v>0</v>
      </c>
      <c r="AI61" s="61">
        <f t="shared" si="26"/>
        <v>0</v>
      </c>
      <c r="AJ61" s="61">
        <f t="shared" si="26"/>
        <v>0</v>
      </c>
      <c r="AK61" s="61">
        <f t="shared" si="26"/>
        <v>0</v>
      </c>
      <c r="AL61" s="61">
        <f t="shared" si="26"/>
        <v>0</v>
      </c>
      <c r="AM61" s="61">
        <f t="shared" si="26"/>
        <v>0</v>
      </c>
      <c r="AN61" s="61">
        <f t="shared" si="26"/>
        <v>0</v>
      </c>
      <c r="AO61" s="61">
        <f t="shared" si="2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</row>
    <row r="66" spans="1:41" x14ac:dyDescent="0.25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61">
        <f t="shared" si="28"/>
        <v>0</v>
      </c>
      <c r="J66" s="61">
        <f t="shared" ref="J66:AO66" si="29">SUM(J64:J65)</f>
        <v>0</v>
      </c>
      <c r="K66" s="61">
        <f t="shared" si="29"/>
        <v>0</v>
      </c>
      <c r="L66" s="61">
        <f t="shared" si="29"/>
        <v>0</v>
      </c>
      <c r="M66" s="61">
        <f t="shared" si="29"/>
        <v>0</v>
      </c>
      <c r="N66" s="61">
        <f t="shared" ref="N66:S66" si="30">SUM(N64:N65)</f>
        <v>0</v>
      </c>
      <c r="O66" s="61">
        <f t="shared" si="30"/>
        <v>0</v>
      </c>
      <c r="P66" s="61">
        <f t="shared" si="30"/>
        <v>0</v>
      </c>
      <c r="Q66" s="61">
        <f t="shared" si="30"/>
        <v>0</v>
      </c>
      <c r="R66" s="61">
        <f t="shared" si="30"/>
        <v>0</v>
      </c>
      <c r="S66" s="61">
        <f t="shared" si="30"/>
        <v>0</v>
      </c>
      <c r="T66" s="61">
        <f t="shared" si="29"/>
        <v>0</v>
      </c>
      <c r="U66" s="61">
        <f t="shared" si="29"/>
        <v>0</v>
      </c>
      <c r="V66" s="61">
        <f t="shared" si="29"/>
        <v>0</v>
      </c>
      <c r="W66" s="61">
        <f t="shared" si="29"/>
        <v>0</v>
      </c>
      <c r="X66" s="61">
        <f t="shared" si="29"/>
        <v>0</v>
      </c>
      <c r="Y66" s="61">
        <f t="shared" si="29"/>
        <v>0</v>
      </c>
      <c r="Z66" s="61">
        <f t="shared" si="29"/>
        <v>0</v>
      </c>
      <c r="AA66" s="61">
        <f t="shared" si="29"/>
        <v>0</v>
      </c>
      <c r="AB66" s="61">
        <f t="shared" si="29"/>
        <v>0</v>
      </c>
      <c r="AC66" s="61">
        <f t="shared" si="29"/>
        <v>0</v>
      </c>
      <c r="AD66" s="61">
        <f t="shared" si="29"/>
        <v>0</v>
      </c>
      <c r="AE66" s="61">
        <f t="shared" si="29"/>
        <v>0</v>
      </c>
      <c r="AF66" s="61">
        <f t="shared" si="29"/>
        <v>0</v>
      </c>
      <c r="AG66" s="61">
        <f t="shared" si="29"/>
        <v>0</v>
      </c>
      <c r="AH66" s="61">
        <f t="shared" si="29"/>
        <v>0</v>
      </c>
      <c r="AI66" s="61">
        <f t="shared" si="29"/>
        <v>0</v>
      </c>
      <c r="AJ66" s="61">
        <f t="shared" si="29"/>
        <v>0</v>
      </c>
      <c r="AK66" s="61">
        <f t="shared" si="29"/>
        <v>0</v>
      </c>
      <c r="AL66" s="61">
        <f t="shared" si="29"/>
        <v>0</v>
      </c>
      <c r="AM66" s="61">
        <f t="shared" si="29"/>
        <v>0</v>
      </c>
      <c r="AN66" s="61">
        <f t="shared" si="29"/>
        <v>0</v>
      </c>
      <c r="AO66" s="61">
        <f t="shared" si="29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v>0</v>
      </c>
      <c r="AG70" s="120">
        <v>0</v>
      </c>
      <c r="AH70" s="120">
        <v>0</v>
      </c>
      <c r="AI70" s="120">
        <v>0</v>
      </c>
      <c r="AJ70" s="120">
        <v>0</v>
      </c>
      <c r="AK70" s="120">
        <v>0</v>
      </c>
      <c r="AL70" s="120">
        <v>0</v>
      </c>
      <c r="AM70" s="120">
        <v>0</v>
      </c>
      <c r="AN70" s="120">
        <v>0</v>
      </c>
      <c r="AO70" s="120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  <c r="AJ71" s="120">
        <v>0</v>
      </c>
      <c r="AK71" s="120">
        <v>0</v>
      </c>
      <c r="AL71" s="120">
        <v>0</v>
      </c>
      <c r="AM71" s="120">
        <v>0</v>
      </c>
      <c r="AN71" s="120">
        <v>0</v>
      </c>
      <c r="AO71" s="120">
        <v>0</v>
      </c>
    </row>
    <row r="72" spans="1:41" x14ac:dyDescent="0.25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61">
        <f t="shared" si="31"/>
        <v>0</v>
      </c>
      <c r="J72" s="61">
        <f t="shared" ref="J72:AO72" si="32">SUM(J70:J71)</f>
        <v>0</v>
      </c>
      <c r="K72" s="61">
        <f t="shared" si="32"/>
        <v>0</v>
      </c>
      <c r="L72" s="61">
        <f t="shared" si="32"/>
        <v>0</v>
      </c>
      <c r="M72" s="61">
        <f t="shared" si="32"/>
        <v>0</v>
      </c>
      <c r="N72" s="61">
        <f t="shared" ref="N72:S72" si="33">SUM(N70:N71)</f>
        <v>0</v>
      </c>
      <c r="O72" s="61">
        <f t="shared" si="33"/>
        <v>0</v>
      </c>
      <c r="P72" s="61">
        <f t="shared" si="33"/>
        <v>0</v>
      </c>
      <c r="Q72" s="61">
        <f t="shared" si="33"/>
        <v>0</v>
      </c>
      <c r="R72" s="61">
        <f t="shared" si="33"/>
        <v>0</v>
      </c>
      <c r="S72" s="61">
        <f t="shared" si="33"/>
        <v>0</v>
      </c>
      <c r="T72" s="61">
        <f t="shared" si="32"/>
        <v>0</v>
      </c>
      <c r="U72" s="61">
        <f t="shared" si="32"/>
        <v>0</v>
      </c>
      <c r="V72" s="61">
        <f t="shared" si="32"/>
        <v>0</v>
      </c>
      <c r="W72" s="61">
        <f t="shared" si="32"/>
        <v>0</v>
      </c>
      <c r="X72" s="61">
        <f t="shared" si="32"/>
        <v>0</v>
      </c>
      <c r="Y72" s="61">
        <f t="shared" si="32"/>
        <v>0</v>
      </c>
      <c r="Z72" s="61">
        <f t="shared" si="32"/>
        <v>0</v>
      </c>
      <c r="AA72" s="61">
        <f t="shared" si="32"/>
        <v>0</v>
      </c>
      <c r="AB72" s="61">
        <f t="shared" si="32"/>
        <v>0</v>
      </c>
      <c r="AC72" s="61">
        <f t="shared" si="32"/>
        <v>0</v>
      </c>
      <c r="AD72" s="61">
        <f t="shared" si="32"/>
        <v>0</v>
      </c>
      <c r="AE72" s="61">
        <f t="shared" si="32"/>
        <v>0</v>
      </c>
      <c r="AF72" s="61">
        <f t="shared" si="32"/>
        <v>0</v>
      </c>
      <c r="AG72" s="61">
        <f t="shared" si="32"/>
        <v>0</v>
      </c>
      <c r="AH72" s="61">
        <f t="shared" si="32"/>
        <v>0</v>
      </c>
      <c r="AI72" s="61">
        <f t="shared" si="32"/>
        <v>0</v>
      </c>
      <c r="AJ72" s="61">
        <f t="shared" si="32"/>
        <v>0</v>
      </c>
      <c r="AK72" s="61">
        <f t="shared" si="32"/>
        <v>0</v>
      </c>
      <c r="AL72" s="61">
        <f t="shared" si="32"/>
        <v>0</v>
      </c>
      <c r="AM72" s="61">
        <f t="shared" si="32"/>
        <v>0</v>
      </c>
      <c r="AN72" s="61">
        <f t="shared" si="32"/>
        <v>0</v>
      </c>
      <c r="AO72" s="61">
        <f t="shared" si="3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'TIE-OUT'!N73+RECLASS!L73</f>
        <v>0</v>
      </c>
      <c r="G73" s="60">
        <f>'TIE-OUT'!O73+RECLASS!M73</f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0</v>
      </c>
      <c r="F74" s="60">
        <f>'TIE-OUT'!N74+RECLASS!L74</f>
        <v>0</v>
      </c>
      <c r="G74" s="60">
        <f>'TIE-OUT'!O74+RECLASS!M74</f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v>0</v>
      </c>
      <c r="AG74" s="120">
        <v>0</v>
      </c>
      <c r="AH74" s="120">
        <v>0</v>
      </c>
      <c r="AI74" s="120">
        <v>0</v>
      </c>
      <c r="AJ74" s="120">
        <v>0</v>
      </c>
      <c r="AK74" s="120">
        <v>0</v>
      </c>
      <c r="AL74" s="120">
        <v>0</v>
      </c>
      <c r="AM74" s="120">
        <v>0</v>
      </c>
      <c r="AN74" s="120">
        <v>0</v>
      </c>
      <c r="AO74" s="120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0</v>
      </c>
      <c r="F75" s="60">
        <f>'TIE-OUT'!N75+RECLASS!L75</f>
        <v>0</v>
      </c>
      <c r="G75" s="60">
        <f>'TIE-OUT'!O75+RECLASS!M75</f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0</v>
      </c>
      <c r="AE75" s="120">
        <v>0</v>
      </c>
      <c r="AF75" s="120">
        <v>0</v>
      </c>
      <c r="AG75" s="120">
        <v>0</v>
      </c>
      <c r="AH75" s="120">
        <v>0</v>
      </c>
      <c r="AI75" s="120">
        <v>0</v>
      </c>
      <c r="AJ75" s="120">
        <v>0</v>
      </c>
      <c r="AK75" s="120">
        <v>0</v>
      </c>
      <c r="AL75" s="120">
        <v>0</v>
      </c>
      <c r="AM75" s="120">
        <v>0</v>
      </c>
      <c r="AN75" s="120">
        <v>0</v>
      </c>
      <c r="AO75" s="120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0</v>
      </c>
      <c r="F76" s="60">
        <f>'TIE-OUT'!N76+RECLASS!L76</f>
        <v>0</v>
      </c>
      <c r="G76" s="60">
        <f>'TIE-OUT'!O76+RECLASS!M76</f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0</v>
      </c>
      <c r="AE76" s="120">
        <v>0</v>
      </c>
      <c r="AF76" s="120">
        <v>0</v>
      </c>
      <c r="AG76" s="120">
        <v>0</v>
      </c>
      <c r="AH76" s="120">
        <v>0</v>
      </c>
      <c r="AI76" s="120">
        <v>0</v>
      </c>
      <c r="AJ76" s="120">
        <v>0</v>
      </c>
      <c r="AK76" s="120">
        <v>0</v>
      </c>
      <c r="AL76" s="120">
        <v>0</v>
      </c>
      <c r="AM76" s="120">
        <v>0</v>
      </c>
      <c r="AN76" s="120">
        <v>0</v>
      </c>
      <c r="AO76" s="120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'TIE-OUT'!N77+RECLASS!L77</f>
        <v>0</v>
      </c>
      <c r="G77" s="60">
        <f>'TIE-OUT'!O77+RECLASS!M77</f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v>0</v>
      </c>
      <c r="AG77" s="120">
        <v>0</v>
      </c>
      <c r="AH77" s="120">
        <v>0</v>
      </c>
      <c r="AI77" s="120">
        <v>0</v>
      </c>
      <c r="AJ77" s="120">
        <v>0</v>
      </c>
      <c r="AK77" s="120">
        <v>0</v>
      </c>
      <c r="AL77" s="120">
        <v>0</v>
      </c>
      <c r="AM77" s="120">
        <v>0</v>
      </c>
      <c r="AN77" s="120">
        <v>0</v>
      </c>
      <c r="AO77" s="120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'TIE-OUT'!N78+RECLASS!L78</f>
        <v>0</v>
      </c>
      <c r="G78" s="60">
        <f>'TIE-OUT'!O78+RECLASS!M78</f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120">
        <v>0</v>
      </c>
      <c r="AE78" s="120">
        <v>0</v>
      </c>
      <c r="AF78" s="120">
        <v>0</v>
      </c>
      <c r="AG78" s="120">
        <v>0</v>
      </c>
      <c r="AH78" s="120">
        <v>0</v>
      </c>
      <c r="AI78" s="120">
        <v>0</v>
      </c>
      <c r="AJ78" s="120">
        <v>0</v>
      </c>
      <c r="AK78" s="120">
        <v>0</v>
      </c>
      <c r="AL78" s="120">
        <v>0</v>
      </c>
      <c r="AM78" s="120">
        <v>0</v>
      </c>
      <c r="AN78" s="120">
        <v>0</v>
      </c>
      <c r="AO78" s="120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'TIE-OUT'!N79+RECLASS!L79</f>
        <v>0</v>
      </c>
      <c r="G79" s="60">
        <f>'TIE-OUT'!O79+RECLASS!M79</f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v>0</v>
      </c>
      <c r="AG79" s="120">
        <v>0</v>
      </c>
      <c r="AH79" s="120">
        <v>0</v>
      </c>
      <c r="AI79" s="120">
        <v>0</v>
      </c>
      <c r="AJ79" s="120">
        <v>0</v>
      </c>
      <c r="AK79" s="120">
        <v>0</v>
      </c>
      <c r="AL79" s="120">
        <v>0</v>
      </c>
      <c r="AM79" s="120">
        <v>0</v>
      </c>
      <c r="AN79" s="120">
        <v>0</v>
      </c>
      <c r="AO79" s="120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'TIE-OUT'!N80+RECLASS!L80</f>
        <v>0</v>
      </c>
      <c r="G80" s="60">
        <f>'TIE-OUT'!O80+RECLASS!M80</f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v>0</v>
      </c>
      <c r="AG80" s="120">
        <v>0</v>
      </c>
      <c r="AH80" s="120">
        <v>0</v>
      </c>
      <c r="AI80" s="120">
        <v>0</v>
      </c>
      <c r="AJ80" s="120">
        <v>0</v>
      </c>
      <c r="AK80" s="120">
        <v>0</v>
      </c>
      <c r="AL80" s="120">
        <v>0</v>
      </c>
      <c r="AM80" s="120">
        <v>0</v>
      </c>
      <c r="AN80" s="120">
        <v>0</v>
      </c>
      <c r="AO80" s="120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60">
        <f>'TIE-OUT'!N81+RECLASS!L81</f>
        <v>0</v>
      </c>
      <c r="G81" s="60">
        <f>'TIE-OUT'!O81+RECLASS!M81</f>
        <v>0</v>
      </c>
      <c r="H81" s="120">
        <v>0</v>
      </c>
      <c r="I81" s="120">
        <v>0</v>
      </c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0</v>
      </c>
      <c r="R81" s="120">
        <v>0</v>
      </c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v>0</v>
      </c>
      <c r="AG81" s="120">
        <v>0</v>
      </c>
      <c r="AH81" s="120">
        <v>0</v>
      </c>
      <c r="AI81" s="120">
        <v>0</v>
      </c>
      <c r="AJ81" s="120">
        <v>0</v>
      </c>
      <c r="AK81" s="120">
        <v>0</v>
      </c>
      <c r="AL81" s="120">
        <v>0</v>
      </c>
      <c r="AM81" s="120">
        <v>0</v>
      </c>
      <c r="AN81" s="120">
        <v>0</v>
      </c>
      <c r="AO81" s="120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S61" activePane="bottomRight" state="frozen"/>
      <selection activeCell="Z9" sqref="Z9"/>
      <selection pane="topRight" activeCell="Z9" sqref="Z9"/>
      <selection pane="bottomLeft" activeCell="Z9" sqref="Z9"/>
      <selection pane="bottomRight" activeCell="AA89" sqref="AA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13499225</v>
      </c>
      <c r="E11" s="38">
        <f>SUM(G11,I11,K11,M11,O11,Q11,S11,U11,W11,Y11,AA11,AC11,AE11)</f>
        <v>35575659.840000004</v>
      </c>
      <c r="F11" s="60">
        <f>'TIE-OUT'!V11+RECLASS!T11</f>
        <v>0</v>
      </c>
      <c r="G11" s="38">
        <f>'TIE-OUT'!W11+RECLASS!U11</f>
        <v>0</v>
      </c>
      <c r="H11" s="120">
        <f>+Actuals!E444</f>
        <v>12082230</v>
      </c>
      <c r="I11" s="121">
        <f>+Actuals!F444</f>
        <v>31458989.379999999</v>
      </c>
      <c r="J11" s="120">
        <f>+Actuals!G444</f>
        <v>1290403</v>
      </c>
      <c r="K11" s="121">
        <f>+Actuals!H444</f>
        <v>3782323.86</v>
      </c>
      <c r="L11" s="120">
        <f>+Actuals!I444</f>
        <v>86962</v>
      </c>
      <c r="M11" s="121">
        <f>+Actuals!J444</f>
        <v>-15559.87</v>
      </c>
      <c r="N11" s="120">
        <f>+Actuals!K444</f>
        <v>231</v>
      </c>
      <c r="O11" s="121">
        <f>+Actuals!L444</f>
        <v>5619.97</v>
      </c>
      <c r="P11" s="120">
        <f>+Actuals!M444</f>
        <v>-28786</v>
      </c>
      <c r="Q11" s="121">
        <f>+Actuals!N444</f>
        <v>-83176.44</v>
      </c>
      <c r="R11" s="120">
        <f>+Actuals!O444</f>
        <v>18235</v>
      </c>
      <c r="S11" s="121">
        <f>+Actuals!P444</f>
        <v>310405.86</v>
      </c>
      <c r="T11" s="120">
        <f>+Actuals!Q444</f>
        <v>49949</v>
      </c>
      <c r="U11" s="121">
        <f>+Actuals!R444</f>
        <v>135679.19</v>
      </c>
      <c r="V11" s="120">
        <v>68496</v>
      </c>
      <c r="W11" s="121">
        <v>145007.88</v>
      </c>
      <c r="X11" s="120">
        <v>-68495</v>
      </c>
      <c r="Y11" s="121">
        <v>-163629.99</v>
      </c>
      <c r="Z11" s="120">
        <f>+Actuals!W444</f>
        <v>0</v>
      </c>
      <c r="AA11" s="121">
        <f>+Actuals!X444</f>
        <v>0</v>
      </c>
      <c r="AB11" s="120">
        <f>+Actuals!Y444</f>
        <v>0</v>
      </c>
      <c r="AC11" s="121">
        <f>+Actuals!Z444</f>
        <v>0</v>
      </c>
      <c r="AD11" s="120">
        <f>+Actuals!AA444</f>
        <v>0</v>
      </c>
      <c r="AE11" s="121">
        <f>+Actuals!AB444</f>
        <v>0</v>
      </c>
      <c r="AF11" s="120">
        <f>+Actuals!AC444</f>
        <v>0</v>
      </c>
      <c r="AG11" s="121">
        <f>+Actuals!AD444</f>
        <v>0</v>
      </c>
      <c r="AH11" s="120">
        <f>+Actuals!AE444</f>
        <v>0</v>
      </c>
      <c r="AI11" s="121">
        <f>+Actuals!AF444</f>
        <v>0</v>
      </c>
      <c r="AJ11" s="120">
        <f>+Actuals!AG444</f>
        <v>0</v>
      </c>
      <c r="AK11" s="121">
        <f>+Actuals!AH444</f>
        <v>0</v>
      </c>
      <c r="AL11" s="120">
        <f>+Actuals!AI444</f>
        <v>0</v>
      </c>
      <c r="AM11" s="121">
        <f>+Actuals!AJ444</f>
        <v>0</v>
      </c>
      <c r="AN11" s="120">
        <f>+Actuals!AK444</f>
        <v>0</v>
      </c>
      <c r="AO11" s="121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-5054848.2300000004</v>
      </c>
      <c r="F12" s="60">
        <f>'TIE-OUT'!V12+RECLASS!T12</f>
        <v>0</v>
      </c>
      <c r="G12" s="38">
        <f>'TIE-OUT'!W12+RECLASS!U12</f>
        <v>-5054848.2300000004</v>
      </c>
      <c r="H12" s="120">
        <f>+Actuals!E445</f>
        <v>0</v>
      </c>
      <c r="I12" s="121">
        <f>+Actuals!F445</f>
        <v>0</v>
      </c>
      <c r="J12" s="120">
        <f>+Actuals!G445</f>
        <v>0</v>
      </c>
      <c r="K12" s="121">
        <f>+Actuals!H445</f>
        <v>0</v>
      </c>
      <c r="L12" s="120">
        <f>+Actuals!I445</f>
        <v>0</v>
      </c>
      <c r="M12" s="121">
        <f>+Actuals!J445</f>
        <v>0</v>
      </c>
      <c r="N12" s="120">
        <f>+Actuals!K445</f>
        <v>0</v>
      </c>
      <c r="O12" s="121">
        <f>+Actuals!L445</f>
        <v>0</v>
      </c>
      <c r="P12" s="120">
        <f>+Actuals!M445</f>
        <v>0</v>
      </c>
      <c r="Q12" s="121">
        <f>+Actuals!N445</f>
        <v>0</v>
      </c>
      <c r="R12" s="120">
        <f>+Actuals!O445</f>
        <v>0</v>
      </c>
      <c r="S12" s="121">
        <f>+Actuals!P445</f>
        <v>0</v>
      </c>
      <c r="T12" s="120">
        <f>+Actuals!Q445</f>
        <v>0</v>
      </c>
      <c r="U12" s="121">
        <f>+Actuals!R445</f>
        <v>0</v>
      </c>
      <c r="V12" s="120">
        <f>+Actuals!S445</f>
        <v>0</v>
      </c>
      <c r="W12" s="121">
        <f>+Actuals!T445</f>
        <v>0</v>
      </c>
      <c r="X12" s="120">
        <f>+Actuals!U445</f>
        <v>0</v>
      </c>
      <c r="Y12" s="121">
        <f>+Actuals!V445</f>
        <v>0</v>
      </c>
      <c r="Z12" s="120">
        <f>+Actuals!W445</f>
        <v>0</v>
      </c>
      <c r="AA12" s="121">
        <f>+Actuals!X445</f>
        <v>0</v>
      </c>
      <c r="AB12" s="120">
        <f>+Actuals!Y445</f>
        <v>0</v>
      </c>
      <c r="AC12" s="121">
        <f>+Actuals!Z445</f>
        <v>0</v>
      </c>
      <c r="AD12" s="120">
        <f>+Actuals!AA445</f>
        <v>0</v>
      </c>
      <c r="AE12" s="121">
        <f>+Actuals!AB445</f>
        <v>0</v>
      </c>
      <c r="AF12" s="120">
        <f>+Actuals!AC445</f>
        <v>0</v>
      </c>
      <c r="AG12" s="121">
        <f>+Actuals!AD445</f>
        <v>0</v>
      </c>
      <c r="AH12" s="120">
        <f>+Actuals!AE445</f>
        <v>0</v>
      </c>
      <c r="AI12" s="121">
        <f>+Actuals!AF445</f>
        <v>0</v>
      </c>
      <c r="AJ12" s="120">
        <f>+Actuals!AG445</f>
        <v>0</v>
      </c>
      <c r="AK12" s="121">
        <f>+Actuals!AH445</f>
        <v>0</v>
      </c>
      <c r="AL12" s="120">
        <f>+Actuals!AI445</f>
        <v>0</v>
      </c>
      <c r="AM12" s="121">
        <f>+Actuals!AJ445</f>
        <v>0</v>
      </c>
      <c r="AN12" s="120">
        <f>+Actuals!AK445</f>
        <v>0</v>
      </c>
      <c r="AO12" s="121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5959904</v>
      </c>
      <c r="E13" s="38">
        <f t="shared" si="0"/>
        <v>13663716</v>
      </c>
      <c r="F13" s="60">
        <f>'TIE-OUT'!V13+RECLASS!T13</f>
        <v>0</v>
      </c>
      <c r="G13" s="38">
        <f>'TIE-OUT'!W13+RECLASS!U13</f>
        <v>0</v>
      </c>
      <c r="H13" s="120">
        <f>+Actuals!E446</f>
        <v>6454820</v>
      </c>
      <c r="I13" s="121">
        <f>+Actuals!F446</f>
        <v>14799252</v>
      </c>
      <c r="J13" s="120">
        <f>+Actuals!G446</f>
        <v>-5967083</v>
      </c>
      <c r="K13" s="121">
        <f>+Actuals!H446</f>
        <v>-13678734</v>
      </c>
      <c r="L13" s="120">
        <f>+Actuals!I446</f>
        <v>0</v>
      </c>
      <c r="M13" s="121">
        <f>+Actuals!J446</f>
        <v>0</v>
      </c>
      <c r="N13" s="120">
        <f>+Actuals!K446</f>
        <v>32274</v>
      </c>
      <c r="O13" s="121">
        <f>+Actuals!L446</f>
        <v>72679</v>
      </c>
      <c r="P13" s="120">
        <f>+Actuals!M446</f>
        <v>0</v>
      </c>
      <c r="Q13" s="121">
        <f>+Actuals!N446</f>
        <v>0</v>
      </c>
      <c r="R13" s="120">
        <f>+Actuals!O446</f>
        <v>0</v>
      </c>
      <c r="S13" s="121">
        <f>+Actuals!P446</f>
        <v>0</v>
      </c>
      <c r="T13" s="120">
        <f>+Actuals!Q446</f>
        <v>5439893</v>
      </c>
      <c r="U13" s="121">
        <f>+Actuals!R446</f>
        <v>12470519</v>
      </c>
      <c r="V13" s="120">
        <f>+Actuals!S446</f>
        <v>0</v>
      </c>
      <c r="W13" s="121">
        <f>+Actuals!T446</f>
        <v>0</v>
      </c>
      <c r="X13" s="120">
        <f>+Actuals!U446</f>
        <v>0</v>
      </c>
      <c r="Y13" s="121">
        <f>+Actuals!V446</f>
        <v>0</v>
      </c>
      <c r="Z13" s="120">
        <f>+Actuals!W446</f>
        <v>0</v>
      </c>
      <c r="AA13" s="121">
        <f>+Actuals!X446</f>
        <v>0</v>
      </c>
      <c r="AB13" s="120">
        <f>+Actuals!Y446</f>
        <v>0</v>
      </c>
      <c r="AC13" s="121">
        <f>+Actuals!Z446</f>
        <v>0</v>
      </c>
      <c r="AD13" s="120">
        <f>+Actuals!AA446</f>
        <v>0</v>
      </c>
      <c r="AE13" s="121">
        <f>+Actuals!AB446</f>
        <v>0</v>
      </c>
      <c r="AF13" s="120">
        <f>+Actuals!AC446</f>
        <v>0</v>
      </c>
      <c r="AG13" s="121">
        <f>+Actuals!AD446</f>
        <v>0</v>
      </c>
      <c r="AH13" s="120">
        <f>+Actuals!AE446</f>
        <v>0</v>
      </c>
      <c r="AI13" s="121">
        <f>+Actuals!AF446</f>
        <v>0</v>
      </c>
      <c r="AJ13" s="120">
        <f>+Actuals!AG446</f>
        <v>0</v>
      </c>
      <c r="AK13" s="121">
        <f>+Actuals!AH446</f>
        <v>0</v>
      </c>
      <c r="AL13" s="120">
        <f>+Actuals!AI446</f>
        <v>0</v>
      </c>
      <c r="AM13" s="121">
        <f>+Actuals!AJ446</f>
        <v>0</v>
      </c>
      <c r="AN13" s="120">
        <f>+Actuals!AK446</f>
        <v>0</v>
      </c>
      <c r="AO13" s="121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20">
        <f>+Actuals!E447</f>
        <v>0</v>
      </c>
      <c r="I14" s="121">
        <f>+Actuals!F447</f>
        <v>0</v>
      </c>
      <c r="J14" s="120">
        <f>+Actuals!G447</f>
        <v>0</v>
      </c>
      <c r="K14" s="121">
        <f>+Actuals!H447</f>
        <v>0</v>
      </c>
      <c r="L14" s="120">
        <f>+Actuals!I447</f>
        <v>0</v>
      </c>
      <c r="M14" s="121">
        <f>+Actuals!J447</f>
        <v>0</v>
      </c>
      <c r="N14" s="120">
        <f>+Actuals!K447</f>
        <v>0</v>
      </c>
      <c r="O14" s="121">
        <f>+Actuals!L447</f>
        <v>0</v>
      </c>
      <c r="P14" s="120">
        <f>+Actuals!M447</f>
        <v>0</v>
      </c>
      <c r="Q14" s="121">
        <f>+Actuals!N447</f>
        <v>0</v>
      </c>
      <c r="R14" s="120">
        <f>+Actuals!O447</f>
        <v>0</v>
      </c>
      <c r="S14" s="121">
        <f>+Actuals!P447</f>
        <v>0</v>
      </c>
      <c r="T14" s="120">
        <f>+Actuals!Q447</f>
        <v>0</v>
      </c>
      <c r="U14" s="121">
        <f>+Actuals!R447</f>
        <v>0</v>
      </c>
      <c r="V14" s="120">
        <f>+Actuals!S447</f>
        <v>0</v>
      </c>
      <c r="W14" s="121">
        <f>+Actuals!T447</f>
        <v>0</v>
      </c>
      <c r="X14" s="120">
        <f>+Actuals!U447</f>
        <v>0</v>
      </c>
      <c r="Y14" s="121">
        <f>+Actuals!V447</f>
        <v>0</v>
      </c>
      <c r="Z14" s="120">
        <f>+Actuals!W447</f>
        <v>0</v>
      </c>
      <c r="AA14" s="121">
        <f>+Actuals!X447</f>
        <v>0</v>
      </c>
      <c r="AB14" s="120">
        <f>+Actuals!Y447</f>
        <v>0</v>
      </c>
      <c r="AC14" s="121">
        <f>+Actuals!Z447</f>
        <v>0</v>
      </c>
      <c r="AD14" s="120">
        <f>+Actuals!AA447</f>
        <v>0</v>
      </c>
      <c r="AE14" s="121">
        <f>+Actuals!AB447</f>
        <v>0</v>
      </c>
      <c r="AF14" s="120">
        <f>+Actuals!AC447</f>
        <v>0</v>
      </c>
      <c r="AG14" s="121">
        <f>+Actuals!AD447</f>
        <v>0</v>
      </c>
      <c r="AH14" s="120">
        <f>+Actuals!AE447</f>
        <v>0</v>
      </c>
      <c r="AI14" s="121">
        <f>+Actuals!AF447</f>
        <v>0</v>
      </c>
      <c r="AJ14" s="120">
        <f>+Actuals!AG447</f>
        <v>0</v>
      </c>
      <c r="AK14" s="121">
        <f>+Actuals!AH447</f>
        <v>0</v>
      </c>
      <c r="AL14" s="120">
        <f>+Actuals!AI447</f>
        <v>0</v>
      </c>
      <c r="AM14" s="121">
        <f>+Actuals!AJ447</f>
        <v>0</v>
      </c>
      <c r="AN14" s="120">
        <f>+Actuals!AK447</f>
        <v>0</v>
      </c>
      <c r="AO14" s="121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'TIE-OUT'!V15+RECLASS!T15</f>
        <v>0</v>
      </c>
      <c r="G15" s="82">
        <f>'TIE-OUT'!W15+RECLASS!U15</f>
        <v>0</v>
      </c>
      <c r="H15" s="120">
        <f>+Actuals!E448</f>
        <v>0</v>
      </c>
      <c r="I15" s="121">
        <f>+Actuals!F448</f>
        <v>0</v>
      </c>
      <c r="J15" s="120">
        <f>+Actuals!G448</f>
        <v>0</v>
      </c>
      <c r="K15" s="121">
        <f>+Actuals!H448</f>
        <v>0</v>
      </c>
      <c r="L15" s="120">
        <f>+Actuals!I448</f>
        <v>0</v>
      </c>
      <c r="M15" s="121">
        <f>+Actuals!J448</f>
        <v>0</v>
      </c>
      <c r="N15" s="120">
        <f>+Actuals!K448</f>
        <v>0</v>
      </c>
      <c r="O15" s="121">
        <f>+Actuals!L448</f>
        <v>0</v>
      </c>
      <c r="P15" s="120">
        <f>+Actuals!M448</f>
        <v>0</v>
      </c>
      <c r="Q15" s="121">
        <f>+Actuals!N448</f>
        <v>0</v>
      </c>
      <c r="R15" s="120">
        <f>+Actuals!O448</f>
        <v>0</v>
      </c>
      <c r="S15" s="121">
        <f>+Actuals!P448</f>
        <v>0</v>
      </c>
      <c r="T15" s="120">
        <f>+Actuals!Q448</f>
        <v>0</v>
      </c>
      <c r="U15" s="121">
        <f>+Actuals!R448</f>
        <v>0</v>
      </c>
      <c r="V15" s="120">
        <f>+Actuals!S448</f>
        <v>0</v>
      </c>
      <c r="W15" s="121">
        <f>+Actuals!T448</f>
        <v>0</v>
      </c>
      <c r="X15" s="120">
        <f>+Actuals!U448</f>
        <v>0</v>
      </c>
      <c r="Y15" s="121">
        <f>+Actuals!V448</f>
        <v>0</v>
      </c>
      <c r="Z15" s="120">
        <f>+Actuals!W448</f>
        <v>0</v>
      </c>
      <c r="AA15" s="121">
        <f>+Actuals!X448</f>
        <v>0</v>
      </c>
      <c r="AB15" s="120">
        <f>+Actuals!Y448</f>
        <v>0</v>
      </c>
      <c r="AC15" s="121">
        <f>+Actuals!Z448</f>
        <v>0</v>
      </c>
      <c r="AD15" s="120">
        <f>+Actuals!AA448</f>
        <v>0</v>
      </c>
      <c r="AE15" s="121">
        <f>+Actuals!AB448</f>
        <v>0</v>
      </c>
      <c r="AF15" s="120">
        <f>+Actuals!AC448</f>
        <v>0</v>
      </c>
      <c r="AG15" s="121">
        <f>+Actuals!AD448</f>
        <v>0</v>
      </c>
      <c r="AH15" s="120">
        <f>+Actuals!AE448</f>
        <v>0</v>
      </c>
      <c r="AI15" s="121">
        <f>+Actuals!AF448</f>
        <v>0</v>
      </c>
      <c r="AJ15" s="120">
        <f>+Actuals!AG448</f>
        <v>0</v>
      </c>
      <c r="AK15" s="121">
        <f>+Actuals!AH448</f>
        <v>0</v>
      </c>
      <c r="AL15" s="120">
        <f>+Actuals!AI448</f>
        <v>0</v>
      </c>
      <c r="AM15" s="121">
        <f>+Actuals!AJ448</f>
        <v>0</v>
      </c>
      <c r="AN15" s="120">
        <f>+Actuals!AK448</f>
        <v>0</v>
      </c>
      <c r="AO15" s="121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19459129</v>
      </c>
      <c r="E16" s="39">
        <f t="shared" si="1"/>
        <v>44184527.609999999</v>
      </c>
      <c r="F16" s="61">
        <f t="shared" si="1"/>
        <v>0</v>
      </c>
      <c r="G16" s="39">
        <f t="shared" si="1"/>
        <v>-5054848.2300000004</v>
      </c>
      <c r="H16" s="61">
        <f t="shared" si="1"/>
        <v>18537050</v>
      </c>
      <c r="I16" s="39">
        <f t="shared" si="1"/>
        <v>46258241.379999995</v>
      </c>
      <c r="J16" s="61">
        <f t="shared" ref="J16:AO16" si="2">SUM(J11:J15)</f>
        <v>-4676680</v>
      </c>
      <c r="K16" s="39">
        <f t="shared" si="2"/>
        <v>-9896410.1400000006</v>
      </c>
      <c r="L16" s="61">
        <f t="shared" si="2"/>
        <v>86962</v>
      </c>
      <c r="M16" s="39">
        <f t="shared" si="2"/>
        <v>-15559.87</v>
      </c>
      <c r="N16" s="61">
        <f t="shared" ref="N16:S16" si="3">SUM(N11:N15)</f>
        <v>32505</v>
      </c>
      <c r="O16" s="39">
        <f t="shared" si="3"/>
        <v>78298.97</v>
      </c>
      <c r="P16" s="61">
        <f t="shared" si="3"/>
        <v>-28786</v>
      </c>
      <c r="Q16" s="39">
        <f t="shared" si="3"/>
        <v>-83176.44</v>
      </c>
      <c r="R16" s="61">
        <f t="shared" si="3"/>
        <v>18235</v>
      </c>
      <c r="S16" s="39">
        <f t="shared" si="3"/>
        <v>310405.86</v>
      </c>
      <c r="T16" s="61">
        <f t="shared" si="2"/>
        <v>5489842</v>
      </c>
      <c r="U16" s="39">
        <f t="shared" si="2"/>
        <v>12606198.189999999</v>
      </c>
      <c r="V16" s="61">
        <f t="shared" si="2"/>
        <v>68496</v>
      </c>
      <c r="W16" s="39">
        <f t="shared" si="2"/>
        <v>145007.88</v>
      </c>
      <c r="X16" s="61">
        <f t="shared" si="2"/>
        <v>-68495</v>
      </c>
      <c r="Y16" s="39">
        <f t="shared" si="2"/>
        <v>-163629.99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-564411</v>
      </c>
      <c r="E19" s="38">
        <f t="shared" si="4"/>
        <v>-1244749.33</v>
      </c>
      <c r="F19" s="64">
        <f>'TIE-OUT'!V19+RECLASS!T19</f>
        <v>0</v>
      </c>
      <c r="G19" s="68">
        <f>'TIE-OUT'!W19+RECLASS!U19</f>
        <v>0</v>
      </c>
      <c r="H19" s="120">
        <f>+Actuals!E449</f>
        <v>-545017</v>
      </c>
      <c r="I19" s="121">
        <f>+Actuals!F449</f>
        <v>-1188595.31</v>
      </c>
      <c r="J19" s="120">
        <f>+Actuals!G449</f>
        <v>-331370</v>
      </c>
      <c r="K19" s="121">
        <f>+Actuals!H449</f>
        <v>424645.98</v>
      </c>
      <c r="L19" s="120">
        <f>+Actuals!I449</f>
        <v>518976</v>
      </c>
      <c r="M19" s="121">
        <f>+Actuals!J449</f>
        <v>1054843.8700000001</v>
      </c>
      <c r="N19" s="120">
        <f>+Actuals!K449</f>
        <v>-725976</v>
      </c>
      <c r="O19" s="121">
        <f>+Actuals!L449</f>
        <v>-1535643.87</v>
      </c>
      <c r="P19" s="120">
        <f>+Actuals!M449</f>
        <v>518976</v>
      </c>
      <c r="Q19" s="121">
        <f>+Actuals!N449</f>
        <v>1062343.8700000001</v>
      </c>
      <c r="R19" s="120">
        <f>+Actuals!O449</f>
        <v>0</v>
      </c>
      <c r="S19" s="121">
        <f>+Actuals!P449</f>
        <v>-1062343.8700000001</v>
      </c>
      <c r="T19" s="120">
        <f>+Actuals!Q449</f>
        <v>0</v>
      </c>
      <c r="U19" s="121">
        <f>+Actuals!R449</f>
        <v>0</v>
      </c>
      <c r="V19" s="120">
        <f>+Actuals!S449</f>
        <v>0</v>
      </c>
      <c r="W19" s="121">
        <f>+Actuals!T449</f>
        <v>0</v>
      </c>
      <c r="X19" s="120">
        <f>+Actuals!U449</f>
        <v>0</v>
      </c>
      <c r="Y19" s="121">
        <f>+Actuals!V449</f>
        <v>0</v>
      </c>
      <c r="Z19" s="120">
        <f>+Actuals!W449</f>
        <v>0</v>
      </c>
      <c r="AA19" s="121">
        <f>+Actuals!X449</f>
        <v>0</v>
      </c>
      <c r="AB19" s="120">
        <f>+Actuals!Y449</f>
        <v>0</v>
      </c>
      <c r="AC19" s="121">
        <f>+Actuals!Z449</f>
        <v>0</v>
      </c>
      <c r="AD19" s="120">
        <f>+Actuals!AA449</f>
        <v>0</v>
      </c>
      <c r="AE19" s="121">
        <f>+Actuals!AB449</f>
        <v>0</v>
      </c>
      <c r="AF19" s="120">
        <f>+Actuals!AC449</f>
        <v>0</v>
      </c>
      <c r="AG19" s="121">
        <f>+Actuals!AD449</f>
        <v>0</v>
      </c>
      <c r="AH19" s="120">
        <f>+Actuals!AE449</f>
        <v>0</v>
      </c>
      <c r="AI19" s="121">
        <f>+Actuals!AF449</f>
        <v>0</v>
      </c>
      <c r="AJ19" s="120">
        <f>+Actuals!AG449</f>
        <v>0</v>
      </c>
      <c r="AK19" s="121">
        <f>+Actuals!AH449</f>
        <v>0</v>
      </c>
      <c r="AL19" s="120">
        <f>+Actuals!AI449</f>
        <v>0</v>
      </c>
      <c r="AM19" s="121">
        <f>+Actuals!AJ449</f>
        <v>0</v>
      </c>
      <c r="AN19" s="120">
        <f>+Actuals!AK449</f>
        <v>0</v>
      </c>
      <c r="AO19" s="121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2154749.11</v>
      </c>
      <c r="F20" s="60">
        <f>'TIE-OUT'!V20+RECLASS!T20</f>
        <v>0</v>
      </c>
      <c r="G20" s="38">
        <f>'TIE-OUT'!W20+RECLASS!U20</f>
        <v>2153447.11</v>
      </c>
      <c r="H20" s="120">
        <f>+Actuals!E450</f>
        <v>0</v>
      </c>
      <c r="I20" s="121">
        <f>+Actuals!F450</f>
        <v>0</v>
      </c>
      <c r="J20" s="120">
        <f>+Actuals!G450</f>
        <v>0</v>
      </c>
      <c r="K20" s="219">
        <v>1302</v>
      </c>
      <c r="L20" s="120">
        <f>+Actuals!I450</f>
        <v>0</v>
      </c>
      <c r="M20" s="121">
        <f>+Actuals!J450</f>
        <v>0</v>
      </c>
      <c r="N20" s="120">
        <f>+Actuals!K450</f>
        <v>0</v>
      </c>
      <c r="O20" s="121">
        <f>+Actuals!L450</f>
        <v>0</v>
      </c>
      <c r="P20" s="120">
        <f>+Actuals!M450</f>
        <v>0</v>
      </c>
      <c r="Q20" s="121">
        <f>+Actuals!N450</f>
        <v>0</v>
      </c>
      <c r="R20" s="120">
        <f>+Actuals!O450</f>
        <v>0</v>
      </c>
      <c r="S20" s="121">
        <f>+Actuals!P450</f>
        <v>0</v>
      </c>
      <c r="T20" s="120">
        <f>+Actuals!Q450</f>
        <v>0</v>
      </c>
      <c r="U20" s="121">
        <f>+Actuals!R450</f>
        <v>0</v>
      </c>
      <c r="V20" s="120">
        <f>+Actuals!S450</f>
        <v>0</v>
      </c>
      <c r="W20" s="121">
        <f>+Actuals!T450</f>
        <v>0</v>
      </c>
      <c r="X20" s="120">
        <f>+Actuals!U450</f>
        <v>0</v>
      </c>
      <c r="Y20" s="121">
        <f>+Actuals!V450</f>
        <v>0</v>
      </c>
      <c r="Z20" s="120">
        <f>+Actuals!W450</f>
        <v>0</v>
      </c>
      <c r="AA20" s="121">
        <f>+Actuals!X450</f>
        <v>0</v>
      </c>
      <c r="AB20" s="120">
        <f>+Actuals!Y450</f>
        <v>0</v>
      </c>
      <c r="AC20" s="121">
        <f>+Actuals!Z450</f>
        <v>0</v>
      </c>
      <c r="AD20" s="120">
        <f>+Actuals!AA450</f>
        <v>0</v>
      </c>
      <c r="AE20" s="121">
        <f>+Actuals!AB450</f>
        <v>0</v>
      </c>
      <c r="AF20" s="120">
        <f>+Actuals!AC450</f>
        <v>0</v>
      </c>
      <c r="AG20" s="121">
        <f>+Actuals!AD450</f>
        <v>0</v>
      </c>
      <c r="AH20" s="120">
        <f>+Actuals!AE450</f>
        <v>0</v>
      </c>
      <c r="AI20" s="121">
        <f>+Actuals!AF450</f>
        <v>0</v>
      </c>
      <c r="AJ20" s="120">
        <f>+Actuals!AG450</f>
        <v>0</v>
      </c>
      <c r="AK20" s="121">
        <f>+Actuals!AH450</f>
        <v>0</v>
      </c>
      <c r="AL20" s="120">
        <f>+Actuals!AI450</f>
        <v>0</v>
      </c>
      <c r="AM20" s="121">
        <f>+Actuals!AJ450</f>
        <v>0</v>
      </c>
      <c r="AN20" s="120">
        <f>+Actuals!AK450</f>
        <v>0</v>
      </c>
      <c r="AO20" s="121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-5959904</v>
      </c>
      <c r="E21" s="38">
        <f t="shared" si="4"/>
        <v>-13663716</v>
      </c>
      <c r="F21" s="60">
        <f>'TIE-OUT'!V21+RECLASS!T21</f>
        <v>0</v>
      </c>
      <c r="G21" s="38">
        <f>'TIE-OUT'!W21+RECLASS!U21</f>
        <v>0</v>
      </c>
      <c r="H21" s="120">
        <f>+Actuals!E451</f>
        <v>-5979904</v>
      </c>
      <c r="I21" s="121">
        <f>+Actuals!F451</f>
        <v>-13705316</v>
      </c>
      <c r="J21" s="120">
        <f>+Actuals!G451</f>
        <v>5959267</v>
      </c>
      <c r="K21" s="121">
        <f>+Actuals!H451</f>
        <v>13662391</v>
      </c>
      <c r="L21" s="120">
        <f>+Actuals!I451</f>
        <v>0</v>
      </c>
      <c r="M21" s="121">
        <f>+Actuals!J451</f>
        <v>0</v>
      </c>
      <c r="N21" s="120">
        <f>+Actuals!K451</f>
        <v>0</v>
      </c>
      <c r="O21" s="121">
        <f>+Actuals!L451</f>
        <v>0</v>
      </c>
      <c r="P21" s="120">
        <f>+Actuals!M451</f>
        <v>0</v>
      </c>
      <c r="Q21" s="121">
        <f>+Actuals!N451</f>
        <v>0</v>
      </c>
      <c r="R21" s="120">
        <f>+Actuals!O451</f>
        <v>0</v>
      </c>
      <c r="S21" s="121">
        <f>+Actuals!P451</f>
        <v>0</v>
      </c>
      <c r="T21" s="120">
        <f>+Actuals!Q451</f>
        <v>-5939267</v>
      </c>
      <c r="U21" s="121">
        <f>+Actuals!R451</f>
        <v>-13620791</v>
      </c>
      <c r="V21" s="120">
        <f>+Actuals!S451</f>
        <v>0</v>
      </c>
      <c r="W21" s="121">
        <f>+Actuals!T451</f>
        <v>0</v>
      </c>
      <c r="X21" s="120">
        <f>+Actuals!U451</f>
        <v>0</v>
      </c>
      <c r="Y21" s="121">
        <f>+Actuals!V451</f>
        <v>0</v>
      </c>
      <c r="Z21" s="120">
        <f>+Actuals!W451</f>
        <v>0</v>
      </c>
      <c r="AA21" s="121">
        <f>+Actuals!X451</f>
        <v>0</v>
      </c>
      <c r="AB21" s="120">
        <f>+Actuals!Y451</f>
        <v>0</v>
      </c>
      <c r="AC21" s="121">
        <f>+Actuals!Z451</f>
        <v>0</v>
      </c>
      <c r="AD21" s="120">
        <f>+Actuals!AA451</f>
        <v>0</v>
      </c>
      <c r="AE21" s="121">
        <f>+Actuals!AB451</f>
        <v>0</v>
      </c>
      <c r="AF21" s="120">
        <f>+Actuals!AC451</f>
        <v>0</v>
      </c>
      <c r="AG21" s="121">
        <f>+Actuals!AD451</f>
        <v>0</v>
      </c>
      <c r="AH21" s="120">
        <f>+Actuals!AE451</f>
        <v>0</v>
      </c>
      <c r="AI21" s="121">
        <f>+Actuals!AF451</f>
        <v>0</v>
      </c>
      <c r="AJ21" s="120">
        <f>+Actuals!AG451</f>
        <v>0</v>
      </c>
      <c r="AK21" s="121">
        <f>+Actuals!AH451</f>
        <v>0</v>
      </c>
      <c r="AL21" s="120">
        <f>+Actuals!AI451</f>
        <v>0</v>
      </c>
      <c r="AM21" s="121">
        <f>+Actuals!AJ451</f>
        <v>0</v>
      </c>
      <c r="AN21" s="120">
        <f>+Actuals!AK451</f>
        <v>0</v>
      </c>
      <c r="AO21" s="121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'TIE-OUT'!V22+RECLASS!T22</f>
        <v>0</v>
      </c>
      <c r="G22" s="38">
        <f>'TIE-OUT'!W22+RECLASS!U22</f>
        <v>0</v>
      </c>
      <c r="H22" s="120">
        <f>+Actuals!E452</f>
        <v>0</v>
      </c>
      <c r="I22" s="121">
        <f>+Actuals!F452</f>
        <v>0</v>
      </c>
      <c r="J22" s="120">
        <f>+Actuals!G452</f>
        <v>0</v>
      </c>
      <c r="K22" s="121">
        <f>+Actuals!H452</f>
        <v>0</v>
      </c>
      <c r="L22" s="120">
        <f>+Actuals!I452</f>
        <v>0</v>
      </c>
      <c r="M22" s="121">
        <f>+Actuals!J452</f>
        <v>0</v>
      </c>
      <c r="N22" s="120">
        <f>+Actuals!K452</f>
        <v>0</v>
      </c>
      <c r="O22" s="121">
        <f>+Actuals!L452</f>
        <v>0</v>
      </c>
      <c r="P22" s="120">
        <f>+Actuals!M452</f>
        <v>0</v>
      </c>
      <c r="Q22" s="121">
        <f>+Actuals!N452</f>
        <v>0</v>
      </c>
      <c r="R22" s="120">
        <f>+Actuals!O452</f>
        <v>0</v>
      </c>
      <c r="S22" s="121">
        <f>+Actuals!P452</f>
        <v>0</v>
      </c>
      <c r="T22" s="120">
        <f>+Actuals!Q452</f>
        <v>0</v>
      </c>
      <c r="U22" s="121">
        <f>+Actuals!R452</f>
        <v>0</v>
      </c>
      <c r="V22" s="120">
        <f>+Actuals!S452</f>
        <v>0</v>
      </c>
      <c r="W22" s="121">
        <f>+Actuals!T452</f>
        <v>0</v>
      </c>
      <c r="X22" s="120">
        <f>+Actuals!U452</f>
        <v>0</v>
      </c>
      <c r="Y22" s="121">
        <f>+Actuals!V452</f>
        <v>0</v>
      </c>
      <c r="Z22" s="120">
        <f>+Actuals!W452</f>
        <v>0</v>
      </c>
      <c r="AA22" s="121">
        <f>+Actuals!X452</f>
        <v>0</v>
      </c>
      <c r="AB22" s="120">
        <f>+Actuals!Y452</f>
        <v>0</v>
      </c>
      <c r="AC22" s="121">
        <f>+Actuals!Z452</f>
        <v>0</v>
      </c>
      <c r="AD22" s="120">
        <f>+Actuals!AA452</f>
        <v>0</v>
      </c>
      <c r="AE22" s="121">
        <f>+Actuals!AB452</f>
        <v>0</v>
      </c>
      <c r="AF22" s="120">
        <f>+Actuals!AC452</f>
        <v>0</v>
      </c>
      <c r="AG22" s="121">
        <f>+Actuals!AD452</f>
        <v>0</v>
      </c>
      <c r="AH22" s="120">
        <f>+Actuals!AE452</f>
        <v>0</v>
      </c>
      <c r="AI22" s="121">
        <f>+Actuals!AF452</f>
        <v>0</v>
      </c>
      <c r="AJ22" s="120">
        <f>+Actuals!AG452</f>
        <v>0</v>
      </c>
      <c r="AK22" s="121">
        <f>+Actuals!AH452</f>
        <v>0</v>
      </c>
      <c r="AL22" s="120">
        <f>+Actuals!AI452</f>
        <v>0</v>
      </c>
      <c r="AM22" s="121">
        <f>+Actuals!AJ452</f>
        <v>0</v>
      </c>
      <c r="AN22" s="120">
        <f>+Actuals!AK452</f>
        <v>0</v>
      </c>
      <c r="AO22" s="121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4777</v>
      </c>
      <c r="E23" s="38">
        <f t="shared" si="4"/>
        <v>9778.5190000000002</v>
      </c>
      <c r="F23" s="81">
        <f>'TIE-OUT'!V23+RECLASS!T23</f>
        <v>0</v>
      </c>
      <c r="G23" s="82">
        <f>'TIE-OUT'!W23+RECLASS!U23</f>
        <v>0</v>
      </c>
      <c r="H23" s="120">
        <f>+Actuals!E453</f>
        <v>4340</v>
      </c>
      <c r="I23" s="121">
        <f>+Actuals!F453</f>
        <v>8883.98</v>
      </c>
      <c r="J23" s="120">
        <f>+Actuals!G453</f>
        <v>422</v>
      </c>
      <c r="K23" s="121">
        <f>+Actuals!H453</f>
        <v>863.83399999999995</v>
      </c>
      <c r="L23" s="120">
        <f>+Actuals!I453</f>
        <v>15</v>
      </c>
      <c r="M23" s="121">
        <f>+Actuals!J453</f>
        <v>30.704999999999998</v>
      </c>
      <c r="N23" s="120">
        <f>+Actuals!K453</f>
        <v>0</v>
      </c>
      <c r="O23" s="121">
        <f>+Actuals!L453</f>
        <v>0</v>
      </c>
      <c r="P23" s="120">
        <f>+Actuals!M453</f>
        <v>0</v>
      </c>
      <c r="Q23" s="121">
        <f>+Actuals!N453</f>
        <v>0</v>
      </c>
      <c r="R23" s="120">
        <f>+Actuals!O453</f>
        <v>0</v>
      </c>
      <c r="S23" s="121">
        <f>+Actuals!P453</f>
        <v>0</v>
      </c>
      <c r="T23" s="120">
        <f>+Actuals!Q453</f>
        <v>0</v>
      </c>
      <c r="U23" s="121">
        <f>+Actuals!R453</f>
        <v>0</v>
      </c>
      <c r="V23" s="120">
        <f>+Actuals!S453</f>
        <v>0</v>
      </c>
      <c r="W23" s="121">
        <f>+Actuals!T453</f>
        <v>0</v>
      </c>
      <c r="X23" s="120">
        <f>+Actuals!U453</f>
        <v>0</v>
      </c>
      <c r="Y23" s="121">
        <f>+Actuals!V453</f>
        <v>0</v>
      </c>
      <c r="Z23" s="120">
        <f>+Actuals!W453</f>
        <v>0</v>
      </c>
      <c r="AA23" s="121">
        <f>+Actuals!X453</f>
        <v>0</v>
      </c>
      <c r="AB23" s="120">
        <f>+Actuals!Y453</f>
        <v>0</v>
      </c>
      <c r="AC23" s="121">
        <f>+Actuals!Z453</f>
        <v>0</v>
      </c>
      <c r="AD23" s="120">
        <f>+Actuals!AA453</f>
        <v>0</v>
      </c>
      <c r="AE23" s="121">
        <f>+Actuals!AB453</f>
        <v>0</v>
      </c>
      <c r="AF23" s="120">
        <f>+Actuals!AC453</f>
        <v>0</v>
      </c>
      <c r="AG23" s="121">
        <f>+Actuals!AD453</f>
        <v>0</v>
      </c>
      <c r="AH23" s="120">
        <f>+Actuals!AE453</f>
        <v>0</v>
      </c>
      <c r="AI23" s="121">
        <f>+Actuals!AF453</f>
        <v>0</v>
      </c>
      <c r="AJ23" s="120">
        <f>+Actuals!AG453</f>
        <v>0</v>
      </c>
      <c r="AK23" s="121">
        <f>+Actuals!AH453</f>
        <v>0</v>
      </c>
      <c r="AL23" s="120">
        <f>+Actuals!AI453</f>
        <v>0</v>
      </c>
      <c r="AM23" s="121">
        <f>+Actuals!AJ453</f>
        <v>0</v>
      </c>
      <c r="AN23" s="120">
        <f>+Actuals!AK453</f>
        <v>0</v>
      </c>
      <c r="AO23" s="121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-6519538</v>
      </c>
      <c r="E24" s="39">
        <f t="shared" si="5"/>
        <v>-12743937.701000001</v>
      </c>
      <c r="F24" s="61">
        <f t="shared" si="5"/>
        <v>0</v>
      </c>
      <c r="G24" s="39">
        <f t="shared" si="5"/>
        <v>2153447.11</v>
      </c>
      <c r="H24" s="61">
        <f t="shared" si="5"/>
        <v>-6520581</v>
      </c>
      <c r="I24" s="39">
        <f t="shared" si="5"/>
        <v>-14885027.33</v>
      </c>
      <c r="J24" s="61">
        <f t="shared" ref="J24:AO24" si="6">SUM(J19:J23)</f>
        <v>5628319</v>
      </c>
      <c r="K24" s="39">
        <f t="shared" si="6"/>
        <v>14089202.814000001</v>
      </c>
      <c r="L24" s="61">
        <f t="shared" si="6"/>
        <v>518991</v>
      </c>
      <c r="M24" s="39">
        <f t="shared" si="6"/>
        <v>1054874.5750000002</v>
      </c>
      <c r="N24" s="61">
        <f t="shared" ref="N24:S24" si="7">SUM(N19:N23)</f>
        <v>-725976</v>
      </c>
      <c r="O24" s="39">
        <f t="shared" si="7"/>
        <v>-1535643.87</v>
      </c>
      <c r="P24" s="61">
        <f t="shared" si="7"/>
        <v>518976</v>
      </c>
      <c r="Q24" s="39">
        <f t="shared" si="7"/>
        <v>1062343.8700000001</v>
      </c>
      <c r="R24" s="61">
        <f t="shared" si="7"/>
        <v>0</v>
      </c>
      <c r="S24" s="39">
        <f t="shared" si="7"/>
        <v>-1062343.8700000001</v>
      </c>
      <c r="T24" s="61">
        <f t="shared" si="6"/>
        <v>-5939267</v>
      </c>
      <c r="U24" s="39">
        <f t="shared" si="6"/>
        <v>-13620791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2999547</v>
      </c>
      <c r="E27" s="38">
        <f>SUM(G27,I27,K27,M27,O27,Q27,S27,U27,W27,Y27,AA27,AC27,AE27)</f>
        <v>6852685.8199999994</v>
      </c>
      <c r="F27" s="64">
        <f>'TIE-OUT'!V27+RECLASS!T27</f>
        <v>0</v>
      </c>
      <c r="G27" s="68">
        <f>'TIE-OUT'!W27+RECLASS!U27</f>
        <v>0</v>
      </c>
      <c r="H27" s="120">
        <f>+Actuals!E454</f>
        <v>2986570</v>
      </c>
      <c r="I27" s="121">
        <f>+Actuals!F454</f>
        <v>6816749.0700000003</v>
      </c>
      <c r="J27" s="120">
        <f>+Actuals!G454</f>
        <v>0</v>
      </c>
      <c r="K27" s="121">
        <f>+Actuals!H454</f>
        <v>1019.39</v>
      </c>
      <c r="L27" s="120">
        <f>+Actuals!I454</f>
        <v>13001</v>
      </c>
      <c r="M27" s="121">
        <f>+Actuals!J454</f>
        <v>34972.14</v>
      </c>
      <c r="N27" s="120">
        <f>+Actuals!K454</f>
        <v>-24</v>
      </c>
      <c r="O27" s="121">
        <f>+Actuals!L454</f>
        <v>-54.78</v>
      </c>
      <c r="P27" s="120">
        <f>+Actuals!M454</f>
        <v>0</v>
      </c>
      <c r="Q27" s="121">
        <f>+Actuals!N454</f>
        <v>0</v>
      </c>
      <c r="R27" s="120">
        <f>+Actuals!O454</f>
        <v>0</v>
      </c>
      <c r="S27" s="121">
        <f>+Actuals!P454</f>
        <v>0</v>
      </c>
      <c r="T27" s="120">
        <f>+Actuals!Q454</f>
        <v>0</v>
      </c>
      <c r="U27" s="121">
        <f>+Actuals!R454</f>
        <v>0</v>
      </c>
      <c r="V27" s="120">
        <f>+Actuals!S454</f>
        <v>0</v>
      </c>
      <c r="W27" s="121">
        <f>+Actuals!T454</f>
        <v>0</v>
      </c>
      <c r="X27" s="120">
        <f>+Actuals!U454</f>
        <v>0</v>
      </c>
      <c r="Y27" s="121">
        <f>+Actuals!V454</f>
        <v>0</v>
      </c>
      <c r="Z27" s="120">
        <f>+Actuals!W454</f>
        <v>0</v>
      </c>
      <c r="AA27" s="121">
        <f>+Actuals!X454</f>
        <v>0</v>
      </c>
      <c r="AB27" s="120">
        <f>+Actuals!Y454</f>
        <v>0</v>
      </c>
      <c r="AC27" s="121">
        <f>+Actuals!Z454</f>
        <v>0</v>
      </c>
      <c r="AD27" s="120">
        <f>+Actuals!AA454</f>
        <v>0</v>
      </c>
      <c r="AE27" s="121">
        <f>+Actuals!AB454</f>
        <v>0</v>
      </c>
      <c r="AF27" s="120">
        <f>+Actuals!AC454</f>
        <v>0</v>
      </c>
      <c r="AG27" s="121">
        <f>+Actuals!AD454</f>
        <v>0</v>
      </c>
      <c r="AH27" s="120">
        <f>+Actuals!AE454</f>
        <v>0</v>
      </c>
      <c r="AI27" s="121">
        <f>+Actuals!AF454</f>
        <v>0</v>
      </c>
      <c r="AJ27" s="120">
        <f>+Actuals!AG454</f>
        <v>0</v>
      </c>
      <c r="AK27" s="121">
        <f>+Actuals!AH454</f>
        <v>0</v>
      </c>
      <c r="AL27" s="120">
        <f>+Actuals!AI454</f>
        <v>0</v>
      </c>
      <c r="AM27" s="121">
        <f>+Actuals!AJ454</f>
        <v>0</v>
      </c>
      <c r="AN27" s="120">
        <f>+Actuals!AK454</f>
        <v>0</v>
      </c>
      <c r="AO27" s="121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-15842286</v>
      </c>
      <c r="E28" s="38">
        <f>SUM(G28,I28,K28,M28,O28,Q28,S28,U28,W28,Y28,AA28,AC28,AE28)</f>
        <v>-36292194.670000002</v>
      </c>
      <c r="F28" s="81">
        <f>'TIE-OUT'!V28+RECLASS!T28</f>
        <v>0</v>
      </c>
      <c r="G28" s="82">
        <f>'TIE-OUT'!W28+RECLASS!U28</f>
        <v>0</v>
      </c>
      <c r="H28" s="120">
        <f>+Actuals!E455</f>
        <v>-7129577</v>
      </c>
      <c r="I28" s="121">
        <f>+Actuals!F455</f>
        <v>-15857794.720000001</v>
      </c>
      <c r="J28" s="120">
        <f>+Actuals!G455</f>
        <v>-8556978</v>
      </c>
      <c r="K28" s="121">
        <f>+Actuals!H455</f>
        <v>-20077892.350000001</v>
      </c>
      <c r="L28" s="120">
        <f>+Actuals!I455</f>
        <v>-303649</v>
      </c>
      <c r="M28" s="121">
        <f>+Actuals!J455</f>
        <v>-716308.93</v>
      </c>
      <c r="N28" s="120">
        <f>+Actuals!K455</f>
        <v>160661</v>
      </c>
      <c r="O28" s="121">
        <f>+Actuals!L455</f>
        <v>379786.4</v>
      </c>
      <c r="P28" s="120">
        <f>+Actuals!M455</f>
        <v>30385</v>
      </c>
      <c r="Q28" s="121">
        <f>+Actuals!N455</f>
        <v>71262.47</v>
      </c>
      <c r="R28" s="120">
        <f>+Actuals!O455</f>
        <v>-18275</v>
      </c>
      <c r="S28" s="121">
        <f>+Actuals!P455</f>
        <v>-44669.440000000002</v>
      </c>
      <c r="T28" s="120">
        <f>+Actuals!Q455</f>
        <v>-24897</v>
      </c>
      <c r="U28" s="121">
        <f>+Actuals!R455</f>
        <v>-46682.59</v>
      </c>
      <c r="V28" s="120">
        <v>-68488</v>
      </c>
      <c r="W28" s="121">
        <v>-144506.54999999999</v>
      </c>
      <c r="X28" s="120">
        <v>68518</v>
      </c>
      <c r="Y28" s="121">
        <v>144576.94</v>
      </c>
      <c r="Z28" s="120">
        <v>14</v>
      </c>
      <c r="AA28" s="121">
        <v>34.1</v>
      </c>
      <c r="AB28" s="120">
        <f>+Actuals!Y455</f>
        <v>0</v>
      </c>
      <c r="AC28" s="121">
        <f>+Actuals!Z455</f>
        <v>0</v>
      </c>
      <c r="AD28" s="120">
        <f>+Actuals!AA455</f>
        <v>0</v>
      </c>
      <c r="AE28" s="121">
        <f>+Actuals!AB455</f>
        <v>0</v>
      </c>
      <c r="AF28" s="120">
        <f>+Actuals!AC455</f>
        <v>0</v>
      </c>
      <c r="AG28" s="121">
        <f>+Actuals!AD455</f>
        <v>0</v>
      </c>
      <c r="AH28" s="120">
        <f>+Actuals!AE455</f>
        <v>0</v>
      </c>
      <c r="AI28" s="121">
        <f>+Actuals!AF455</f>
        <v>0</v>
      </c>
      <c r="AJ28" s="120">
        <f>+Actuals!AG455</f>
        <v>0</v>
      </c>
      <c r="AK28" s="121">
        <f>+Actuals!AH455</f>
        <v>0</v>
      </c>
      <c r="AL28" s="120">
        <f>+Actuals!AI455</f>
        <v>0</v>
      </c>
      <c r="AM28" s="121">
        <f>+Actuals!AJ455</f>
        <v>0</v>
      </c>
      <c r="AN28" s="120">
        <f>+Actuals!AK455</f>
        <v>0</v>
      </c>
      <c r="AO28" s="121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8">SUM(D27:D28)</f>
        <v>-12842739</v>
      </c>
      <c r="E29" s="39">
        <f t="shared" si="8"/>
        <v>-29439508.850000001</v>
      </c>
      <c r="F29" s="61">
        <f t="shared" si="8"/>
        <v>0</v>
      </c>
      <c r="G29" s="39">
        <f t="shared" si="8"/>
        <v>0</v>
      </c>
      <c r="H29" s="61">
        <f t="shared" si="8"/>
        <v>-4143007</v>
      </c>
      <c r="I29" s="39">
        <f t="shared" si="8"/>
        <v>-9041045.6500000004</v>
      </c>
      <c r="J29" s="61">
        <f t="shared" ref="J29:AO29" si="9">SUM(J27:J28)</f>
        <v>-8556978</v>
      </c>
      <c r="K29" s="39">
        <f t="shared" si="9"/>
        <v>-20076872.960000001</v>
      </c>
      <c r="L29" s="61">
        <f t="shared" si="9"/>
        <v>-290648</v>
      </c>
      <c r="M29" s="39">
        <f t="shared" si="9"/>
        <v>-681336.79</v>
      </c>
      <c r="N29" s="61">
        <f t="shared" ref="N29:S29" si="10">SUM(N27:N28)</f>
        <v>160637</v>
      </c>
      <c r="O29" s="39">
        <f t="shared" si="10"/>
        <v>379731.62</v>
      </c>
      <c r="P29" s="61">
        <f t="shared" si="10"/>
        <v>30385</v>
      </c>
      <c r="Q29" s="39">
        <f t="shared" si="10"/>
        <v>71262.47</v>
      </c>
      <c r="R29" s="61">
        <f t="shared" si="10"/>
        <v>-18275</v>
      </c>
      <c r="S29" s="39">
        <f t="shared" si="10"/>
        <v>-44669.440000000002</v>
      </c>
      <c r="T29" s="61">
        <f t="shared" si="9"/>
        <v>-24897</v>
      </c>
      <c r="U29" s="39">
        <f t="shared" si="9"/>
        <v>-46682.59</v>
      </c>
      <c r="V29" s="61">
        <f t="shared" si="9"/>
        <v>-68488</v>
      </c>
      <c r="W29" s="39">
        <f t="shared" si="9"/>
        <v>-144506.54999999999</v>
      </c>
      <c r="X29" s="61">
        <f t="shared" si="9"/>
        <v>68518</v>
      </c>
      <c r="Y29" s="39">
        <f t="shared" si="9"/>
        <v>144576.94</v>
      </c>
      <c r="Z29" s="61">
        <f t="shared" si="9"/>
        <v>14</v>
      </c>
      <c r="AA29" s="39">
        <f t="shared" si="9"/>
        <v>34.1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-2807</v>
      </c>
      <c r="E32" s="38">
        <f t="shared" si="11"/>
        <v>-5745.9759999992175</v>
      </c>
      <c r="F32" s="64">
        <f>'TIE-OUT'!V32+RECLASS!T32</f>
        <v>0</v>
      </c>
      <c r="G32" s="68">
        <f>'TIE-OUT'!W32+RECLASS!U32</f>
        <v>0</v>
      </c>
      <c r="H32" s="120">
        <f>+Actuals!E456</f>
        <v>-7927979</v>
      </c>
      <c r="I32" s="121">
        <f>+Actuals!F456</f>
        <v>-16228573.013</v>
      </c>
      <c r="J32" s="120">
        <f>+Actuals!G456</f>
        <v>8242254</v>
      </c>
      <c r="K32" s="121">
        <f>+Actuals!H456</f>
        <v>16871893.938000001</v>
      </c>
      <c r="L32" s="120">
        <f>+Actuals!I456</f>
        <v>-315305</v>
      </c>
      <c r="M32" s="121">
        <f>+Actuals!J456</f>
        <v>-645429.33499999996</v>
      </c>
      <c r="N32" s="120">
        <f>+Actuals!K456</f>
        <v>-202</v>
      </c>
      <c r="O32" s="121">
        <f>+Actuals!L456</f>
        <v>-413.49400000000003</v>
      </c>
      <c r="P32" s="120">
        <f>+Actuals!M456</f>
        <v>-1599</v>
      </c>
      <c r="Q32" s="121">
        <f>+Actuals!N456</f>
        <v>-3273.1529999999998</v>
      </c>
      <c r="R32" s="120">
        <f>+Actuals!O456</f>
        <v>40</v>
      </c>
      <c r="S32" s="121">
        <f>+Actuals!P456</f>
        <v>81.88</v>
      </c>
      <c r="T32" s="120">
        <f>+Actuals!Q456</f>
        <v>43</v>
      </c>
      <c r="U32" s="121">
        <f>+Actuals!R456</f>
        <v>88.021000000000001</v>
      </c>
      <c r="V32" s="120">
        <v>-32</v>
      </c>
      <c r="W32" s="121">
        <v>-65.5</v>
      </c>
      <c r="X32" s="120">
        <v>1</v>
      </c>
      <c r="Y32" s="121">
        <v>2</v>
      </c>
      <c r="Z32" s="120">
        <v>-28</v>
      </c>
      <c r="AA32" s="121">
        <v>-57.32</v>
      </c>
      <c r="AB32" s="120">
        <f>+Actuals!Y456</f>
        <v>0</v>
      </c>
      <c r="AC32" s="121">
        <f>+Actuals!Z456</f>
        <v>0</v>
      </c>
      <c r="AD32" s="120">
        <f>+Actuals!AA456</f>
        <v>0</v>
      </c>
      <c r="AE32" s="121">
        <f>+Actuals!AB456</f>
        <v>0</v>
      </c>
      <c r="AF32" s="120">
        <f>+Actuals!AC456</f>
        <v>0</v>
      </c>
      <c r="AG32" s="121">
        <f>+Actuals!AD456</f>
        <v>0</v>
      </c>
      <c r="AH32" s="120">
        <f>+Actuals!AE456</f>
        <v>0</v>
      </c>
      <c r="AI32" s="121">
        <f>+Actuals!AF456</f>
        <v>0</v>
      </c>
      <c r="AJ32" s="120">
        <f>+Actuals!AG456</f>
        <v>0</v>
      </c>
      <c r="AK32" s="121">
        <f>+Actuals!AH456</f>
        <v>0</v>
      </c>
      <c r="AL32" s="120">
        <f>+Actuals!AI456</f>
        <v>0</v>
      </c>
      <c r="AM32" s="121">
        <f>+Actuals!AJ456</f>
        <v>0</v>
      </c>
      <c r="AN32" s="120">
        <f>+Actuals!AK456</f>
        <v>0</v>
      </c>
      <c r="AO32" s="121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60">
        <f>'TIE-OUT'!V33+RECLASS!T33</f>
        <v>0</v>
      </c>
      <c r="G33" s="38">
        <f>'TIE-OUT'!W33+RECLASS!U33</f>
        <v>0</v>
      </c>
      <c r="H33" s="120">
        <f>+Actuals!E457</f>
        <v>0</v>
      </c>
      <c r="I33" s="121">
        <f>+Actuals!F457</f>
        <v>0</v>
      </c>
      <c r="J33" s="120">
        <f>+Actuals!G457</f>
        <v>0</v>
      </c>
      <c r="K33" s="121">
        <f>+Actuals!H457</f>
        <v>0</v>
      </c>
      <c r="L33" s="120">
        <f>+Actuals!I457</f>
        <v>0</v>
      </c>
      <c r="M33" s="121">
        <f>+Actuals!J457</f>
        <v>0</v>
      </c>
      <c r="N33" s="120">
        <f>+Actuals!K457</f>
        <v>0</v>
      </c>
      <c r="O33" s="121">
        <f>+Actuals!L457</f>
        <v>0</v>
      </c>
      <c r="P33" s="120">
        <f>+Actuals!M457</f>
        <v>0</v>
      </c>
      <c r="Q33" s="121">
        <f>+Actuals!N457</f>
        <v>0</v>
      </c>
      <c r="R33" s="120">
        <f>+Actuals!O457</f>
        <v>0</v>
      </c>
      <c r="S33" s="121">
        <f>+Actuals!P457</f>
        <v>0</v>
      </c>
      <c r="T33" s="120">
        <f>+Actuals!Q457</f>
        <v>0</v>
      </c>
      <c r="U33" s="121">
        <f>+Actuals!R457</f>
        <v>0</v>
      </c>
      <c r="V33" s="120">
        <f>+Actuals!S457</f>
        <v>0</v>
      </c>
      <c r="W33" s="121">
        <f>+Actuals!T457</f>
        <v>0</v>
      </c>
      <c r="X33" s="120">
        <f>+Actuals!U457</f>
        <v>0</v>
      </c>
      <c r="Y33" s="121">
        <f>+Actuals!V457</f>
        <v>0</v>
      </c>
      <c r="Z33" s="120">
        <f>+Actuals!W457</f>
        <v>0</v>
      </c>
      <c r="AA33" s="121">
        <f>+Actuals!X457</f>
        <v>0</v>
      </c>
      <c r="AB33" s="120">
        <f>+Actuals!Y457</f>
        <v>0</v>
      </c>
      <c r="AC33" s="121">
        <f>+Actuals!Z457</f>
        <v>0</v>
      </c>
      <c r="AD33" s="120">
        <f>+Actuals!AA457</f>
        <v>0</v>
      </c>
      <c r="AE33" s="121">
        <f>+Actuals!AB457</f>
        <v>0</v>
      </c>
      <c r="AF33" s="120">
        <f>+Actuals!AC457</f>
        <v>0</v>
      </c>
      <c r="AG33" s="121">
        <f>+Actuals!AD457</f>
        <v>0</v>
      </c>
      <c r="AH33" s="120">
        <f>+Actuals!AE457</f>
        <v>0</v>
      </c>
      <c r="AI33" s="121">
        <f>+Actuals!AF457</f>
        <v>0</v>
      </c>
      <c r="AJ33" s="120">
        <f>+Actuals!AG457</f>
        <v>0</v>
      </c>
      <c r="AK33" s="121">
        <f>+Actuals!AH457</f>
        <v>0</v>
      </c>
      <c r="AL33" s="120">
        <f>+Actuals!AI457</f>
        <v>0</v>
      </c>
      <c r="AM33" s="121">
        <f>+Actuals!AJ457</f>
        <v>0</v>
      </c>
      <c r="AN33" s="120">
        <f>+Actuals!AK457</f>
        <v>0</v>
      </c>
      <c r="AO33" s="121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60">
        <f>'TIE-OUT'!V34+RECLASS!T34</f>
        <v>0</v>
      </c>
      <c r="G34" s="38">
        <f>'TIE-OUT'!W34+RECLASS!U34</f>
        <v>0</v>
      </c>
      <c r="H34" s="120">
        <f>+Actuals!E458</f>
        <v>0</v>
      </c>
      <c r="I34" s="121">
        <f>+Actuals!F458</f>
        <v>0</v>
      </c>
      <c r="J34" s="120">
        <f>+Actuals!G458</f>
        <v>0</v>
      </c>
      <c r="K34" s="121">
        <f>+Actuals!H458</f>
        <v>0</v>
      </c>
      <c r="L34" s="120">
        <f>+Actuals!I458</f>
        <v>0</v>
      </c>
      <c r="M34" s="121">
        <f>+Actuals!J458</f>
        <v>0</v>
      </c>
      <c r="N34" s="120">
        <f>+Actuals!K458</f>
        <v>0</v>
      </c>
      <c r="O34" s="121">
        <f>+Actuals!L458</f>
        <v>0</v>
      </c>
      <c r="P34" s="120">
        <f>+Actuals!M458</f>
        <v>0</v>
      </c>
      <c r="Q34" s="121">
        <f>+Actuals!N458</f>
        <v>0</v>
      </c>
      <c r="R34" s="120">
        <f>+Actuals!O458</f>
        <v>0</v>
      </c>
      <c r="S34" s="121">
        <f>+Actuals!P458</f>
        <v>0</v>
      </c>
      <c r="T34" s="120">
        <f>+Actuals!Q458</f>
        <v>0</v>
      </c>
      <c r="U34" s="121">
        <f>+Actuals!R458</f>
        <v>0</v>
      </c>
      <c r="V34" s="120">
        <f>+Actuals!S458</f>
        <v>0</v>
      </c>
      <c r="W34" s="121">
        <f>+Actuals!T458</f>
        <v>0</v>
      </c>
      <c r="X34" s="120">
        <f>+Actuals!U458</f>
        <v>0</v>
      </c>
      <c r="Y34" s="121">
        <f>+Actuals!V458</f>
        <v>0</v>
      </c>
      <c r="Z34" s="120">
        <f>+Actuals!W458</f>
        <v>0</v>
      </c>
      <c r="AA34" s="121">
        <f>+Actuals!X458</f>
        <v>0</v>
      </c>
      <c r="AB34" s="120">
        <f>+Actuals!Y458</f>
        <v>0</v>
      </c>
      <c r="AC34" s="121">
        <f>+Actuals!Z458</f>
        <v>0</v>
      </c>
      <c r="AD34" s="120">
        <f>+Actuals!AA458</f>
        <v>0</v>
      </c>
      <c r="AE34" s="121">
        <f>+Actuals!AB458</f>
        <v>0</v>
      </c>
      <c r="AF34" s="120">
        <f>+Actuals!AC458</f>
        <v>0</v>
      </c>
      <c r="AG34" s="121">
        <f>+Actuals!AD458</f>
        <v>0</v>
      </c>
      <c r="AH34" s="120">
        <f>+Actuals!AE458</f>
        <v>0</v>
      </c>
      <c r="AI34" s="121">
        <f>+Actuals!AF458</f>
        <v>0</v>
      </c>
      <c r="AJ34" s="120">
        <f>+Actuals!AG458</f>
        <v>0</v>
      </c>
      <c r="AK34" s="121">
        <f>+Actuals!AH458</f>
        <v>0</v>
      </c>
      <c r="AL34" s="120">
        <f>+Actuals!AI458</f>
        <v>0</v>
      </c>
      <c r="AM34" s="121">
        <f>+Actuals!AJ458</f>
        <v>0</v>
      </c>
      <c r="AN34" s="120">
        <f>+Actuals!AK458</f>
        <v>0</v>
      </c>
      <c r="AO34" s="121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0</v>
      </c>
      <c r="F35" s="81">
        <f>'TIE-OUT'!V35+RECLASS!T35</f>
        <v>0</v>
      </c>
      <c r="G35" s="82">
        <f>'TIE-OUT'!W35+RECLASS!U35</f>
        <v>0</v>
      </c>
      <c r="H35" s="120">
        <f>+Actuals!E459</f>
        <v>0</v>
      </c>
      <c r="I35" s="121">
        <f>+Actuals!F459</f>
        <v>0</v>
      </c>
      <c r="J35" s="120">
        <f>+Actuals!G459</f>
        <v>0</v>
      </c>
      <c r="K35" s="121">
        <f>+Actuals!H459</f>
        <v>0</v>
      </c>
      <c r="L35" s="120">
        <f>+Actuals!I459</f>
        <v>0</v>
      </c>
      <c r="M35" s="121">
        <f>+Actuals!J459</f>
        <v>0</v>
      </c>
      <c r="N35" s="120">
        <f>+Actuals!K459</f>
        <v>0</v>
      </c>
      <c r="O35" s="121">
        <f>+Actuals!L459</f>
        <v>0</v>
      </c>
      <c r="P35" s="120">
        <f>+Actuals!M459</f>
        <v>0</v>
      </c>
      <c r="Q35" s="121">
        <f>+Actuals!N459</f>
        <v>0</v>
      </c>
      <c r="R35" s="120">
        <f>+Actuals!O459</f>
        <v>0</v>
      </c>
      <c r="S35" s="121">
        <f>+Actuals!P459</f>
        <v>0</v>
      </c>
      <c r="T35" s="120">
        <f>+Actuals!Q459</f>
        <v>0</v>
      </c>
      <c r="U35" s="121">
        <f>+Actuals!R459</f>
        <v>0</v>
      </c>
      <c r="V35" s="120">
        <f>+Actuals!S459</f>
        <v>0</v>
      </c>
      <c r="W35" s="121">
        <f>+Actuals!T459</f>
        <v>0</v>
      </c>
      <c r="X35" s="120">
        <f>+Actuals!U459</f>
        <v>0</v>
      </c>
      <c r="Y35" s="121">
        <f>+Actuals!V459</f>
        <v>0</v>
      </c>
      <c r="Z35" s="120">
        <f>+Actuals!W459</f>
        <v>0</v>
      </c>
      <c r="AA35" s="121">
        <f>+Actuals!X459</f>
        <v>0</v>
      </c>
      <c r="AB35" s="120">
        <f>+Actuals!Y459</f>
        <v>0</v>
      </c>
      <c r="AC35" s="121">
        <f>+Actuals!Z459</f>
        <v>0</v>
      </c>
      <c r="AD35" s="120">
        <f>+Actuals!AA459</f>
        <v>0</v>
      </c>
      <c r="AE35" s="121">
        <f>+Actuals!AB459</f>
        <v>0</v>
      </c>
      <c r="AF35" s="120">
        <f>+Actuals!AC459</f>
        <v>0</v>
      </c>
      <c r="AG35" s="121">
        <f>+Actuals!AD459</f>
        <v>0</v>
      </c>
      <c r="AH35" s="120">
        <f>+Actuals!AE459</f>
        <v>0</v>
      </c>
      <c r="AI35" s="121">
        <f>+Actuals!AF459</f>
        <v>0</v>
      </c>
      <c r="AJ35" s="120">
        <f>+Actuals!AG459</f>
        <v>0</v>
      </c>
      <c r="AK35" s="121">
        <f>+Actuals!AH459</f>
        <v>0</v>
      </c>
      <c r="AL35" s="120">
        <f>+Actuals!AI459</f>
        <v>0</v>
      </c>
      <c r="AM35" s="121">
        <f>+Actuals!AJ459</f>
        <v>0</v>
      </c>
      <c r="AN35" s="120">
        <f>+Actuals!AK459</f>
        <v>0</v>
      </c>
      <c r="AO35" s="121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12">SUM(D32:D35)</f>
        <v>-2807</v>
      </c>
      <c r="E36" s="39">
        <f t="shared" si="12"/>
        <v>-5745.9759999992175</v>
      </c>
      <c r="F36" s="61">
        <f t="shared" si="12"/>
        <v>0</v>
      </c>
      <c r="G36" s="39">
        <f t="shared" si="12"/>
        <v>0</v>
      </c>
      <c r="H36" s="61">
        <f t="shared" si="12"/>
        <v>-7927979</v>
      </c>
      <c r="I36" s="39">
        <f t="shared" si="12"/>
        <v>-16228573.013</v>
      </c>
      <c r="J36" s="61">
        <f t="shared" ref="J36:AO36" si="13">SUM(J32:J35)</f>
        <v>8242254</v>
      </c>
      <c r="K36" s="39">
        <f t="shared" si="13"/>
        <v>16871893.938000001</v>
      </c>
      <c r="L36" s="61">
        <f t="shared" si="13"/>
        <v>-315305</v>
      </c>
      <c r="M36" s="39">
        <f t="shared" si="13"/>
        <v>-645429.33499999996</v>
      </c>
      <c r="N36" s="61">
        <f t="shared" ref="N36:S36" si="14">SUM(N32:N35)</f>
        <v>-202</v>
      </c>
      <c r="O36" s="39">
        <f t="shared" si="14"/>
        <v>-413.49400000000003</v>
      </c>
      <c r="P36" s="61">
        <f t="shared" si="14"/>
        <v>-1599</v>
      </c>
      <c r="Q36" s="39">
        <f t="shared" si="14"/>
        <v>-3273.1529999999998</v>
      </c>
      <c r="R36" s="61">
        <f t="shared" si="14"/>
        <v>40</v>
      </c>
      <c r="S36" s="39">
        <f t="shared" si="14"/>
        <v>81.88</v>
      </c>
      <c r="T36" s="61">
        <f t="shared" si="13"/>
        <v>43</v>
      </c>
      <c r="U36" s="39">
        <f t="shared" si="13"/>
        <v>88.021000000000001</v>
      </c>
      <c r="V36" s="61">
        <f t="shared" si="13"/>
        <v>-32</v>
      </c>
      <c r="W36" s="39">
        <f t="shared" si="13"/>
        <v>-65.5</v>
      </c>
      <c r="X36" s="61">
        <f t="shared" si="13"/>
        <v>1</v>
      </c>
      <c r="Y36" s="39">
        <f t="shared" si="13"/>
        <v>2</v>
      </c>
      <c r="Z36" s="61">
        <f t="shared" si="13"/>
        <v>-28</v>
      </c>
      <c r="AA36" s="39">
        <f t="shared" si="13"/>
        <v>-57.32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0</v>
      </c>
      <c r="E39" s="38">
        <f t="shared" si="15"/>
        <v>0</v>
      </c>
      <c r="F39" s="64">
        <f>'TIE-OUT'!V39+RECLASS!T39</f>
        <v>0</v>
      </c>
      <c r="G39" s="68">
        <f>'TIE-OUT'!W39+RECLASS!U39</f>
        <v>0</v>
      </c>
      <c r="H39" s="120">
        <f>+Actuals!E460</f>
        <v>0</v>
      </c>
      <c r="I39" s="121">
        <f>+Actuals!F460</f>
        <v>0</v>
      </c>
      <c r="J39" s="120">
        <f>+Actuals!G460</f>
        <v>0</v>
      </c>
      <c r="K39" s="121">
        <f>+Actuals!H460</f>
        <v>0</v>
      </c>
      <c r="L39" s="120">
        <f>+Actuals!I460</f>
        <v>0</v>
      </c>
      <c r="M39" s="121">
        <f>+Actuals!J460</f>
        <v>0</v>
      </c>
      <c r="N39" s="120">
        <f>+Actuals!K460</f>
        <v>0</v>
      </c>
      <c r="O39" s="121">
        <f>+Actuals!L460</f>
        <v>0</v>
      </c>
      <c r="P39" s="120">
        <f>+Actuals!M460</f>
        <v>0</v>
      </c>
      <c r="Q39" s="121">
        <f>+Actuals!N460</f>
        <v>0</v>
      </c>
      <c r="R39" s="120">
        <f>+Actuals!O460</f>
        <v>0</v>
      </c>
      <c r="S39" s="121">
        <f>+Actuals!P460</f>
        <v>0</v>
      </c>
      <c r="T39" s="120">
        <f>+Actuals!Q460</f>
        <v>0</v>
      </c>
      <c r="U39" s="121">
        <f>+Actuals!R460</f>
        <v>0</v>
      </c>
      <c r="V39" s="120">
        <f>+Actuals!S460</f>
        <v>0</v>
      </c>
      <c r="W39" s="121">
        <f>+Actuals!T460</f>
        <v>0</v>
      </c>
      <c r="X39" s="120">
        <f>+Actuals!U460</f>
        <v>0</v>
      </c>
      <c r="Y39" s="121">
        <f>+Actuals!V460</f>
        <v>0</v>
      </c>
      <c r="Z39" s="120">
        <f>+Actuals!W460</f>
        <v>0</v>
      </c>
      <c r="AA39" s="121">
        <f>+Actuals!X460</f>
        <v>0</v>
      </c>
      <c r="AB39" s="120">
        <f>+Actuals!Y460</f>
        <v>0</v>
      </c>
      <c r="AC39" s="121">
        <f>+Actuals!Z460</f>
        <v>0</v>
      </c>
      <c r="AD39" s="120">
        <f>+Actuals!AA460</f>
        <v>0</v>
      </c>
      <c r="AE39" s="121">
        <f>+Actuals!AB460</f>
        <v>0</v>
      </c>
      <c r="AF39" s="120">
        <f>+Actuals!AC460</f>
        <v>0</v>
      </c>
      <c r="AG39" s="121">
        <f>+Actuals!AD460</f>
        <v>0</v>
      </c>
      <c r="AH39" s="120">
        <f>+Actuals!AE460</f>
        <v>0</v>
      </c>
      <c r="AI39" s="121">
        <f>+Actuals!AF460</f>
        <v>0</v>
      </c>
      <c r="AJ39" s="120">
        <f>+Actuals!AG460</f>
        <v>0</v>
      </c>
      <c r="AK39" s="121">
        <f>+Actuals!AH460</f>
        <v>0</v>
      </c>
      <c r="AL39" s="120">
        <f>+Actuals!AI460</f>
        <v>0</v>
      </c>
      <c r="AM39" s="121">
        <f>+Actuals!AJ460</f>
        <v>0</v>
      </c>
      <c r="AN39" s="120">
        <f>+Actuals!AK460</f>
        <v>0</v>
      </c>
      <c r="AO39" s="121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5"/>
        <v>-567916</v>
      </c>
      <c r="E40" s="38">
        <f t="shared" si="15"/>
        <v>-1330214.3899999999</v>
      </c>
      <c r="F40" s="60">
        <f>'TIE-OUT'!V40+RECLASS!T40</f>
        <v>0</v>
      </c>
      <c r="G40" s="38">
        <f>'TIE-OUT'!W40+RECLASS!U40</f>
        <v>0</v>
      </c>
      <c r="H40" s="120">
        <f>+Actuals!E461</f>
        <v>-63000</v>
      </c>
      <c r="I40" s="121">
        <f>+Actuals!F461</f>
        <v>-136177.82999999999</v>
      </c>
      <c r="J40" s="120">
        <f>+Actuals!G461</f>
        <v>-518976</v>
      </c>
      <c r="K40" s="121">
        <f>+Actuals!H461</f>
        <v>-2337060.29</v>
      </c>
      <c r="L40" s="120">
        <f>+Actuals!I461</f>
        <v>0</v>
      </c>
      <c r="M40" s="121">
        <f>+Actuals!J461</f>
        <v>0</v>
      </c>
      <c r="N40" s="120">
        <f>+Actuals!K461</f>
        <v>14060</v>
      </c>
      <c r="O40" s="121">
        <f>+Actuals!L461</f>
        <v>63312.18</v>
      </c>
      <c r="P40" s="120">
        <f>+Actuals!M461</f>
        <v>0</v>
      </c>
      <c r="Q40" s="121">
        <f>+Actuals!N461</f>
        <v>0</v>
      </c>
      <c r="R40" s="120">
        <f>+Actuals!O461</f>
        <v>0</v>
      </c>
      <c r="S40" s="121">
        <f>+Actuals!P461</f>
        <v>1079711.55</v>
      </c>
      <c r="T40" s="120">
        <f>+Actuals!Q461</f>
        <v>0</v>
      </c>
      <c r="U40" s="121">
        <f>+Actuals!R461</f>
        <v>0</v>
      </c>
      <c r="V40" s="120">
        <f>+Actuals!S461</f>
        <v>0</v>
      </c>
      <c r="W40" s="121">
        <f>+Actuals!T461</f>
        <v>0</v>
      </c>
      <c r="X40" s="120">
        <f>+Actuals!U461</f>
        <v>0</v>
      </c>
      <c r="Y40" s="121">
        <f>+Actuals!V461</f>
        <v>0</v>
      </c>
      <c r="Z40" s="120">
        <f>+Actuals!W461</f>
        <v>0</v>
      </c>
      <c r="AA40" s="121">
        <f>+Actuals!X461</f>
        <v>0</v>
      </c>
      <c r="AB40" s="120">
        <f>+Actuals!Y461</f>
        <v>0</v>
      </c>
      <c r="AC40" s="121">
        <f>+Actuals!Z461</f>
        <v>0</v>
      </c>
      <c r="AD40" s="120">
        <f>+Actuals!AA461</f>
        <v>0</v>
      </c>
      <c r="AE40" s="121">
        <f>+Actuals!AB461</f>
        <v>0</v>
      </c>
      <c r="AF40" s="120">
        <f>+Actuals!AC461</f>
        <v>0</v>
      </c>
      <c r="AG40" s="121">
        <f>+Actuals!AD461</f>
        <v>0</v>
      </c>
      <c r="AH40" s="120">
        <f>+Actuals!AE461</f>
        <v>0</v>
      </c>
      <c r="AI40" s="121">
        <f>+Actuals!AF461</f>
        <v>0</v>
      </c>
      <c r="AJ40" s="120">
        <f>+Actuals!AG461</f>
        <v>0</v>
      </c>
      <c r="AK40" s="121">
        <f>+Actuals!AH461</f>
        <v>0</v>
      </c>
      <c r="AL40" s="120">
        <f>+Actuals!AI461</f>
        <v>0</v>
      </c>
      <c r="AM40" s="121">
        <f>+Actuals!AJ461</f>
        <v>0</v>
      </c>
      <c r="AN40" s="120">
        <f>+Actuals!AK461</f>
        <v>0</v>
      </c>
      <c r="AO40" s="121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'TIE-OUT'!V41+RECLASS!T41</f>
        <v>0</v>
      </c>
      <c r="G41" s="82">
        <f>'TIE-OUT'!W41+RECLASS!U41</f>
        <v>0</v>
      </c>
      <c r="H41" s="120">
        <f>+Actuals!E462</f>
        <v>0</v>
      </c>
      <c r="I41" s="121">
        <f>+Actuals!F462</f>
        <v>0</v>
      </c>
      <c r="J41" s="120">
        <f>+Actuals!G462</f>
        <v>0</v>
      </c>
      <c r="K41" s="121">
        <f>+Actuals!H462</f>
        <v>0</v>
      </c>
      <c r="L41" s="120">
        <f>+Actuals!I462</f>
        <v>0</v>
      </c>
      <c r="M41" s="121">
        <f>+Actuals!J462</f>
        <v>0</v>
      </c>
      <c r="N41" s="120">
        <f>+Actuals!K462</f>
        <v>0</v>
      </c>
      <c r="O41" s="121">
        <f>+Actuals!L462</f>
        <v>0</v>
      </c>
      <c r="P41" s="120">
        <f>+Actuals!M462</f>
        <v>0</v>
      </c>
      <c r="Q41" s="121">
        <f>+Actuals!N462</f>
        <v>0</v>
      </c>
      <c r="R41" s="120">
        <f>+Actuals!O462</f>
        <v>0</v>
      </c>
      <c r="S41" s="121">
        <f>+Actuals!P462</f>
        <v>0</v>
      </c>
      <c r="T41" s="120">
        <f>+Actuals!Q462</f>
        <v>0</v>
      </c>
      <c r="U41" s="121">
        <f>+Actuals!R462</f>
        <v>0</v>
      </c>
      <c r="V41" s="120">
        <f>+Actuals!S462</f>
        <v>0</v>
      </c>
      <c r="W41" s="121">
        <f>+Actuals!T462</f>
        <v>0</v>
      </c>
      <c r="X41" s="120">
        <f>+Actuals!U462</f>
        <v>0</v>
      </c>
      <c r="Y41" s="121">
        <f>+Actuals!V462</f>
        <v>0</v>
      </c>
      <c r="Z41" s="120">
        <f>+Actuals!W462</f>
        <v>0</v>
      </c>
      <c r="AA41" s="121">
        <f>+Actuals!X462</f>
        <v>0</v>
      </c>
      <c r="AB41" s="120">
        <f>+Actuals!Y462</f>
        <v>0</v>
      </c>
      <c r="AC41" s="121">
        <f>+Actuals!Z462</f>
        <v>0</v>
      </c>
      <c r="AD41" s="120">
        <f>+Actuals!AA462</f>
        <v>0</v>
      </c>
      <c r="AE41" s="121">
        <f>+Actuals!AB462</f>
        <v>0</v>
      </c>
      <c r="AF41" s="120">
        <f>+Actuals!AC462</f>
        <v>0</v>
      </c>
      <c r="AG41" s="121">
        <f>+Actuals!AD462</f>
        <v>0</v>
      </c>
      <c r="AH41" s="120">
        <f>+Actuals!AE462</f>
        <v>0</v>
      </c>
      <c r="AI41" s="121">
        <f>+Actuals!AF462</f>
        <v>0</v>
      </c>
      <c r="AJ41" s="120">
        <f>+Actuals!AG462</f>
        <v>0</v>
      </c>
      <c r="AK41" s="121">
        <f>+Actuals!AH462</f>
        <v>0</v>
      </c>
      <c r="AL41" s="120">
        <f>+Actuals!AI462</f>
        <v>0</v>
      </c>
      <c r="AM41" s="121">
        <f>+Actuals!AJ462</f>
        <v>0</v>
      </c>
      <c r="AN41" s="120">
        <f>+Actuals!AK462</f>
        <v>0</v>
      </c>
      <c r="AO41" s="121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6">SUM(D40:D41)</f>
        <v>-567916</v>
      </c>
      <c r="E42" s="39">
        <f t="shared" si="16"/>
        <v>-1330214.3899999999</v>
      </c>
      <c r="F42" s="61">
        <f t="shared" si="16"/>
        <v>0</v>
      </c>
      <c r="G42" s="39">
        <f t="shared" si="16"/>
        <v>0</v>
      </c>
      <c r="H42" s="61">
        <f t="shared" si="16"/>
        <v>-63000</v>
      </c>
      <c r="I42" s="39">
        <f t="shared" si="16"/>
        <v>-136177.82999999999</v>
      </c>
      <c r="J42" s="61">
        <f t="shared" ref="J42:AO42" si="17">SUM(J40:J41)</f>
        <v>-518976</v>
      </c>
      <c r="K42" s="39">
        <f t="shared" si="17"/>
        <v>-2337060.29</v>
      </c>
      <c r="L42" s="61">
        <f t="shared" si="17"/>
        <v>0</v>
      </c>
      <c r="M42" s="39">
        <f t="shared" si="17"/>
        <v>0</v>
      </c>
      <c r="N42" s="61">
        <f t="shared" ref="N42:S42" si="18">SUM(N40:N41)</f>
        <v>14060</v>
      </c>
      <c r="O42" s="39">
        <f t="shared" si="18"/>
        <v>63312.18</v>
      </c>
      <c r="P42" s="61">
        <f t="shared" si="18"/>
        <v>0</v>
      </c>
      <c r="Q42" s="39">
        <f t="shared" si="18"/>
        <v>0</v>
      </c>
      <c r="R42" s="61">
        <f t="shared" si="18"/>
        <v>0</v>
      </c>
      <c r="S42" s="39">
        <f t="shared" si="18"/>
        <v>1079711.55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9">D42+D39</f>
        <v>-567916</v>
      </c>
      <c r="E43" s="39">
        <f t="shared" si="19"/>
        <v>-1330214.3899999999</v>
      </c>
      <c r="F43" s="61">
        <f t="shared" si="19"/>
        <v>0</v>
      </c>
      <c r="G43" s="39">
        <f t="shared" si="19"/>
        <v>0</v>
      </c>
      <c r="H43" s="61">
        <f t="shared" si="19"/>
        <v>-63000</v>
      </c>
      <c r="I43" s="39">
        <f t="shared" si="19"/>
        <v>-136177.82999999999</v>
      </c>
      <c r="J43" s="61">
        <f t="shared" ref="J43:AO43" si="20">J42+J39</f>
        <v>-518976</v>
      </c>
      <c r="K43" s="39">
        <f t="shared" si="20"/>
        <v>-2337060.29</v>
      </c>
      <c r="L43" s="61">
        <f t="shared" si="20"/>
        <v>0</v>
      </c>
      <c r="M43" s="39">
        <f t="shared" si="20"/>
        <v>0</v>
      </c>
      <c r="N43" s="61">
        <f t="shared" ref="N43:S43" si="21">N42+N39</f>
        <v>14060</v>
      </c>
      <c r="O43" s="39">
        <f t="shared" si="21"/>
        <v>63312.18</v>
      </c>
      <c r="P43" s="61">
        <f t="shared" si="21"/>
        <v>0</v>
      </c>
      <c r="Q43" s="39">
        <f t="shared" si="21"/>
        <v>0</v>
      </c>
      <c r="R43" s="61">
        <f t="shared" si="21"/>
        <v>0</v>
      </c>
      <c r="S43" s="39">
        <f t="shared" si="21"/>
        <v>1079711.55</v>
      </c>
      <c r="T43" s="61">
        <f t="shared" si="20"/>
        <v>0</v>
      </c>
      <c r="U43" s="39">
        <f t="shared" si="20"/>
        <v>0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20">
        <f>+Actuals!E463</f>
        <v>0</v>
      </c>
      <c r="I45" s="121">
        <f>+Actuals!F463</f>
        <v>0</v>
      </c>
      <c r="J45" s="120">
        <f>+Actuals!G463</f>
        <v>0</v>
      </c>
      <c r="K45" s="121">
        <f>+Actuals!H463</f>
        <v>0</v>
      </c>
      <c r="L45" s="120">
        <f>+Actuals!I463</f>
        <v>0</v>
      </c>
      <c r="M45" s="121">
        <f>+Actuals!J463</f>
        <v>0</v>
      </c>
      <c r="N45" s="120">
        <f>+Actuals!K463</f>
        <v>0</v>
      </c>
      <c r="O45" s="121">
        <f>+Actuals!L463</f>
        <v>0</v>
      </c>
      <c r="P45" s="120">
        <f>+Actuals!M463</f>
        <v>0</v>
      </c>
      <c r="Q45" s="121">
        <f>+Actuals!N463</f>
        <v>0</v>
      </c>
      <c r="R45" s="120">
        <f>+Actuals!O463</f>
        <v>0</v>
      </c>
      <c r="S45" s="121">
        <f>+Actuals!P463</f>
        <v>0</v>
      </c>
      <c r="T45" s="120">
        <f>+Actuals!Q463</f>
        <v>0</v>
      </c>
      <c r="U45" s="121">
        <f>+Actuals!R463</f>
        <v>0</v>
      </c>
      <c r="V45" s="120">
        <f>+Actuals!S463</f>
        <v>0</v>
      </c>
      <c r="W45" s="121">
        <f>+Actuals!T463</f>
        <v>0</v>
      </c>
      <c r="X45" s="120">
        <f>+Actuals!U463</f>
        <v>0</v>
      </c>
      <c r="Y45" s="121">
        <f>+Actuals!V463</f>
        <v>0</v>
      </c>
      <c r="Z45" s="120">
        <f>+Actuals!W463</f>
        <v>0</v>
      </c>
      <c r="AA45" s="121">
        <f>+Actuals!X463</f>
        <v>0</v>
      </c>
      <c r="AB45" s="120">
        <f>+Actuals!Y463</f>
        <v>0</v>
      </c>
      <c r="AC45" s="121">
        <f>+Actuals!Z463</f>
        <v>0</v>
      </c>
      <c r="AD45" s="120">
        <f>+Actuals!AA463</f>
        <v>0</v>
      </c>
      <c r="AE45" s="121">
        <f>+Actuals!AB463</f>
        <v>0</v>
      </c>
      <c r="AF45" s="120">
        <f>+Actuals!AC463</f>
        <v>0</v>
      </c>
      <c r="AG45" s="121">
        <f>+Actuals!AD463</f>
        <v>0</v>
      </c>
      <c r="AH45" s="120">
        <f>+Actuals!AE463</f>
        <v>0</v>
      </c>
      <c r="AI45" s="121">
        <f>+Actuals!AF463</f>
        <v>0</v>
      </c>
      <c r="AJ45" s="120">
        <f>+Actuals!AG463</f>
        <v>0</v>
      </c>
      <c r="AK45" s="121">
        <f>+Actuals!AH463</f>
        <v>0</v>
      </c>
      <c r="AL45" s="120">
        <f>+Actuals!AI463</f>
        <v>0</v>
      </c>
      <c r="AM45" s="121">
        <f>+Actuals!AJ463</f>
        <v>0</v>
      </c>
      <c r="AN45" s="120">
        <f>+Actuals!AK463</f>
        <v>0</v>
      </c>
      <c r="AO45" s="121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20">
        <f>+Actuals!E464</f>
        <v>0</v>
      </c>
      <c r="I47" s="121">
        <f>+Actuals!F464</f>
        <v>0</v>
      </c>
      <c r="J47" s="120">
        <f>+Actuals!G464</f>
        <v>0</v>
      </c>
      <c r="K47" s="121">
        <f>+Actuals!H464</f>
        <v>0</v>
      </c>
      <c r="L47" s="120">
        <f>+Actuals!I464</f>
        <v>0</v>
      </c>
      <c r="M47" s="121">
        <f>+Actuals!J464</f>
        <v>0</v>
      </c>
      <c r="N47" s="120">
        <f>+Actuals!K464</f>
        <v>0</v>
      </c>
      <c r="O47" s="121">
        <f>+Actuals!L464</f>
        <v>0</v>
      </c>
      <c r="P47" s="120">
        <f>+Actuals!M464</f>
        <v>0</v>
      </c>
      <c r="Q47" s="121">
        <f>+Actuals!N464</f>
        <v>0</v>
      </c>
      <c r="R47" s="120">
        <f>+Actuals!O464</f>
        <v>0</v>
      </c>
      <c r="S47" s="121">
        <f>+Actuals!P464</f>
        <v>0</v>
      </c>
      <c r="T47" s="120">
        <f>+Actuals!Q464</f>
        <v>0</v>
      </c>
      <c r="U47" s="121">
        <f>+Actuals!R464</f>
        <v>0</v>
      </c>
      <c r="V47" s="120">
        <f>+Actuals!S464</f>
        <v>0</v>
      </c>
      <c r="W47" s="121">
        <f>+Actuals!T464</f>
        <v>0</v>
      </c>
      <c r="X47" s="120">
        <f>+Actuals!U464</f>
        <v>0</v>
      </c>
      <c r="Y47" s="121">
        <f>+Actuals!V464</f>
        <v>0</v>
      </c>
      <c r="Z47" s="120">
        <f>+Actuals!W464</f>
        <v>0</v>
      </c>
      <c r="AA47" s="121">
        <f>+Actuals!X464</f>
        <v>0</v>
      </c>
      <c r="AB47" s="120">
        <f>+Actuals!Y464</f>
        <v>0</v>
      </c>
      <c r="AC47" s="121">
        <f>+Actuals!Z464</f>
        <v>0</v>
      </c>
      <c r="AD47" s="120">
        <f>+Actuals!AA464</f>
        <v>0</v>
      </c>
      <c r="AE47" s="121">
        <f>+Actuals!AB464</f>
        <v>0</v>
      </c>
      <c r="AF47" s="120">
        <f>+Actuals!AC464</f>
        <v>0</v>
      </c>
      <c r="AG47" s="121">
        <f>+Actuals!AD464</f>
        <v>0</v>
      </c>
      <c r="AH47" s="120">
        <f>+Actuals!AE464</f>
        <v>0</v>
      </c>
      <c r="AI47" s="121">
        <f>+Actuals!AF464</f>
        <v>0</v>
      </c>
      <c r="AJ47" s="120">
        <f>+Actuals!AG464</f>
        <v>0</v>
      </c>
      <c r="AK47" s="121">
        <f>+Actuals!AH464</f>
        <v>0</v>
      </c>
      <c r="AL47" s="120">
        <f>+Actuals!AI464</f>
        <v>0</v>
      </c>
      <c r="AM47" s="121">
        <f>+Actuals!AJ464</f>
        <v>0</v>
      </c>
      <c r="AN47" s="120">
        <f>+Actuals!AK464</f>
        <v>0</v>
      </c>
      <c r="AO47" s="121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473871</v>
      </c>
      <c r="E49" s="38">
        <f>SUM(G49,I49,K49,M49,O49,Q49,S49,U49,W49,Y49,AA49,AC49,AE49)</f>
        <v>970026.10899999994</v>
      </c>
      <c r="F49" s="60">
        <f>'TIE-OUT'!V49+RECLASS!T49</f>
        <v>0</v>
      </c>
      <c r="G49" s="38">
        <f>'TIE-OUT'!W49+RECLASS!U49</f>
        <v>0</v>
      </c>
      <c r="H49" s="120">
        <f>+Actuals!E465</f>
        <v>117517</v>
      </c>
      <c r="I49" s="121">
        <f>+Actuals!F465</f>
        <v>240557.299</v>
      </c>
      <c r="J49" s="120">
        <f>+Actuals!G465</f>
        <v>-117939</v>
      </c>
      <c r="K49" s="121">
        <f>+Actuals!H465</f>
        <v>-241421.133</v>
      </c>
      <c r="L49" s="120">
        <f>+Actuals!I465</f>
        <v>0</v>
      </c>
      <c r="M49" s="121">
        <f>+Actuals!J465</f>
        <v>0</v>
      </c>
      <c r="N49" s="120">
        <f>+Actuals!K465</f>
        <v>518976</v>
      </c>
      <c r="O49" s="121">
        <f>+Actuals!L465</f>
        <v>1062343.872</v>
      </c>
      <c r="P49" s="120">
        <f>+Actuals!M465</f>
        <v>-518976</v>
      </c>
      <c r="Q49" s="121">
        <f>+Actuals!N465</f>
        <v>-1062343.872</v>
      </c>
      <c r="R49" s="120">
        <f>+Actuals!O465</f>
        <v>0</v>
      </c>
      <c r="S49" s="121">
        <f>+Actuals!P465</f>
        <v>0</v>
      </c>
      <c r="T49" s="120">
        <f>+Actuals!Q465</f>
        <v>474279</v>
      </c>
      <c r="U49" s="121">
        <f>+Actuals!R465</f>
        <v>970849.11300000001</v>
      </c>
      <c r="V49" s="120">
        <v>24</v>
      </c>
      <c r="W49" s="121">
        <v>49.13</v>
      </c>
      <c r="X49" s="120">
        <v>-24</v>
      </c>
      <c r="Y49" s="121">
        <v>-49</v>
      </c>
      <c r="Z49" s="120">
        <v>14</v>
      </c>
      <c r="AA49" s="121">
        <v>40.700000000000003</v>
      </c>
      <c r="AB49" s="120">
        <f>+Actuals!Y465</f>
        <v>0</v>
      </c>
      <c r="AC49" s="121">
        <f>+Actuals!Z465</f>
        <v>0</v>
      </c>
      <c r="AD49" s="120">
        <f>+Actuals!AA465</f>
        <v>0</v>
      </c>
      <c r="AE49" s="121">
        <f>+Actuals!AB465</f>
        <v>0</v>
      </c>
      <c r="AF49" s="120">
        <f>+Actuals!AC465</f>
        <v>0</v>
      </c>
      <c r="AG49" s="121">
        <f>+Actuals!AD465</f>
        <v>0</v>
      </c>
      <c r="AH49" s="120">
        <f>+Actuals!AE465</f>
        <v>0</v>
      </c>
      <c r="AI49" s="121">
        <f>+Actuals!AF465</f>
        <v>0</v>
      </c>
      <c r="AJ49" s="120">
        <f>+Actuals!AG465</f>
        <v>0</v>
      </c>
      <c r="AK49" s="121">
        <f>+Actuals!AH465</f>
        <v>0</v>
      </c>
      <c r="AL49" s="120">
        <f>+Actuals!AI465</f>
        <v>0</v>
      </c>
      <c r="AM49" s="121">
        <f>+Actuals!AJ465</f>
        <v>0</v>
      </c>
      <c r="AN49" s="120">
        <f>+Actuals!AK465</f>
        <v>0</v>
      </c>
      <c r="AO49" s="121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'TIE-OUT'!V51+RECLASS!T51</f>
        <v>0</v>
      </c>
      <c r="G51" s="38">
        <f>'TIE-OUT'!W51+RECLASS!U51</f>
        <v>0</v>
      </c>
      <c r="H51" s="120">
        <f>+Actuals!E466</f>
        <v>-4340</v>
      </c>
      <c r="I51" s="121">
        <f>+Actuals!F466</f>
        <v>-8883.98</v>
      </c>
      <c r="J51" s="120">
        <f>+Actuals!G466</f>
        <v>-422</v>
      </c>
      <c r="K51" s="121">
        <f>+Actuals!H466</f>
        <v>-863.83399999999995</v>
      </c>
      <c r="L51" s="120">
        <f>+Actuals!I466</f>
        <v>-15</v>
      </c>
      <c r="M51" s="121">
        <f>+Actuals!J466</f>
        <v>-30.704999999999998</v>
      </c>
      <c r="N51" s="120">
        <f>+Actuals!K466</f>
        <v>0</v>
      </c>
      <c r="O51" s="121">
        <f>+Actuals!L466</f>
        <v>0</v>
      </c>
      <c r="P51" s="120">
        <f>+Actuals!M466</f>
        <v>0</v>
      </c>
      <c r="Q51" s="121">
        <f>+Actuals!N466</f>
        <v>0</v>
      </c>
      <c r="R51" s="120">
        <f>+Actuals!O466</f>
        <v>0</v>
      </c>
      <c r="S51" s="121">
        <f>+Actuals!P466</f>
        <v>0</v>
      </c>
      <c r="T51" s="120">
        <f>+Actuals!Q466</f>
        <v>0</v>
      </c>
      <c r="U51" s="121">
        <f>+Actuals!R466</f>
        <v>0</v>
      </c>
      <c r="V51" s="120">
        <f>+Actuals!S466</f>
        <v>0</v>
      </c>
      <c r="W51" s="121">
        <f>+Actuals!T466</f>
        <v>0</v>
      </c>
      <c r="X51" s="120">
        <f>+Actuals!U466</f>
        <v>0</v>
      </c>
      <c r="Y51" s="121">
        <f>+Actuals!V466</f>
        <v>0</v>
      </c>
      <c r="Z51" s="120">
        <f>+Actuals!W466</f>
        <v>0</v>
      </c>
      <c r="AA51" s="121">
        <f>+Actuals!X466</f>
        <v>0</v>
      </c>
      <c r="AB51" s="120">
        <f>+Actuals!Y466</f>
        <v>0</v>
      </c>
      <c r="AC51" s="121">
        <f>+Actuals!Z466</f>
        <v>0</v>
      </c>
      <c r="AD51" s="120">
        <f>+Actuals!AA466</f>
        <v>0</v>
      </c>
      <c r="AE51" s="121">
        <f>+Actuals!AB466</f>
        <v>0</v>
      </c>
      <c r="AF51" s="120">
        <f>+Actuals!AC466</f>
        <v>0</v>
      </c>
      <c r="AG51" s="121">
        <f>+Actuals!AD466</f>
        <v>0</v>
      </c>
      <c r="AH51" s="120">
        <f>+Actuals!AE466</f>
        <v>0</v>
      </c>
      <c r="AI51" s="121">
        <f>+Actuals!AF466</f>
        <v>0</v>
      </c>
      <c r="AJ51" s="120">
        <f>+Actuals!AG466</f>
        <v>0</v>
      </c>
      <c r="AK51" s="121">
        <f>+Actuals!AH466</f>
        <v>0</v>
      </c>
      <c r="AL51" s="120">
        <f>+Actuals!AI466</f>
        <v>0</v>
      </c>
      <c r="AM51" s="121">
        <f>+Actuals!AJ466</f>
        <v>0</v>
      </c>
      <c r="AN51" s="120">
        <f>+Actuals!AK466</f>
        <v>0</v>
      </c>
      <c r="AO51" s="121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-14739571</v>
      </c>
      <c r="E54" s="38">
        <f>SUM(G54,I54,K54,M54,O54,Q54,S54,U54,W54,Y54,AA54,AC54,AE54)</f>
        <v>-521694.73999999987</v>
      </c>
      <c r="F54" s="64">
        <f>'TIE-OUT'!V54+RECLASS!T54</f>
        <v>0</v>
      </c>
      <c r="G54" s="68">
        <f>'TIE-OUT'!W54+RECLASS!U54</f>
        <v>0</v>
      </c>
      <c r="H54" s="120">
        <f>+Actuals!E467</f>
        <v>-5510075</v>
      </c>
      <c r="I54" s="121">
        <f>+Actuals!F467</f>
        <v>-262685.17</v>
      </c>
      <c r="J54" s="120">
        <f>+Actuals!G467</f>
        <v>-9142471</v>
      </c>
      <c r="K54" s="121">
        <f>+Actuals!H467</f>
        <v>-262850.27</v>
      </c>
      <c r="L54" s="120">
        <f>+Actuals!I467</f>
        <v>-98996</v>
      </c>
      <c r="M54" s="121">
        <f>+Actuals!J467</f>
        <v>2845.21</v>
      </c>
      <c r="N54" s="120">
        <f>+Actuals!K467</f>
        <v>24</v>
      </c>
      <c r="O54" s="121">
        <f>+Actuals!L467</f>
        <v>-5005.51</v>
      </c>
      <c r="P54" s="120">
        <f>+Actuals!M467</f>
        <v>30385</v>
      </c>
      <c r="Q54" s="121">
        <f>+Actuals!N467</f>
        <v>7470.81</v>
      </c>
      <c r="R54" s="120">
        <f>+Actuals!O467</f>
        <v>-18469</v>
      </c>
      <c r="S54" s="121">
        <f>+Actuals!P467</f>
        <v>-1454.31</v>
      </c>
      <c r="T54" s="120">
        <f>+Actuals!Q467</f>
        <v>0</v>
      </c>
      <c r="U54" s="121">
        <f>+Actuals!R467</f>
        <v>3.73</v>
      </c>
      <c r="V54" s="120">
        <v>31</v>
      </c>
      <c r="W54" s="121">
        <v>1.29</v>
      </c>
      <c r="X54" s="120">
        <f>+Actuals!U467</f>
        <v>0</v>
      </c>
      <c r="Y54" s="121">
        <v>-1.47</v>
      </c>
      <c r="Z54" s="120">
        <f>+Actuals!W467</f>
        <v>0</v>
      </c>
      <c r="AA54" s="121">
        <v>-19.05</v>
      </c>
      <c r="AB54" s="120">
        <f>+Actuals!Y467</f>
        <v>0</v>
      </c>
      <c r="AC54" s="121">
        <f>+Actuals!Z467</f>
        <v>0</v>
      </c>
      <c r="AD54" s="120">
        <f>+Actuals!AA467</f>
        <v>0</v>
      </c>
      <c r="AE54" s="121">
        <f>+Actuals!AB467</f>
        <v>0</v>
      </c>
      <c r="AF54" s="120">
        <f>+Actuals!AC467</f>
        <v>0</v>
      </c>
      <c r="AG54" s="121">
        <f>+Actuals!AD467</f>
        <v>0</v>
      </c>
      <c r="AH54" s="120">
        <f>+Actuals!AE467</f>
        <v>0</v>
      </c>
      <c r="AI54" s="121">
        <f>+Actuals!AF467</f>
        <v>0</v>
      </c>
      <c r="AJ54" s="120">
        <f>+Actuals!AG467</f>
        <v>0</v>
      </c>
      <c r="AK54" s="121">
        <f>+Actuals!AH467</f>
        <v>0</v>
      </c>
      <c r="AL54" s="120">
        <f>+Actuals!AI467</f>
        <v>0</v>
      </c>
      <c r="AM54" s="121">
        <f>+Actuals!AJ467</f>
        <v>0</v>
      </c>
      <c r="AN54" s="120">
        <f>+Actuals!AK467</f>
        <v>0</v>
      </c>
      <c r="AO54" s="121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-1</v>
      </c>
      <c r="E55" s="38">
        <f>SUM(G55,I55,K55,M55,O55,Q55,S55,U55,W55,Y55,AA55,AC55,AE55)</f>
        <v>-143300</v>
      </c>
      <c r="F55" s="81">
        <f>'TIE-OUT'!V55+RECLASS!T55</f>
        <v>0</v>
      </c>
      <c r="G55" s="82">
        <f>'TIE-OUT'!W55+RECLASS!U55</f>
        <v>0</v>
      </c>
      <c r="H55" s="120">
        <f>+Actuals!E468</f>
        <v>0</v>
      </c>
      <c r="I55" s="121">
        <f>+Actuals!F468</f>
        <v>-236984</v>
      </c>
      <c r="J55" s="120">
        <f>+Actuals!G468</f>
        <v>0</v>
      </c>
      <c r="K55" s="121">
        <f>+Actuals!H468</f>
        <v>92916</v>
      </c>
      <c r="L55" s="120">
        <f>+Actuals!I468</f>
        <v>0</v>
      </c>
      <c r="M55" s="121">
        <f>+Actuals!J468</f>
        <v>0</v>
      </c>
      <c r="N55" s="120">
        <f>+Actuals!K468</f>
        <v>0</v>
      </c>
      <c r="O55" s="121">
        <f>+Actuals!L468</f>
        <v>768</v>
      </c>
      <c r="P55" s="120">
        <f>+Actuals!M468</f>
        <v>0</v>
      </c>
      <c r="Q55" s="121">
        <f>+Actuals!N468</f>
        <v>0</v>
      </c>
      <c r="R55" s="120">
        <f>+Actuals!O468</f>
        <v>0</v>
      </c>
      <c r="S55" s="121">
        <f>+Actuals!P468</f>
        <v>0</v>
      </c>
      <c r="T55" s="120">
        <f>+Actuals!Q468</f>
        <v>0</v>
      </c>
      <c r="U55" s="121">
        <f>+Actuals!R468</f>
        <v>0</v>
      </c>
      <c r="V55" s="120">
        <f>+Actuals!S468</f>
        <v>0</v>
      </c>
      <c r="W55" s="121">
        <f>+Actuals!T468</f>
        <v>0</v>
      </c>
      <c r="X55" s="120">
        <v>-1</v>
      </c>
      <c r="Y55" s="121">
        <f>+Actuals!V468</f>
        <v>0</v>
      </c>
      <c r="Z55" s="120">
        <f>+Actuals!W468</f>
        <v>0</v>
      </c>
      <c r="AA55" s="121">
        <f>+Actuals!X468</f>
        <v>0</v>
      </c>
      <c r="AB55" s="120">
        <f>+Actuals!Y468</f>
        <v>0</v>
      </c>
      <c r="AC55" s="121">
        <f>+Actuals!Z468</f>
        <v>0</v>
      </c>
      <c r="AD55" s="120">
        <f>+Actuals!AA468</f>
        <v>0</v>
      </c>
      <c r="AE55" s="121">
        <f>+Actuals!AB468</f>
        <v>0</v>
      </c>
      <c r="AF55" s="120">
        <f>+Actuals!AC468</f>
        <v>0</v>
      </c>
      <c r="AG55" s="121">
        <f>+Actuals!AD468</f>
        <v>0</v>
      </c>
      <c r="AH55" s="120">
        <f>+Actuals!AE468</f>
        <v>0</v>
      </c>
      <c r="AI55" s="121">
        <f>+Actuals!AF468</f>
        <v>0</v>
      </c>
      <c r="AJ55" s="120">
        <f>+Actuals!AG468</f>
        <v>0</v>
      </c>
      <c r="AK55" s="121">
        <f>+Actuals!AH468</f>
        <v>0</v>
      </c>
      <c r="AL55" s="120">
        <f>+Actuals!AI468</f>
        <v>0</v>
      </c>
      <c r="AM55" s="121">
        <f>+Actuals!AJ468</f>
        <v>0</v>
      </c>
      <c r="AN55" s="120">
        <f>+Actuals!AK468</f>
        <v>0</v>
      </c>
      <c r="AO55" s="121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22">SUM(D54:D55)</f>
        <v>-14739572</v>
      </c>
      <c r="E56" s="39">
        <f t="shared" si="22"/>
        <v>-664994.73999999987</v>
      </c>
      <c r="F56" s="61">
        <f t="shared" si="22"/>
        <v>0</v>
      </c>
      <c r="G56" s="39">
        <f t="shared" si="22"/>
        <v>0</v>
      </c>
      <c r="H56" s="61">
        <f t="shared" si="22"/>
        <v>-5510075</v>
      </c>
      <c r="I56" s="39">
        <f t="shared" si="22"/>
        <v>-499669.17</v>
      </c>
      <c r="J56" s="61">
        <f t="shared" ref="J56:AO56" si="23">SUM(J54:J55)</f>
        <v>-9142471</v>
      </c>
      <c r="K56" s="39">
        <f t="shared" si="23"/>
        <v>-169934.27000000002</v>
      </c>
      <c r="L56" s="61">
        <f t="shared" si="23"/>
        <v>-98996</v>
      </c>
      <c r="M56" s="39">
        <f t="shared" si="23"/>
        <v>2845.21</v>
      </c>
      <c r="N56" s="61">
        <f t="shared" ref="N56:S56" si="24">SUM(N54:N55)</f>
        <v>24</v>
      </c>
      <c r="O56" s="39">
        <f t="shared" si="24"/>
        <v>-4237.51</v>
      </c>
      <c r="P56" s="61">
        <f t="shared" si="24"/>
        <v>30385</v>
      </c>
      <c r="Q56" s="39">
        <f t="shared" si="24"/>
        <v>7470.81</v>
      </c>
      <c r="R56" s="61">
        <f t="shared" si="24"/>
        <v>-18469</v>
      </c>
      <c r="S56" s="39">
        <f t="shared" si="24"/>
        <v>-1454.31</v>
      </c>
      <c r="T56" s="61">
        <f t="shared" si="23"/>
        <v>0</v>
      </c>
      <c r="U56" s="39">
        <f t="shared" si="23"/>
        <v>3.73</v>
      </c>
      <c r="V56" s="61">
        <f t="shared" si="23"/>
        <v>31</v>
      </c>
      <c r="W56" s="39">
        <f t="shared" si="23"/>
        <v>1.29</v>
      </c>
      <c r="X56" s="61">
        <f t="shared" si="23"/>
        <v>-1</v>
      </c>
      <c r="Y56" s="39">
        <f t="shared" si="23"/>
        <v>-1.47</v>
      </c>
      <c r="Z56" s="61">
        <f t="shared" si="23"/>
        <v>0</v>
      </c>
      <c r="AA56" s="39">
        <f t="shared" si="23"/>
        <v>-19.05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20">
        <f>+Actuals!E469</f>
        <v>0</v>
      </c>
      <c r="I59" s="121">
        <f>+Actuals!F469</f>
        <v>0</v>
      </c>
      <c r="J59" s="120">
        <f>+Actuals!G469</f>
        <v>0</v>
      </c>
      <c r="K59" s="121">
        <f>+Actuals!H469</f>
        <v>0</v>
      </c>
      <c r="L59" s="120">
        <f>+Actuals!I469</f>
        <v>0</v>
      </c>
      <c r="M59" s="121">
        <f>+Actuals!J469</f>
        <v>0</v>
      </c>
      <c r="N59" s="120">
        <f>+Actuals!K469</f>
        <v>0</v>
      </c>
      <c r="O59" s="121">
        <f>+Actuals!L469</f>
        <v>0</v>
      </c>
      <c r="P59" s="120">
        <f>+Actuals!M469</f>
        <v>0</v>
      </c>
      <c r="Q59" s="121">
        <f>+Actuals!N469</f>
        <v>0</v>
      </c>
      <c r="R59" s="120">
        <f>+Actuals!O469</f>
        <v>0</v>
      </c>
      <c r="S59" s="121">
        <f>+Actuals!P469</f>
        <v>0</v>
      </c>
      <c r="T59" s="120">
        <f>+Actuals!Q469</f>
        <v>0</v>
      </c>
      <c r="U59" s="121">
        <f>+Actuals!R469</f>
        <v>0</v>
      </c>
      <c r="V59" s="120">
        <f>+Actuals!S469</f>
        <v>0</v>
      </c>
      <c r="W59" s="121">
        <f>+Actuals!T469</f>
        <v>0</v>
      </c>
      <c r="X59" s="120">
        <f>+Actuals!U469</f>
        <v>0</v>
      </c>
      <c r="Y59" s="121">
        <f>+Actuals!V469</f>
        <v>0</v>
      </c>
      <c r="Z59" s="120">
        <f>+Actuals!W469</f>
        <v>0</v>
      </c>
      <c r="AA59" s="121">
        <f>+Actuals!X469</f>
        <v>0</v>
      </c>
      <c r="AB59" s="120">
        <f>+Actuals!Y469</f>
        <v>0</v>
      </c>
      <c r="AC59" s="121">
        <f>+Actuals!Z469</f>
        <v>0</v>
      </c>
      <c r="AD59" s="120">
        <f>+Actuals!AA469</f>
        <v>0</v>
      </c>
      <c r="AE59" s="121">
        <f>+Actuals!AB469</f>
        <v>0</v>
      </c>
      <c r="AF59" s="120">
        <f>+Actuals!AC469</f>
        <v>0</v>
      </c>
      <c r="AG59" s="121">
        <f>+Actuals!AD469</f>
        <v>0</v>
      </c>
      <c r="AH59" s="120">
        <f>+Actuals!AE469</f>
        <v>0</v>
      </c>
      <c r="AI59" s="121">
        <f>+Actuals!AF469</f>
        <v>0</v>
      </c>
      <c r="AJ59" s="120">
        <f>+Actuals!AG469</f>
        <v>0</v>
      </c>
      <c r="AK59" s="121">
        <f>+Actuals!AH469</f>
        <v>0</v>
      </c>
      <c r="AL59" s="120">
        <f>+Actuals!AI469</f>
        <v>0</v>
      </c>
      <c r="AM59" s="121">
        <f>+Actuals!AJ469</f>
        <v>0</v>
      </c>
      <c r="AN59" s="120">
        <f>+Actuals!AK469</f>
        <v>0</v>
      </c>
      <c r="AO59" s="121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20">
        <f>+Actuals!E470</f>
        <v>0</v>
      </c>
      <c r="I60" s="121">
        <f>+Actuals!F470</f>
        <v>0</v>
      </c>
      <c r="J60" s="120">
        <f>+Actuals!G470</f>
        <v>0</v>
      </c>
      <c r="K60" s="121">
        <f>+Actuals!H470</f>
        <v>0</v>
      </c>
      <c r="L60" s="120">
        <f>+Actuals!I470</f>
        <v>0</v>
      </c>
      <c r="M60" s="121">
        <f>+Actuals!J470</f>
        <v>0</v>
      </c>
      <c r="N60" s="120">
        <f>+Actuals!K470</f>
        <v>0</v>
      </c>
      <c r="O60" s="121">
        <f>+Actuals!L470</f>
        <v>0</v>
      </c>
      <c r="P60" s="120">
        <f>+Actuals!M470</f>
        <v>0</v>
      </c>
      <c r="Q60" s="121">
        <f>+Actuals!N470</f>
        <v>0</v>
      </c>
      <c r="R60" s="120">
        <f>+Actuals!O470</f>
        <v>0</v>
      </c>
      <c r="S60" s="121">
        <f>+Actuals!P470</f>
        <v>0</v>
      </c>
      <c r="T60" s="120">
        <f>+Actuals!Q470</f>
        <v>0</v>
      </c>
      <c r="U60" s="121">
        <f>+Actuals!R470</f>
        <v>0</v>
      </c>
      <c r="V60" s="120">
        <f>+Actuals!S470</f>
        <v>0</v>
      </c>
      <c r="W60" s="121">
        <f>+Actuals!T470</f>
        <v>0</v>
      </c>
      <c r="X60" s="120">
        <f>+Actuals!U470</f>
        <v>0</v>
      </c>
      <c r="Y60" s="121">
        <f>+Actuals!V470</f>
        <v>0</v>
      </c>
      <c r="Z60" s="120">
        <f>+Actuals!W470</f>
        <v>0</v>
      </c>
      <c r="AA60" s="121">
        <f>+Actuals!X470</f>
        <v>0</v>
      </c>
      <c r="AB60" s="120">
        <f>+Actuals!Y470</f>
        <v>0</v>
      </c>
      <c r="AC60" s="121">
        <f>+Actuals!Z470</f>
        <v>0</v>
      </c>
      <c r="AD60" s="120">
        <f>+Actuals!AA470</f>
        <v>0</v>
      </c>
      <c r="AE60" s="121">
        <f>+Actuals!AB470</f>
        <v>0</v>
      </c>
      <c r="AF60" s="120">
        <f>+Actuals!AC470</f>
        <v>0</v>
      </c>
      <c r="AG60" s="121">
        <f>+Actuals!AD470</f>
        <v>0</v>
      </c>
      <c r="AH60" s="120">
        <f>+Actuals!AE470</f>
        <v>0</v>
      </c>
      <c r="AI60" s="121">
        <f>+Actuals!AF470</f>
        <v>0</v>
      </c>
      <c r="AJ60" s="120">
        <f>+Actuals!AG470</f>
        <v>0</v>
      </c>
      <c r="AK60" s="121">
        <f>+Actuals!AH470</f>
        <v>0</v>
      </c>
      <c r="AL60" s="120">
        <f>+Actuals!AI470</f>
        <v>0</v>
      </c>
      <c r="AM60" s="121">
        <f>+Actuals!AJ470</f>
        <v>0</v>
      </c>
      <c r="AN60" s="120">
        <f>+Actuals!AK470</f>
        <v>0</v>
      </c>
      <c r="AO60" s="121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-33642.340000000004</v>
      </c>
      <c r="F64" s="64">
        <f>'TIE-OUT'!V64+RECLASS!T64</f>
        <v>0</v>
      </c>
      <c r="G64" s="68">
        <f>'TIE-OUT'!W64+RECLASS!U64</f>
        <v>0</v>
      </c>
      <c r="H64" s="120">
        <f>+Actuals!E471</f>
        <v>0</v>
      </c>
      <c r="I64" s="121">
        <f>+Actuals!F471</f>
        <v>-10000</v>
      </c>
      <c r="J64" s="120">
        <f>+Actuals!G471</f>
        <v>0</v>
      </c>
      <c r="K64" s="121">
        <f>+Actuals!H471</f>
        <v>-1870.69</v>
      </c>
      <c r="L64" s="120">
        <f>+Actuals!I471</f>
        <v>0</v>
      </c>
      <c r="M64" s="121">
        <f>+Actuals!J471</f>
        <v>0</v>
      </c>
      <c r="N64" s="120">
        <f>+Actuals!K471</f>
        <v>0</v>
      </c>
      <c r="O64" s="121">
        <f>+Actuals!L471</f>
        <v>0</v>
      </c>
      <c r="P64" s="120">
        <f>+Actuals!M471</f>
        <v>0</v>
      </c>
      <c r="Q64" s="121">
        <f>+Actuals!N471</f>
        <v>0</v>
      </c>
      <c r="R64" s="120">
        <f>+Actuals!O471</f>
        <v>0</v>
      </c>
      <c r="S64" s="121">
        <f>+Actuals!P471</f>
        <v>0.23</v>
      </c>
      <c r="T64" s="120">
        <f>+Actuals!Q471</f>
        <v>0</v>
      </c>
      <c r="U64" s="121">
        <f>+Actuals!R471</f>
        <v>-21771.88</v>
      </c>
      <c r="V64" s="120">
        <f>+Actuals!S471</f>
        <v>0</v>
      </c>
      <c r="W64" s="121">
        <f>+Actuals!T471</f>
        <v>0</v>
      </c>
      <c r="X64" s="120">
        <f>+Actuals!U471</f>
        <v>0</v>
      </c>
      <c r="Y64" s="121">
        <f>+Actuals!V471</f>
        <v>0</v>
      </c>
      <c r="Z64" s="120">
        <f>+Actuals!W471</f>
        <v>0</v>
      </c>
      <c r="AA64" s="121">
        <f>+Actuals!X471</f>
        <v>0</v>
      </c>
      <c r="AB64" s="120">
        <f>+Actuals!Y471</f>
        <v>0</v>
      </c>
      <c r="AC64" s="121">
        <f>+Actuals!Z471</f>
        <v>0</v>
      </c>
      <c r="AD64" s="120">
        <f>+Actuals!AA471</f>
        <v>0</v>
      </c>
      <c r="AE64" s="121">
        <f>+Actuals!AB471</f>
        <v>0</v>
      </c>
      <c r="AF64" s="120">
        <f>+Actuals!AC471</f>
        <v>0</v>
      </c>
      <c r="AG64" s="121">
        <f>+Actuals!AD471</f>
        <v>0</v>
      </c>
      <c r="AH64" s="120">
        <f>+Actuals!AE471</f>
        <v>0</v>
      </c>
      <c r="AI64" s="121">
        <f>+Actuals!AF471</f>
        <v>0</v>
      </c>
      <c r="AJ64" s="120">
        <f>+Actuals!AG471</f>
        <v>0</v>
      </c>
      <c r="AK64" s="121">
        <f>+Actuals!AH471</f>
        <v>0</v>
      </c>
      <c r="AL64" s="120">
        <f>+Actuals!AI471</f>
        <v>0</v>
      </c>
      <c r="AM64" s="121">
        <f>+Actuals!AJ471</f>
        <v>0</v>
      </c>
      <c r="AN64" s="120">
        <f>+Actuals!AK471</f>
        <v>0</v>
      </c>
      <c r="AO64" s="121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20">
        <f>+Actuals!E472</f>
        <v>0</v>
      </c>
      <c r="I65" s="121">
        <f>+Actuals!F472</f>
        <v>0</v>
      </c>
      <c r="J65" s="120">
        <f>+Actuals!G472</f>
        <v>0</v>
      </c>
      <c r="K65" s="121">
        <f>+Actuals!H472</f>
        <v>0</v>
      </c>
      <c r="L65" s="120">
        <f>+Actuals!I472</f>
        <v>0</v>
      </c>
      <c r="M65" s="121">
        <f>+Actuals!J472</f>
        <v>0</v>
      </c>
      <c r="N65" s="120">
        <f>+Actuals!K472</f>
        <v>0</v>
      </c>
      <c r="O65" s="121">
        <f>+Actuals!L472</f>
        <v>0</v>
      </c>
      <c r="P65" s="120">
        <f>+Actuals!M472</f>
        <v>0</v>
      </c>
      <c r="Q65" s="121">
        <f>+Actuals!N472</f>
        <v>0</v>
      </c>
      <c r="R65" s="120">
        <f>+Actuals!O472</f>
        <v>0</v>
      </c>
      <c r="S65" s="121">
        <f>+Actuals!P472</f>
        <v>0</v>
      </c>
      <c r="T65" s="120">
        <f>+Actuals!Q472</f>
        <v>0</v>
      </c>
      <c r="U65" s="121">
        <f>+Actuals!R472</f>
        <v>0</v>
      </c>
      <c r="V65" s="120">
        <f>+Actuals!S472</f>
        <v>0</v>
      </c>
      <c r="W65" s="121">
        <f>+Actuals!T472</f>
        <v>0</v>
      </c>
      <c r="X65" s="120">
        <f>+Actuals!U472</f>
        <v>0</v>
      </c>
      <c r="Y65" s="121">
        <f>+Actuals!V472</f>
        <v>0</v>
      </c>
      <c r="Z65" s="120">
        <f>+Actuals!W472</f>
        <v>0</v>
      </c>
      <c r="AA65" s="121">
        <f>+Actuals!X472</f>
        <v>0</v>
      </c>
      <c r="AB65" s="120">
        <f>+Actuals!Y472</f>
        <v>0</v>
      </c>
      <c r="AC65" s="121">
        <f>+Actuals!Z472</f>
        <v>0</v>
      </c>
      <c r="AD65" s="120">
        <f>+Actuals!AA472</f>
        <v>0</v>
      </c>
      <c r="AE65" s="121">
        <f>+Actuals!AB472</f>
        <v>0</v>
      </c>
      <c r="AF65" s="120">
        <f>+Actuals!AC472</f>
        <v>0</v>
      </c>
      <c r="AG65" s="121">
        <f>+Actuals!AD472</f>
        <v>0</v>
      </c>
      <c r="AH65" s="120">
        <f>+Actuals!AE472</f>
        <v>0</v>
      </c>
      <c r="AI65" s="121">
        <f>+Actuals!AF472</f>
        <v>0</v>
      </c>
      <c r="AJ65" s="120">
        <f>+Actuals!AG472</f>
        <v>0</v>
      </c>
      <c r="AK65" s="121">
        <f>+Actuals!AH472</f>
        <v>0</v>
      </c>
      <c r="AL65" s="120">
        <f>+Actuals!AI472</f>
        <v>0</v>
      </c>
      <c r="AM65" s="121">
        <f>+Actuals!AJ472</f>
        <v>0</v>
      </c>
      <c r="AN65" s="120">
        <f>+Actuals!AK472</f>
        <v>0</v>
      </c>
      <c r="AO65" s="121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-33642.340000000004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-10000</v>
      </c>
      <c r="J66" s="61">
        <f t="shared" ref="J66:AO66" si="29">SUM(J64:J65)</f>
        <v>0</v>
      </c>
      <c r="K66" s="39">
        <f t="shared" si="29"/>
        <v>-1870.69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0.23</v>
      </c>
      <c r="T66" s="61">
        <f t="shared" si="29"/>
        <v>0</v>
      </c>
      <c r="U66" s="39">
        <f t="shared" si="29"/>
        <v>-21771.88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'TIE-OUT'!V70+RECLASS!T70</f>
        <v>0</v>
      </c>
      <c r="G70" s="68">
        <f>'TIE-OUT'!W70+RECLASS!U70</f>
        <v>-739518.78</v>
      </c>
      <c r="H70" s="120">
        <f>+Actuals!E473</f>
        <v>0</v>
      </c>
      <c r="I70" s="121">
        <f>+Actuals!F473</f>
        <v>0</v>
      </c>
      <c r="J70" s="120">
        <f>+Actuals!G473</f>
        <v>0</v>
      </c>
      <c r="K70" s="121">
        <f>+Actuals!H473</f>
        <v>0</v>
      </c>
      <c r="L70" s="120">
        <f>+Actuals!I473</f>
        <v>0</v>
      </c>
      <c r="M70" s="121">
        <f>+Actuals!J473</f>
        <v>0</v>
      </c>
      <c r="N70" s="120">
        <f>+Actuals!K473</f>
        <v>0</v>
      </c>
      <c r="O70" s="121">
        <f>+Actuals!L473</f>
        <v>0</v>
      </c>
      <c r="P70" s="120">
        <f>+Actuals!M473</f>
        <v>0</v>
      </c>
      <c r="Q70" s="121">
        <f>+Actuals!N473</f>
        <v>0</v>
      </c>
      <c r="R70" s="120">
        <f>+Actuals!O473</f>
        <v>0</v>
      </c>
      <c r="S70" s="121">
        <f>+Actuals!P473</f>
        <v>0</v>
      </c>
      <c r="T70" s="120">
        <f>+Actuals!Q473</f>
        <v>0</v>
      </c>
      <c r="U70" s="121">
        <f>+Actuals!R473</f>
        <v>0</v>
      </c>
      <c r="V70" s="120">
        <f>+Actuals!S473</f>
        <v>0</v>
      </c>
      <c r="W70" s="121">
        <f>+Actuals!T473</f>
        <v>0</v>
      </c>
      <c r="X70" s="120">
        <f>+Actuals!U473</f>
        <v>0</v>
      </c>
      <c r="Y70" s="121">
        <f>+Actuals!V473</f>
        <v>0</v>
      </c>
      <c r="Z70" s="120">
        <f>+Actuals!W473</f>
        <v>0</v>
      </c>
      <c r="AA70" s="121">
        <f>+Actuals!X473</f>
        <v>0</v>
      </c>
      <c r="AB70" s="120">
        <f>+Actuals!Y473</f>
        <v>0</v>
      </c>
      <c r="AC70" s="121">
        <f>+Actuals!Z473</f>
        <v>0</v>
      </c>
      <c r="AD70" s="120">
        <f>+Actuals!AA473</f>
        <v>0</v>
      </c>
      <c r="AE70" s="121">
        <f>+Actuals!AB473</f>
        <v>0</v>
      </c>
      <c r="AF70" s="120">
        <f>+Actuals!AC473</f>
        <v>0</v>
      </c>
      <c r="AG70" s="121">
        <f>+Actuals!AD473</f>
        <v>0</v>
      </c>
      <c r="AH70" s="120">
        <f>+Actuals!AE473</f>
        <v>0</v>
      </c>
      <c r="AI70" s="121">
        <f>+Actuals!AF473</f>
        <v>0</v>
      </c>
      <c r="AJ70" s="120">
        <f>+Actuals!AG473</f>
        <v>0</v>
      </c>
      <c r="AK70" s="121">
        <f>+Actuals!AH473</f>
        <v>0</v>
      </c>
      <c r="AL70" s="120">
        <f>+Actuals!AI473</f>
        <v>0</v>
      </c>
      <c r="AM70" s="121">
        <f>+Actuals!AJ473</f>
        <v>0</v>
      </c>
      <c r="AN70" s="120">
        <f>+Actuals!AK473</f>
        <v>0</v>
      </c>
      <c r="AO70" s="121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'TIE-OUT'!V71+RECLASS!T71</f>
        <v>0</v>
      </c>
      <c r="G71" s="82">
        <f>'TIE-OUT'!W71+RECLASS!U71</f>
        <v>1210109</v>
      </c>
      <c r="H71" s="120">
        <f>+Actuals!E474</f>
        <v>0</v>
      </c>
      <c r="I71" s="121">
        <f>+Actuals!F474</f>
        <v>0</v>
      </c>
      <c r="J71" s="120">
        <f>+Actuals!G474</f>
        <v>0</v>
      </c>
      <c r="K71" s="121">
        <f>+Actuals!H474</f>
        <v>0</v>
      </c>
      <c r="L71" s="120">
        <f>+Actuals!I474</f>
        <v>0</v>
      </c>
      <c r="M71" s="121">
        <f>+Actuals!J474</f>
        <v>0</v>
      </c>
      <c r="N71" s="120">
        <f>+Actuals!K474</f>
        <v>0</v>
      </c>
      <c r="O71" s="121">
        <f>+Actuals!L474</f>
        <v>0</v>
      </c>
      <c r="P71" s="120">
        <f>+Actuals!M474</f>
        <v>0</v>
      </c>
      <c r="Q71" s="121">
        <f>+Actuals!N474</f>
        <v>0</v>
      </c>
      <c r="R71" s="120">
        <f>+Actuals!O474</f>
        <v>0</v>
      </c>
      <c r="S71" s="121">
        <f>+Actuals!P474</f>
        <v>0</v>
      </c>
      <c r="T71" s="120">
        <f>+Actuals!Q474</f>
        <v>0</v>
      </c>
      <c r="U71" s="121">
        <f>+Actuals!R474</f>
        <v>0</v>
      </c>
      <c r="V71" s="120">
        <f>+Actuals!S474</f>
        <v>0</v>
      </c>
      <c r="W71" s="121">
        <f>+Actuals!T474</f>
        <v>0</v>
      </c>
      <c r="X71" s="120">
        <f>+Actuals!U474</f>
        <v>0</v>
      </c>
      <c r="Y71" s="121">
        <f>+Actuals!V474</f>
        <v>0</v>
      </c>
      <c r="Z71" s="120">
        <f>+Actuals!W474</f>
        <v>0</v>
      </c>
      <c r="AA71" s="121">
        <f>+Actuals!X474</f>
        <v>0</v>
      </c>
      <c r="AB71" s="120">
        <f>+Actuals!Y474</f>
        <v>0</v>
      </c>
      <c r="AC71" s="121">
        <f>+Actuals!Z474</f>
        <v>0</v>
      </c>
      <c r="AD71" s="120">
        <f>+Actuals!AA474</f>
        <v>0</v>
      </c>
      <c r="AE71" s="121">
        <f>+Actuals!AB474</f>
        <v>0</v>
      </c>
      <c r="AF71" s="120">
        <f>+Actuals!AC474</f>
        <v>0</v>
      </c>
      <c r="AG71" s="121">
        <f>+Actuals!AD474</f>
        <v>0</v>
      </c>
      <c r="AH71" s="120">
        <f>+Actuals!AE474</f>
        <v>0</v>
      </c>
      <c r="AI71" s="121">
        <f>+Actuals!AF474</f>
        <v>0</v>
      </c>
      <c r="AJ71" s="120">
        <f>+Actuals!AG474</f>
        <v>0</v>
      </c>
      <c r="AK71" s="121">
        <f>+Actuals!AH474</f>
        <v>0</v>
      </c>
      <c r="AL71" s="120">
        <f>+Actuals!AI474</f>
        <v>0</v>
      </c>
      <c r="AM71" s="121">
        <f>+Actuals!AJ474</f>
        <v>0</v>
      </c>
      <c r="AN71" s="120">
        <f>+Actuals!AK474</f>
        <v>0</v>
      </c>
      <c r="AO71" s="121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470590.22</v>
      </c>
      <c r="F72" s="61">
        <f t="shared" si="31"/>
        <v>0</v>
      </c>
      <c r="G72" s="39">
        <f t="shared" si="31"/>
        <v>470590.22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'TIE-OUT'!V73+RECLASS!T73</f>
        <v>0</v>
      </c>
      <c r="G73" s="60">
        <f>'TIE-OUT'!W73+RECLASS!U73</f>
        <v>0</v>
      </c>
      <c r="H73" s="120">
        <f>+Actuals!E475</f>
        <v>0</v>
      </c>
      <c r="I73" s="121">
        <f>+Actuals!F475</f>
        <v>0</v>
      </c>
      <c r="J73" s="120">
        <f>+Actuals!G475</f>
        <v>0</v>
      </c>
      <c r="K73" s="121">
        <f>+Actuals!H475</f>
        <v>0</v>
      </c>
      <c r="L73" s="120">
        <f>+Actuals!I475</f>
        <v>0</v>
      </c>
      <c r="M73" s="121">
        <f>+Actuals!J475</f>
        <v>0</v>
      </c>
      <c r="N73" s="120">
        <f>+Actuals!K475</f>
        <v>0</v>
      </c>
      <c r="O73" s="121">
        <f>+Actuals!L475</f>
        <v>0</v>
      </c>
      <c r="P73" s="120">
        <f>+Actuals!M475</f>
        <v>0</v>
      </c>
      <c r="Q73" s="121">
        <f>+Actuals!N475</f>
        <v>0</v>
      </c>
      <c r="R73" s="120">
        <f>+Actuals!O475</f>
        <v>0</v>
      </c>
      <c r="S73" s="121">
        <f>+Actuals!P475</f>
        <v>0</v>
      </c>
      <c r="T73" s="120">
        <f>+Actuals!Q475</f>
        <v>0</v>
      </c>
      <c r="U73" s="121">
        <f>+Actuals!R475</f>
        <v>0</v>
      </c>
      <c r="V73" s="120">
        <f>+Actuals!S475</f>
        <v>0</v>
      </c>
      <c r="W73" s="121">
        <f>+Actuals!T475</f>
        <v>0</v>
      </c>
      <c r="X73" s="120">
        <f>+Actuals!U475</f>
        <v>0</v>
      </c>
      <c r="Y73" s="121">
        <f>+Actuals!V475</f>
        <v>0</v>
      </c>
      <c r="Z73" s="120">
        <f>+Actuals!W475</f>
        <v>0</v>
      </c>
      <c r="AA73" s="121">
        <f>+Actuals!X475</f>
        <v>0</v>
      </c>
      <c r="AB73" s="120">
        <f>+Actuals!Y475</f>
        <v>0</v>
      </c>
      <c r="AC73" s="121">
        <f>+Actuals!Z475</f>
        <v>0</v>
      </c>
      <c r="AD73" s="120">
        <f>+Actuals!AA475</f>
        <v>0</v>
      </c>
      <c r="AE73" s="121">
        <f>+Actuals!AB475</f>
        <v>0</v>
      </c>
      <c r="AF73" s="120">
        <f>+Actuals!AC475</f>
        <v>0</v>
      </c>
      <c r="AG73" s="121">
        <f>+Actuals!AD475</f>
        <v>0</v>
      </c>
      <c r="AH73" s="120">
        <f>+Actuals!AE475</f>
        <v>0</v>
      </c>
      <c r="AI73" s="121">
        <f>+Actuals!AF475</f>
        <v>0</v>
      </c>
      <c r="AJ73" s="120">
        <f>+Actuals!AG475</f>
        <v>0</v>
      </c>
      <c r="AK73" s="121">
        <f>+Actuals!AH475</f>
        <v>0</v>
      </c>
      <c r="AL73" s="120">
        <f>+Actuals!AI475</f>
        <v>0</v>
      </c>
      <c r="AM73" s="121">
        <f>+Actuals!AJ475</f>
        <v>0</v>
      </c>
      <c r="AN73" s="120">
        <f>+Actuals!AK475</f>
        <v>0</v>
      </c>
      <c r="AO73" s="121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0</v>
      </c>
      <c r="F74" s="60">
        <f>'TIE-OUT'!V74+RECLASS!T74</f>
        <v>0</v>
      </c>
      <c r="G74" s="60">
        <f>'TIE-OUT'!W74+RECLASS!U74</f>
        <v>0</v>
      </c>
      <c r="H74" s="120">
        <f>+Actuals!E476</f>
        <v>0</v>
      </c>
      <c r="I74" s="121">
        <f>+Actuals!F476</f>
        <v>0</v>
      </c>
      <c r="J74" s="120">
        <f>+Actuals!G476</f>
        <v>0</v>
      </c>
      <c r="K74" s="121">
        <f>+Actuals!H476</f>
        <v>0</v>
      </c>
      <c r="L74" s="120">
        <f>+Actuals!I476</f>
        <v>0</v>
      </c>
      <c r="M74" s="121">
        <f>+Actuals!J476</f>
        <v>0</v>
      </c>
      <c r="N74" s="120">
        <f>+Actuals!K476</f>
        <v>0</v>
      </c>
      <c r="O74" s="121">
        <f>+Actuals!L476</f>
        <v>0</v>
      </c>
      <c r="P74" s="120">
        <f>+Actuals!M476</f>
        <v>0</v>
      </c>
      <c r="Q74" s="121">
        <f>+Actuals!N476</f>
        <v>0</v>
      </c>
      <c r="R74" s="120">
        <f>+Actuals!O476</f>
        <v>0</v>
      </c>
      <c r="S74" s="121">
        <f>+Actuals!P476</f>
        <v>0</v>
      </c>
      <c r="T74" s="120">
        <f>+Actuals!Q476</f>
        <v>0</v>
      </c>
      <c r="U74" s="121">
        <f>+Actuals!R476</f>
        <v>0</v>
      </c>
      <c r="V74" s="120">
        <f>+Actuals!S476</f>
        <v>0</v>
      </c>
      <c r="W74" s="121">
        <f>+Actuals!T476</f>
        <v>0</v>
      </c>
      <c r="X74" s="120">
        <f>+Actuals!U476</f>
        <v>0</v>
      </c>
      <c r="Y74" s="121">
        <f>+Actuals!V476</f>
        <v>0</v>
      </c>
      <c r="Z74" s="120">
        <f>+Actuals!W476</f>
        <v>0</v>
      </c>
      <c r="AA74" s="121">
        <f>+Actuals!X476</f>
        <v>0</v>
      </c>
      <c r="AB74" s="120">
        <f>+Actuals!Y476</f>
        <v>0</v>
      </c>
      <c r="AC74" s="121">
        <f>+Actuals!Z476</f>
        <v>0</v>
      </c>
      <c r="AD74" s="120">
        <f>+Actuals!AA476</f>
        <v>0</v>
      </c>
      <c r="AE74" s="121">
        <f>+Actuals!AB476</f>
        <v>0</v>
      </c>
      <c r="AF74" s="120">
        <f>+Actuals!AC476</f>
        <v>0</v>
      </c>
      <c r="AG74" s="121">
        <f>+Actuals!AD476</f>
        <v>0</v>
      </c>
      <c r="AH74" s="120">
        <f>+Actuals!AE476</f>
        <v>0</v>
      </c>
      <c r="AI74" s="121">
        <f>+Actuals!AF476</f>
        <v>0</v>
      </c>
      <c r="AJ74" s="120">
        <f>+Actuals!AG476</f>
        <v>0</v>
      </c>
      <c r="AK74" s="121">
        <f>+Actuals!AH476</f>
        <v>0</v>
      </c>
      <c r="AL74" s="120">
        <f>+Actuals!AI476</f>
        <v>0</v>
      </c>
      <c r="AM74" s="121">
        <f>+Actuals!AJ476</f>
        <v>0</v>
      </c>
      <c r="AN74" s="120">
        <f>+Actuals!AK476</f>
        <v>0</v>
      </c>
      <c r="AO74" s="121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0</v>
      </c>
      <c r="F75" s="60">
        <f>'TIE-OUT'!V75+RECLASS!T75</f>
        <v>0</v>
      </c>
      <c r="G75" s="60">
        <f>'TIE-OUT'!W75+RECLASS!U75</f>
        <v>0</v>
      </c>
      <c r="H75" s="120">
        <f>+Actuals!E477</f>
        <v>0</v>
      </c>
      <c r="I75" s="121">
        <f>+Actuals!F477</f>
        <v>0</v>
      </c>
      <c r="J75" s="120">
        <f>+Actuals!G477</f>
        <v>0</v>
      </c>
      <c r="K75" s="121">
        <f>+Actuals!H477</f>
        <v>0</v>
      </c>
      <c r="L75" s="120">
        <f>+Actuals!I477</f>
        <v>0</v>
      </c>
      <c r="M75" s="121">
        <f>+Actuals!J477</f>
        <v>0</v>
      </c>
      <c r="N75" s="120">
        <f>+Actuals!K477</f>
        <v>0</v>
      </c>
      <c r="O75" s="121">
        <f>+Actuals!L477</f>
        <v>0</v>
      </c>
      <c r="P75" s="120">
        <f>+Actuals!M477</f>
        <v>0</v>
      </c>
      <c r="Q75" s="121">
        <f>+Actuals!N477</f>
        <v>0</v>
      </c>
      <c r="R75" s="120">
        <f>+Actuals!O477</f>
        <v>0</v>
      </c>
      <c r="S75" s="121">
        <f>+Actuals!P477</f>
        <v>0</v>
      </c>
      <c r="T75" s="120">
        <f>+Actuals!Q477</f>
        <v>0</v>
      </c>
      <c r="U75" s="121">
        <f>+Actuals!R477</f>
        <v>0</v>
      </c>
      <c r="V75" s="120">
        <f>+Actuals!S477</f>
        <v>0</v>
      </c>
      <c r="W75" s="121">
        <f>+Actuals!T477</f>
        <v>0</v>
      </c>
      <c r="X75" s="120">
        <f>+Actuals!U477</f>
        <v>0</v>
      </c>
      <c r="Y75" s="121">
        <f>+Actuals!V477</f>
        <v>0</v>
      </c>
      <c r="Z75" s="120">
        <f>+Actuals!W477</f>
        <v>0</v>
      </c>
      <c r="AA75" s="121">
        <f>+Actuals!X477</f>
        <v>0</v>
      </c>
      <c r="AB75" s="120">
        <f>+Actuals!Y477</f>
        <v>0</v>
      </c>
      <c r="AC75" s="121">
        <f>+Actuals!Z477</f>
        <v>0</v>
      </c>
      <c r="AD75" s="120">
        <f>+Actuals!AA477</f>
        <v>0</v>
      </c>
      <c r="AE75" s="121">
        <f>+Actuals!AB477</f>
        <v>0</v>
      </c>
      <c r="AF75" s="120">
        <f>+Actuals!AC477</f>
        <v>0</v>
      </c>
      <c r="AG75" s="121">
        <f>+Actuals!AD477</f>
        <v>0</v>
      </c>
      <c r="AH75" s="120">
        <f>+Actuals!AE477</f>
        <v>0</v>
      </c>
      <c r="AI75" s="121">
        <f>+Actuals!AF477</f>
        <v>0</v>
      </c>
      <c r="AJ75" s="120">
        <f>+Actuals!AG477</f>
        <v>0</v>
      </c>
      <c r="AK75" s="121">
        <f>+Actuals!AH477</f>
        <v>0</v>
      </c>
      <c r="AL75" s="120">
        <f>+Actuals!AI477</f>
        <v>0</v>
      </c>
      <c r="AM75" s="121">
        <f>+Actuals!AJ477</f>
        <v>0</v>
      </c>
      <c r="AN75" s="120">
        <f>+Actuals!AK477</f>
        <v>0</v>
      </c>
      <c r="AO75" s="121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-875.02</v>
      </c>
      <c r="F76" s="60">
        <f>'TIE-OUT'!V76+RECLASS!T76</f>
        <v>0</v>
      </c>
      <c r="G76" s="60">
        <f>'TIE-OUT'!W76+RECLASS!U76</f>
        <v>0</v>
      </c>
      <c r="H76" s="120">
        <f>+Actuals!E478</f>
        <v>0</v>
      </c>
      <c r="I76" s="121">
        <f>+Actuals!F478</f>
        <v>-837.52</v>
      </c>
      <c r="J76" s="120">
        <f>+Actuals!G478</f>
        <v>0</v>
      </c>
      <c r="K76" s="121">
        <f>+Actuals!H478</f>
        <v>-37.5</v>
      </c>
      <c r="L76" s="120">
        <f>+Actuals!I478</f>
        <v>0</v>
      </c>
      <c r="M76" s="121">
        <f>+Actuals!J478</f>
        <v>0</v>
      </c>
      <c r="N76" s="120">
        <f>+Actuals!K478</f>
        <v>0</v>
      </c>
      <c r="O76" s="121">
        <f>+Actuals!L478</f>
        <v>0</v>
      </c>
      <c r="P76" s="120">
        <f>+Actuals!M478</f>
        <v>0</v>
      </c>
      <c r="Q76" s="121">
        <f>+Actuals!N478</f>
        <v>0</v>
      </c>
      <c r="R76" s="120">
        <f>+Actuals!O478</f>
        <v>0</v>
      </c>
      <c r="S76" s="121">
        <f>+Actuals!P478</f>
        <v>0</v>
      </c>
      <c r="T76" s="120">
        <f>+Actuals!Q478</f>
        <v>0</v>
      </c>
      <c r="U76" s="121">
        <f>+Actuals!R478</f>
        <v>0</v>
      </c>
      <c r="V76" s="120">
        <f>+Actuals!S478</f>
        <v>0</v>
      </c>
      <c r="W76" s="121">
        <f>+Actuals!T478</f>
        <v>0</v>
      </c>
      <c r="X76" s="120">
        <f>+Actuals!U478</f>
        <v>0</v>
      </c>
      <c r="Y76" s="121">
        <f>+Actuals!V478</f>
        <v>0</v>
      </c>
      <c r="Z76" s="120">
        <f>+Actuals!W478</f>
        <v>0</v>
      </c>
      <c r="AA76" s="121">
        <f>+Actuals!X478</f>
        <v>0</v>
      </c>
      <c r="AB76" s="120">
        <f>+Actuals!Y478</f>
        <v>0</v>
      </c>
      <c r="AC76" s="121">
        <f>+Actuals!Z478</f>
        <v>0</v>
      </c>
      <c r="AD76" s="120">
        <f>+Actuals!AA478</f>
        <v>0</v>
      </c>
      <c r="AE76" s="121">
        <f>+Actuals!AB478</f>
        <v>0</v>
      </c>
      <c r="AF76" s="120">
        <f>+Actuals!AC478</f>
        <v>0</v>
      </c>
      <c r="AG76" s="121">
        <f>+Actuals!AD478</f>
        <v>0</v>
      </c>
      <c r="AH76" s="120">
        <f>+Actuals!AE478</f>
        <v>0</v>
      </c>
      <c r="AI76" s="121">
        <f>+Actuals!AF478</f>
        <v>0</v>
      </c>
      <c r="AJ76" s="120">
        <f>+Actuals!AG478</f>
        <v>0</v>
      </c>
      <c r="AK76" s="121">
        <f>+Actuals!AH478</f>
        <v>0</v>
      </c>
      <c r="AL76" s="120">
        <f>+Actuals!AI478</f>
        <v>0</v>
      </c>
      <c r="AM76" s="121">
        <f>+Actuals!AJ478</f>
        <v>0</v>
      </c>
      <c r="AN76" s="120">
        <f>+Actuals!AK478</f>
        <v>0</v>
      </c>
      <c r="AO76" s="121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'TIE-OUT'!V77+RECLASS!T77</f>
        <v>0</v>
      </c>
      <c r="G77" s="60">
        <f>'TIE-OUT'!W77+RECLASS!U77</f>
        <v>0</v>
      </c>
      <c r="H77" s="120">
        <f>+Actuals!E479</f>
        <v>0</v>
      </c>
      <c r="I77" s="121">
        <f>+Actuals!F479</f>
        <v>0</v>
      </c>
      <c r="J77" s="120">
        <f>+Actuals!G479</f>
        <v>0</v>
      </c>
      <c r="K77" s="121">
        <f>+Actuals!H479</f>
        <v>0</v>
      </c>
      <c r="L77" s="120">
        <f>+Actuals!I479</f>
        <v>0</v>
      </c>
      <c r="M77" s="121">
        <f>+Actuals!J479</f>
        <v>0</v>
      </c>
      <c r="N77" s="120">
        <f>+Actuals!K479</f>
        <v>0</v>
      </c>
      <c r="O77" s="121">
        <f>+Actuals!L479</f>
        <v>0</v>
      </c>
      <c r="P77" s="120">
        <f>+Actuals!M479</f>
        <v>0</v>
      </c>
      <c r="Q77" s="121">
        <f>+Actuals!N479</f>
        <v>0</v>
      </c>
      <c r="R77" s="120">
        <f>+Actuals!O479</f>
        <v>0</v>
      </c>
      <c r="S77" s="121">
        <f>+Actuals!P479</f>
        <v>0</v>
      </c>
      <c r="T77" s="120">
        <f>+Actuals!Q479</f>
        <v>0</v>
      </c>
      <c r="U77" s="121">
        <f>+Actuals!R479</f>
        <v>0</v>
      </c>
      <c r="V77" s="120">
        <f>+Actuals!S479</f>
        <v>0</v>
      </c>
      <c r="W77" s="121">
        <f>+Actuals!T479</f>
        <v>0</v>
      </c>
      <c r="X77" s="120">
        <f>+Actuals!U479</f>
        <v>0</v>
      </c>
      <c r="Y77" s="121">
        <f>+Actuals!V479</f>
        <v>0</v>
      </c>
      <c r="Z77" s="120">
        <f>+Actuals!W479</f>
        <v>0</v>
      </c>
      <c r="AA77" s="121">
        <f>+Actuals!X479</f>
        <v>0</v>
      </c>
      <c r="AB77" s="120">
        <f>+Actuals!Y479</f>
        <v>0</v>
      </c>
      <c r="AC77" s="121">
        <f>+Actuals!Z479</f>
        <v>0</v>
      </c>
      <c r="AD77" s="120">
        <f>+Actuals!AA479</f>
        <v>0</v>
      </c>
      <c r="AE77" s="121">
        <f>+Actuals!AB479</f>
        <v>0</v>
      </c>
      <c r="AF77" s="120">
        <f>+Actuals!AC479</f>
        <v>0</v>
      </c>
      <c r="AG77" s="121">
        <f>+Actuals!AD479</f>
        <v>0</v>
      </c>
      <c r="AH77" s="120">
        <f>+Actuals!AE479</f>
        <v>0</v>
      </c>
      <c r="AI77" s="121">
        <f>+Actuals!AF479</f>
        <v>0</v>
      </c>
      <c r="AJ77" s="120">
        <f>+Actuals!AG479</f>
        <v>0</v>
      </c>
      <c r="AK77" s="121">
        <f>+Actuals!AH479</f>
        <v>0</v>
      </c>
      <c r="AL77" s="120">
        <f>+Actuals!AI479</f>
        <v>0</v>
      </c>
      <c r="AM77" s="121">
        <f>+Actuals!AJ479</f>
        <v>0</v>
      </c>
      <c r="AN77" s="120">
        <f>+Actuals!AK479</f>
        <v>0</v>
      </c>
      <c r="AO77" s="121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'TIE-OUT'!V78+RECLASS!T78</f>
        <v>0</v>
      </c>
      <c r="G78" s="60">
        <f>'TIE-OUT'!W78+RECLASS!U78</f>
        <v>0</v>
      </c>
      <c r="H78" s="120">
        <f>+Actuals!E480</f>
        <v>0</v>
      </c>
      <c r="I78" s="121">
        <f>+Actuals!F480</f>
        <v>0</v>
      </c>
      <c r="J78" s="120">
        <f>+Actuals!G480</f>
        <v>0</v>
      </c>
      <c r="K78" s="121">
        <f>+Actuals!H480</f>
        <v>0</v>
      </c>
      <c r="L78" s="120">
        <f>+Actuals!I480</f>
        <v>0</v>
      </c>
      <c r="M78" s="121">
        <f>+Actuals!J480</f>
        <v>0</v>
      </c>
      <c r="N78" s="120">
        <f>+Actuals!K480</f>
        <v>0</v>
      </c>
      <c r="O78" s="121">
        <f>+Actuals!L480</f>
        <v>0</v>
      </c>
      <c r="P78" s="120">
        <f>+Actuals!M480</f>
        <v>0</v>
      </c>
      <c r="Q78" s="121">
        <f>+Actuals!N480</f>
        <v>0</v>
      </c>
      <c r="R78" s="120">
        <f>+Actuals!O480</f>
        <v>0</v>
      </c>
      <c r="S78" s="121">
        <f>+Actuals!P480</f>
        <v>0</v>
      </c>
      <c r="T78" s="120">
        <f>+Actuals!Q480</f>
        <v>0</v>
      </c>
      <c r="U78" s="121">
        <f>+Actuals!R480</f>
        <v>0</v>
      </c>
      <c r="V78" s="120">
        <f>+Actuals!S480</f>
        <v>0</v>
      </c>
      <c r="W78" s="121">
        <f>+Actuals!T480</f>
        <v>0</v>
      </c>
      <c r="X78" s="120">
        <f>+Actuals!U480</f>
        <v>0</v>
      </c>
      <c r="Y78" s="121">
        <f>+Actuals!V480</f>
        <v>0</v>
      </c>
      <c r="Z78" s="120">
        <f>+Actuals!W480</f>
        <v>0</v>
      </c>
      <c r="AA78" s="121">
        <f>+Actuals!X480</f>
        <v>0</v>
      </c>
      <c r="AB78" s="120">
        <f>+Actuals!Y480</f>
        <v>0</v>
      </c>
      <c r="AC78" s="121">
        <f>+Actuals!Z480</f>
        <v>0</v>
      </c>
      <c r="AD78" s="120">
        <f>+Actuals!AA480</f>
        <v>0</v>
      </c>
      <c r="AE78" s="121">
        <f>+Actuals!AB480</f>
        <v>0</v>
      </c>
      <c r="AF78" s="120">
        <f>+Actuals!AC480</f>
        <v>0</v>
      </c>
      <c r="AG78" s="121">
        <f>+Actuals!AD480</f>
        <v>0</v>
      </c>
      <c r="AH78" s="120">
        <f>+Actuals!AE480</f>
        <v>0</v>
      </c>
      <c r="AI78" s="121">
        <f>+Actuals!AF480</f>
        <v>0</v>
      </c>
      <c r="AJ78" s="120">
        <f>+Actuals!AG480</f>
        <v>0</v>
      </c>
      <c r="AK78" s="121">
        <f>+Actuals!AH480</f>
        <v>0</v>
      </c>
      <c r="AL78" s="120">
        <f>+Actuals!AI480</f>
        <v>0</v>
      </c>
      <c r="AM78" s="121">
        <f>+Actuals!AJ480</f>
        <v>0</v>
      </c>
      <c r="AN78" s="120">
        <f>+Actuals!AK480</f>
        <v>0</v>
      </c>
      <c r="AO78" s="121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'TIE-OUT'!V79+RECLASS!T79</f>
        <v>0</v>
      </c>
      <c r="G79" s="60">
        <f>'TIE-OUT'!W79+RECLASS!U79</f>
        <v>0</v>
      </c>
      <c r="H79" s="120">
        <f>+Actuals!E481</f>
        <v>0</v>
      </c>
      <c r="I79" s="121">
        <f>+Actuals!F481</f>
        <v>0</v>
      </c>
      <c r="J79" s="120">
        <f>+Actuals!G481</f>
        <v>0</v>
      </c>
      <c r="K79" s="121">
        <f>+Actuals!H481</f>
        <v>0</v>
      </c>
      <c r="L79" s="120">
        <f>+Actuals!I481</f>
        <v>0</v>
      </c>
      <c r="M79" s="121">
        <f>+Actuals!J481</f>
        <v>0</v>
      </c>
      <c r="N79" s="120">
        <f>+Actuals!K481</f>
        <v>0</v>
      </c>
      <c r="O79" s="121">
        <f>+Actuals!L481</f>
        <v>0</v>
      </c>
      <c r="P79" s="120">
        <f>+Actuals!M481</f>
        <v>0</v>
      </c>
      <c r="Q79" s="121">
        <f>+Actuals!N481</f>
        <v>0</v>
      </c>
      <c r="R79" s="120">
        <f>+Actuals!O481</f>
        <v>0</v>
      </c>
      <c r="S79" s="121">
        <f>+Actuals!P481</f>
        <v>0</v>
      </c>
      <c r="T79" s="120">
        <f>+Actuals!Q481</f>
        <v>0</v>
      </c>
      <c r="U79" s="121">
        <f>+Actuals!R481</f>
        <v>0</v>
      </c>
      <c r="V79" s="120">
        <f>+Actuals!S481</f>
        <v>0</v>
      </c>
      <c r="W79" s="121">
        <f>+Actuals!T481</f>
        <v>0</v>
      </c>
      <c r="X79" s="120">
        <f>+Actuals!U481</f>
        <v>0</v>
      </c>
      <c r="Y79" s="121">
        <f>+Actuals!V481</f>
        <v>0</v>
      </c>
      <c r="Z79" s="120">
        <f>+Actuals!W481</f>
        <v>0</v>
      </c>
      <c r="AA79" s="121">
        <f>+Actuals!X481</f>
        <v>0</v>
      </c>
      <c r="AB79" s="120">
        <f>+Actuals!Y481</f>
        <v>0</v>
      </c>
      <c r="AC79" s="121">
        <f>+Actuals!Z481</f>
        <v>0</v>
      </c>
      <c r="AD79" s="120">
        <f>+Actuals!AA481</f>
        <v>0</v>
      </c>
      <c r="AE79" s="121">
        <f>+Actuals!AB481</f>
        <v>0</v>
      </c>
      <c r="AF79" s="120">
        <f>+Actuals!AC481</f>
        <v>0</v>
      </c>
      <c r="AG79" s="121">
        <f>+Actuals!AD481</f>
        <v>0</v>
      </c>
      <c r="AH79" s="120">
        <f>+Actuals!AE481</f>
        <v>0</v>
      </c>
      <c r="AI79" s="121">
        <f>+Actuals!AF481</f>
        <v>0</v>
      </c>
      <c r="AJ79" s="120">
        <f>+Actuals!AG481</f>
        <v>0</v>
      </c>
      <c r="AK79" s="121">
        <f>+Actuals!AH481</f>
        <v>0</v>
      </c>
      <c r="AL79" s="120">
        <f>+Actuals!AI481</f>
        <v>0</v>
      </c>
      <c r="AM79" s="121">
        <f>+Actuals!AJ481</f>
        <v>0</v>
      </c>
      <c r="AN79" s="120">
        <f>+Actuals!AK481</f>
        <v>0</v>
      </c>
      <c r="AO79" s="121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'TIE-OUT'!V80+RECLASS!T80</f>
        <v>0</v>
      </c>
      <c r="G80" s="60">
        <f>'TIE-OUT'!W80+RECLASS!U80</f>
        <v>0</v>
      </c>
      <c r="H80" s="120">
        <f>+Actuals!E482</f>
        <v>0</v>
      </c>
      <c r="I80" s="121">
        <f>+Actuals!F482</f>
        <v>0</v>
      </c>
      <c r="J80" s="120">
        <f>+Actuals!G482</f>
        <v>0</v>
      </c>
      <c r="K80" s="121">
        <f>+Actuals!H482</f>
        <v>0</v>
      </c>
      <c r="L80" s="120">
        <f>+Actuals!I482</f>
        <v>0</v>
      </c>
      <c r="M80" s="121">
        <f>+Actuals!J482</f>
        <v>0</v>
      </c>
      <c r="N80" s="120">
        <f>+Actuals!K482</f>
        <v>0</v>
      </c>
      <c r="O80" s="121">
        <f>+Actuals!L482</f>
        <v>0</v>
      </c>
      <c r="P80" s="120">
        <f>+Actuals!M482</f>
        <v>0</v>
      </c>
      <c r="Q80" s="121">
        <f>+Actuals!N482</f>
        <v>0</v>
      </c>
      <c r="R80" s="120">
        <f>+Actuals!O482</f>
        <v>0</v>
      </c>
      <c r="S80" s="121">
        <f>+Actuals!P482</f>
        <v>0</v>
      </c>
      <c r="T80" s="120">
        <f>+Actuals!Q482</f>
        <v>0</v>
      </c>
      <c r="U80" s="121">
        <f>+Actuals!R482</f>
        <v>0</v>
      </c>
      <c r="V80" s="120">
        <f>+Actuals!S482</f>
        <v>0</v>
      </c>
      <c r="W80" s="121">
        <f>+Actuals!T482</f>
        <v>0</v>
      </c>
      <c r="X80" s="120">
        <f>+Actuals!U482</f>
        <v>0</v>
      </c>
      <c r="Y80" s="121">
        <f>+Actuals!V482</f>
        <v>0</v>
      </c>
      <c r="Z80" s="120">
        <f>+Actuals!W482</f>
        <v>0</v>
      </c>
      <c r="AA80" s="121">
        <f>+Actuals!X482</f>
        <v>0</v>
      </c>
      <c r="AB80" s="120">
        <f>+Actuals!Y482</f>
        <v>0</v>
      </c>
      <c r="AC80" s="121">
        <f>+Actuals!Z482</f>
        <v>0</v>
      </c>
      <c r="AD80" s="120">
        <f>+Actuals!AA482</f>
        <v>0</v>
      </c>
      <c r="AE80" s="121">
        <f>+Actuals!AB482</f>
        <v>0</v>
      </c>
      <c r="AF80" s="120">
        <f>+Actuals!AC482</f>
        <v>0</v>
      </c>
      <c r="AG80" s="121">
        <f>+Actuals!AD482</f>
        <v>0</v>
      </c>
      <c r="AH80" s="120">
        <f>+Actuals!AE482</f>
        <v>0</v>
      </c>
      <c r="AI80" s="121">
        <f>+Actuals!AF482</f>
        <v>0</v>
      </c>
      <c r="AJ80" s="120">
        <f>+Actuals!AG482</f>
        <v>0</v>
      </c>
      <c r="AK80" s="121">
        <f>+Actuals!AH482</f>
        <v>0</v>
      </c>
      <c r="AL80" s="120">
        <f>+Actuals!AI482</f>
        <v>0</v>
      </c>
      <c r="AM80" s="121">
        <f>+Actuals!AJ482</f>
        <v>0</v>
      </c>
      <c r="AN80" s="120">
        <f>+Actuals!AK482</f>
        <v>0</v>
      </c>
      <c r="AO80" s="121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-1000000</v>
      </c>
      <c r="F81" s="60">
        <f>'TIE-OUT'!V81+RECLASS!T81</f>
        <v>0</v>
      </c>
      <c r="G81" s="60">
        <f>'TIE-OUT'!W81+RECLASS!U81</f>
        <v>0</v>
      </c>
      <c r="H81" s="120">
        <f>+Actuals!E483</f>
        <v>0</v>
      </c>
      <c r="I81" s="121">
        <f>+Actuals!F483</f>
        <v>-1000000</v>
      </c>
      <c r="J81" s="120">
        <f>+Actuals!G483</f>
        <v>0</v>
      </c>
      <c r="K81" s="121">
        <f>+Actuals!H483</f>
        <v>0</v>
      </c>
      <c r="L81" s="120">
        <f>+Actuals!I483</f>
        <v>0</v>
      </c>
      <c r="M81" s="121">
        <f>+Actuals!J483</f>
        <v>0</v>
      </c>
      <c r="N81" s="120">
        <f>+Actuals!K483</f>
        <v>0</v>
      </c>
      <c r="O81" s="121">
        <f>+Actuals!L483</f>
        <v>0</v>
      </c>
      <c r="P81" s="120">
        <f>+Actuals!M483</f>
        <v>0</v>
      </c>
      <c r="Q81" s="121">
        <f>+Actuals!N483</f>
        <v>0</v>
      </c>
      <c r="R81" s="120">
        <f>+Actuals!O483</f>
        <v>0</v>
      </c>
      <c r="S81" s="121">
        <f>+Actuals!P483</f>
        <v>0</v>
      </c>
      <c r="T81" s="120">
        <f>+Actuals!Q483</f>
        <v>0</v>
      </c>
      <c r="U81" s="121">
        <f>+Actuals!R483</f>
        <v>0</v>
      </c>
      <c r="V81" s="120">
        <f>+Actuals!S483</f>
        <v>0</v>
      </c>
      <c r="W81" s="121">
        <f>+Actuals!T483</f>
        <v>0</v>
      </c>
      <c r="X81" s="120">
        <f>+Actuals!U483</f>
        <v>0</v>
      </c>
      <c r="Y81" s="121">
        <f>+Actuals!V483</f>
        <v>0</v>
      </c>
      <c r="Z81" s="120">
        <f>+Actuals!W483</f>
        <v>0</v>
      </c>
      <c r="AA81" s="121">
        <f>+Actuals!X483</f>
        <v>0</v>
      </c>
      <c r="AB81" s="120">
        <f>+Actuals!Y483</f>
        <v>0</v>
      </c>
      <c r="AC81" s="121">
        <f>+Actuals!Z483</f>
        <v>0</v>
      </c>
      <c r="AD81" s="120">
        <f>+Actuals!AA483</f>
        <v>0</v>
      </c>
      <c r="AE81" s="121">
        <f>+Actuals!AB483</f>
        <v>0</v>
      </c>
      <c r="AF81" s="120">
        <f>+Actuals!AC483</f>
        <v>0</v>
      </c>
      <c r="AG81" s="121">
        <f>+Actuals!AD483</f>
        <v>0</v>
      </c>
      <c r="AH81" s="120">
        <f>+Actuals!AE483</f>
        <v>0</v>
      </c>
      <c r="AI81" s="121">
        <f>+Actuals!AF483</f>
        <v>0</v>
      </c>
      <c r="AJ81" s="120">
        <f>+Actuals!AG483</f>
        <v>0</v>
      </c>
      <c r="AK81" s="121">
        <f>+Actuals!AH483</f>
        <v>0</v>
      </c>
      <c r="AL81" s="120">
        <f>+Actuals!AI483</f>
        <v>0</v>
      </c>
      <c r="AM81" s="121">
        <f>+Actuals!AJ483</f>
        <v>0</v>
      </c>
      <c r="AN81" s="120">
        <f>+Actuals!AK483</f>
        <v>0</v>
      </c>
      <c r="AO81" s="121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396446.40300000034</v>
      </c>
      <c r="F82" s="91">
        <f>F16+F24+F29+F36+F43+F45+F47+F49</f>
        <v>0</v>
      </c>
      <c r="G82" s="92">
        <f>SUM(G72:G81)+G16+G24+G29+G36+G43+G45+G47+G49+G51+G56+G61+G66</f>
        <v>-2430810.9000000008</v>
      </c>
      <c r="H82" s="91">
        <f>H16+H24+H29+H36+H43+H45+H47+H49</f>
        <v>0</v>
      </c>
      <c r="I82" s="92">
        <f>SUM(I72:I81)+I16+I24+I29+I36+I43+I45+I47+I49+I51+I56+I61+I66</f>
        <v>4688584.1859999942</v>
      </c>
      <c r="J82" s="91">
        <f>J16+J24+J29+J36+J43+J45+J47+J49</f>
        <v>0</v>
      </c>
      <c r="K82" s="142">
        <f>SUM(K72:K81)+K16+K24+K29+K36+K43+K45+K47+K49+K51+K56+K61+K66</f>
        <v>-1763374.0649999992</v>
      </c>
      <c r="L82" s="91">
        <f>L16+L24+L29+L36+L43+L45+L47+L49</f>
        <v>0</v>
      </c>
      <c r="M82" s="92">
        <f>SUM(M72:M81)+M16+M24+M29+M36+M43+M45+M47+M49+M51+M56+M61+M66</f>
        <v>-284636.9149999998</v>
      </c>
      <c r="N82" s="91">
        <f>N16+N24+N29+N36+N43+N45+N47+N49</f>
        <v>0</v>
      </c>
      <c r="O82" s="92">
        <f>SUM(O72:O81)+O16+O24+O29+O36+O43+O45+O47+O49+O51+O56+O61+O66</f>
        <v>43391.767999999814</v>
      </c>
      <c r="P82" s="91">
        <f>P16+P24+P29+P36+P43+P45+P47+P49</f>
        <v>0</v>
      </c>
      <c r="Q82" s="92">
        <f>SUM(Q72:Q81)+Q16+Q24+Q29+Q36+Q43+Q45+Q47+Q49+Q51+Q56+Q61+Q66</f>
        <v>-7716.3149999998832</v>
      </c>
      <c r="R82" s="91">
        <f>R16+R24+R29+R36+R43+R45+R47+R49</f>
        <v>0</v>
      </c>
      <c r="S82" s="92">
        <f>SUM(S72:S81)+S16+S24+S29+S36+S43+S45+S47+S49+S51+S56+S61+S66</f>
        <v>281731.89999999985</v>
      </c>
      <c r="T82" s="91">
        <f>T16+T24+T29+T36+T43+T45+T47+T49</f>
        <v>0</v>
      </c>
      <c r="U82" s="92">
        <f>SUM(U72:U81)+U16+U24+U29+U36+U43+U45+U47+U49+U51+U56+U61+U66</f>
        <v>-112106.41600000065</v>
      </c>
      <c r="V82" s="91">
        <f>V16+V24+V29+V36+V43+V45+V47+V49</f>
        <v>0</v>
      </c>
      <c r="W82" s="92">
        <f>SUM(W72:W81)+W16+W24+W29+W36+W43+W45+W47+W49+W51+W56+W61+W66</f>
        <v>486.25000000001631</v>
      </c>
      <c r="X82" s="91">
        <f>X16+X24+X29+X36+X43+X45+X47+X49</f>
        <v>0</v>
      </c>
      <c r="Y82" s="92">
        <f>SUM(Y72:Y81)+Y16+Y24+Y29+Y36+Y43+Y45+Y47+Y49+Y51+Y56+Y61+Y66</f>
        <v>-19101.51999999999</v>
      </c>
      <c r="Z82" s="91">
        <f>Z16+Z24+Z29+Z36+Z43+Z45+Z47+Z49</f>
        <v>0</v>
      </c>
      <c r="AA82" s="92">
        <f>SUM(AA72:AA81)+AA16+AA24+AA29+AA36+AA43+AA45+AA47+AA49+AA51+AA56+AA61+AA66</f>
        <v>-1.5699999999999967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6"/>
      <c r="C86" s="10" t="s">
        <v>166</v>
      </c>
      <c r="D86" s="147">
        <f t="shared" ref="D86:E88" si="35">SUM(F86,H86,J86,L86,N86,P86,R86,T86,V86,X86,Z86,AB86,AD86)</f>
        <v>0</v>
      </c>
      <c r="E86" s="147">
        <f t="shared" si="35"/>
        <v>0</v>
      </c>
      <c r="F86" s="147">
        <f>'TIE-OUT'!V86+RECLASS!T86</f>
        <v>0</v>
      </c>
      <c r="G86" s="147">
        <f>'TIE-OUT'!W86+RECLASS!U86</f>
        <v>0</v>
      </c>
      <c r="H86" s="147">
        <v>0</v>
      </c>
      <c r="I86" s="147">
        <v>0</v>
      </c>
      <c r="J86" s="147">
        <v>0</v>
      </c>
      <c r="K86" s="147"/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0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5">
      <c r="A87" s="146"/>
      <c r="C87" s="10" t="s">
        <v>71</v>
      </c>
      <c r="D87" s="148">
        <f t="shared" si="35"/>
        <v>0</v>
      </c>
      <c r="E87" s="148">
        <f t="shared" si="35"/>
        <v>0</v>
      </c>
      <c r="F87" s="148">
        <f>'TIE-OUT'!V87+RECLASS!T87</f>
        <v>0</v>
      </c>
      <c r="G87" s="148">
        <f>'TIE-OUT'!W87+RECLASS!U87</f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5">
      <c r="A88" s="146"/>
      <c r="C88" s="10" t="s">
        <v>72</v>
      </c>
      <c r="D88" s="149">
        <f t="shared" si="35"/>
        <v>0</v>
      </c>
      <c r="E88" s="149">
        <f t="shared" si="35"/>
        <v>0</v>
      </c>
      <c r="F88" s="149">
        <f>'TIE-OUT'!V88+RECLASS!T88</f>
        <v>0</v>
      </c>
      <c r="G88" s="149">
        <f>'TIE-OUT'!W88+RECLASS!U88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M89" si="36">SUM(E86:E88)</f>
        <v>0</v>
      </c>
      <c r="F89" s="157">
        <f t="shared" si="36"/>
        <v>0</v>
      </c>
      <c r="G89" s="157">
        <f t="shared" si="36"/>
        <v>0</v>
      </c>
      <c r="H89" s="157">
        <f t="shared" si="36"/>
        <v>0</v>
      </c>
      <c r="I89" s="157">
        <f t="shared" si="36"/>
        <v>0</v>
      </c>
      <c r="J89" s="157">
        <f t="shared" si="36"/>
        <v>0</v>
      </c>
      <c r="K89" s="157">
        <f t="shared" si="36"/>
        <v>0</v>
      </c>
      <c r="L89" s="157">
        <f t="shared" si="36"/>
        <v>0</v>
      </c>
      <c r="M89" s="157">
        <f t="shared" si="36"/>
        <v>0</v>
      </c>
      <c r="N89" s="157">
        <f t="shared" ref="N89:AE89" si="37">SUM(N86:N88)</f>
        <v>0</v>
      </c>
      <c r="O89" s="157">
        <f t="shared" si="37"/>
        <v>0</v>
      </c>
      <c r="P89" s="157">
        <f t="shared" si="37"/>
        <v>0</v>
      </c>
      <c r="Q89" s="157">
        <f t="shared" si="37"/>
        <v>0</v>
      </c>
      <c r="R89" s="157">
        <f t="shared" si="37"/>
        <v>0</v>
      </c>
      <c r="S89" s="157">
        <f t="shared" si="37"/>
        <v>0</v>
      </c>
      <c r="T89" s="157">
        <f t="shared" si="37"/>
        <v>0</v>
      </c>
      <c r="U89" s="157">
        <f t="shared" si="37"/>
        <v>0</v>
      </c>
      <c r="V89" s="157">
        <f t="shared" si="37"/>
        <v>0</v>
      </c>
      <c r="W89" s="157">
        <f t="shared" si="37"/>
        <v>0</v>
      </c>
      <c r="X89" s="157">
        <f t="shared" si="37"/>
        <v>0</v>
      </c>
      <c r="Y89" s="157">
        <f t="shared" si="37"/>
        <v>0</v>
      </c>
      <c r="Z89" s="157">
        <f t="shared" si="37"/>
        <v>0</v>
      </c>
      <c r="AA89" s="157">
        <f t="shared" si="37"/>
        <v>0</v>
      </c>
      <c r="AB89" s="157">
        <f t="shared" si="37"/>
        <v>0</v>
      </c>
      <c r="AC89" s="157">
        <f t="shared" si="37"/>
        <v>0</v>
      </c>
      <c r="AD89" s="157">
        <f t="shared" si="37"/>
        <v>0</v>
      </c>
      <c r="AE89" s="157">
        <f t="shared" si="37"/>
        <v>0</v>
      </c>
      <c r="AF89" s="157">
        <f t="shared" ref="AF89:AO89" si="38">SUM(AF86:AF88)</f>
        <v>0</v>
      </c>
      <c r="AG89" s="157">
        <f t="shared" si="38"/>
        <v>0</v>
      </c>
      <c r="AH89" s="157">
        <f t="shared" si="38"/>
        <v>0</v>
      </c>
      <c r="AI89" s="157">
        <f t="shared" si="38"/>
        <v>0</v>
      </c>
      <c r="AJ89" s="157">
        <f t="shared" si="38"/>
        <v>0</v>
      </c>
      <c r="AK89" s="157">
        <f t="shared" si="38"/>
        <v>0</v>
      </c>
      <c r="AL89" s="157">
        <f t="shared" si="38"/>
        <v>0</v>
      </c>
      <c r="AM89" s="157">
        <f t="shared" si="38"/>
        <v>0</v>
      </c>
      <c r="AN89" s="157">
        <f t="shared" si="38"/>
        <v>0</v>
      </c>
      <c r="AO89" s="157">
        <f t="shared" si="3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3"/>
      <c r="B91" s="154"/>
      <c r="C91" s="159" t="s">
        <v>172</v>
      </c>
      <c r="D91" s="157">
        <f>+D82+D89</f>
        <v>0</v>
      </c>
      <c r="E91" s="157">
        <f t="shared" ref="E91:M91" si="39">+E82+E89</f>
        <v>396446.40300000034</v>
      </c>
      <c r="F91" s="157">
        <f t="shared" si="39"/>
        <v>0</v>
      </c>
      <c r="G91" s="157">
        <f t="shared" si="39"/>
        <v>-2430810.9000000008</v>
      </c>
      <c r="H91" s="157">
        <f t="shared" si="39"/>
        <v>0</v>
      </c>
      <c r="I91" s="157">
        <f t="shared" si="39"/>
        <v>4688584.1859999942</v>
      </c>
      <c r="J91" s="157">
        <f t="shared" si="39"/>
        <v>0</v>
      </c>
      <c r="K91" s="157">
        <f t="shared" si="39"/>
        <v>-1763374.0649999992</v>
      </c>
      <c r="L91" s="157">
        <f t="shared" si="39"/>
        <v>0</v>
      </c>
      <c r="M91" s="157">
        <f t="shared" si="39"/>
        <v>-284636.9149999998</v>
      </c>
      <c r="N91" s="157">
        <f t="shared" ref="N91:AE91" si="40">+N82+N89</f>
        <v>0</v>
      </c>
      <c r="O91" s="157">
        <f t="shared" si="40"/>
        <v>43391.767999999814</v>
      </c>
      <c r="P91" s="157">
        <f t="shared" si="40"/>
        <v>0</v>
      </c>
      <c r="Q91" s="157">
        <f t="shared" si="40"/>
        <v>-7716.3149999998832</v>
      </c>
      <c r="R91" s="157">
        <f t="shared" si="40"/>
        <v>0</v>
      </c>
      <c r="S91" s="157">
        <f t="shared" si="40"/>
        <v>281731.89999999985</v>
      </c>
      <c r="T91" s="157">
        <f t="shared" si="40"/>
        <v>0</v>
      </c>
      <c r="U91" s="157">
        <f t="shared" si="40"/>
        <v>-112106.41600000065</v>
      </c>
      <c r="V91" s="157">
        <f t="shared" si="40"/>
        <v>0</v>
      </c>
      <c r="W91" s="157">
        <f t="shared" si="40"/>
        <v>486.25000000001631</v>
      </c>
      <c r="X91" s="157">
        <f t="shared" si="40"/>
        <v>0</v>
      </c>
      <c r="Y91" s="157">
        <f t="shared" si="40"/>
        <v>-19101.51999999999</v>
      </c>
      <c r="Z91" s="157">
        <f t="shared" si="40"/>
        <v>0</v>
      </c>
      <c r="AA91" s="157">
        <f t="shared" si="40"/>
        <v>-1.5699999999999967</v>
      </c>
      <c r="AB91" s="157">
        <f t="shared" si="40"/>
        <v>0</v>
      </c>
      <c r="AC91" s="157">
        <f t="shared" si="40"/>
        <v>0</v>
      </c>
      <c r="AD91" s="157">
        <f t="shared" si="40"/>
        <v>0</v>
      </c>
      <c r="AE91" s="157">
        <f t="shared" si="40"/>
        <v>0</v>
      </c>
      <c r="AF91" s="157">
        <f t="shared" ref="AF91:AO91" si="41">+AF82+AF89</f>
        <v>0</v>
      </c>
      <c r="AG91" s="157">
        <f t="shared" si="41"/>
        <v>0</v>
      </c>
      <c r="AH91" s="157">
        <f t="shared" si="41"/>
        <v>0</v>
      </c>
      <c r="AI91" s="157">
        <f t="shared" si="41"/>
        <v>0</v>
      </c>
      <c r="AJ91" s="157">
        <f t="shared" si="41"/>
        <v>0</v>
      </c>
      <c r="AK91" s="157">
        <f t="shared" si="41"/>
        <v>0</v>
      </c>
      <c r="AL91" s="157">
        <f t="shared" si="41"/>
        <v>0</v>
      </c>
      <c r="AM91" s="157">
        <f t="shared" si="41"/>
        <v>0</v>
      </c>
      <c r="AN91" s="157">
        <f t="shared" si="41"/>
        <v>0</v>
      </c>
      <c r="AO91" s="157">
        <f t="shared" si="4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V176"/>
  <sheetViews>
    <sheetView zoomScale="75" workbookViewId="0">
      <pane xSplit="3" ySplit="9" topLeftCell="R79" activePane="bottomRight" state="frozen"/>
      <selection activeCell="Z9" sqref="Z9"/>
      <selection pane="topRight" activeCell="Z9" sqref="Z9"/>
      <selection pane="bottomLeft" activeCell="Z9" sqref="Z9"/>
      <selection pane="bottomRight" activeCell="Z9" sqref="Z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6640625" style="129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103912</v>
      </c>
      <c r="E11" s="38">
        <f>SUM(G11,I11,K11,M11,O11,Q11,S11,U11,W11,Y11,AA11,AC11,AE11)</f>
        <v>221436.47</v>
      </c>
      <c r="F11" s="60">
        <f>'TIE-OUT'!T11+RECLASS!R11</f>
        <v>0</v>
      </c>
      <c r="G11" s="38">
        <f>'TIE-OUT'!U11+RECLASS!S11</f>
        <v>0</v>
      </c>
      <c r="H11" s="120">
        <f>+Actuals!E4</f>
        <v>102990</v>
      </c>
      <c r="I11" s="121">
        <f>+Actuals!F4</f>
        <v>219471.69</v>
      </c>
      <c r="J11" s="120">
        <f>+Actuals!G4</f>
        <v>922</v>
      </c>
      <c r="K11" s="121">
        <f>+Actuals!H4</f>
        <v>1964.78</v>
      </c>
      <c r="L11" s="120">
        <f>+Actuals!I4</f>
        <v>0</v>
      </c>
      <c r="M11" s="121">
        <f>+Actuals!J4</f>
        <v>0</v>
      </c>
      <c r="N11" s="120">
        <f>+Actuals!K4</f>
        <v>0</v>
      </c>
      <c r="O11" s="121">
        <f>+Actuals!L4</f>
        <v>0</v>
      </c>
      <c r="P11" s="120">
        <f>+Actuals!M4</f>
        <v>0</v>
      </c>
      <c r="Q11" s="121">
        <f>+Actuals!N4</f>
        <v>0</v>
      </c>
      <c r="R11" s="120">
        <f>+Actuals!O4</f>
        <v>0</v>
      </c>
      <c r="S11" s="121">
        <f>+Actuals!P4</f>
        <v>0</v>
      </c>
      <c r="T11" s="120">
        <f>+Actuals!Q4</f>
        <v>0</v>
      </c>
      <c r="U11" s="121">
        <f>+Actuals!R4</f>
        <v>0</v>
      </c>
      <c r="V11" s="120">
        <f>+Actuals!S4</f>
        <v>0</v>
      </c>
      <c r="W11" s="121">
        <f>+Actuals!T4</f>
        <v>0</v>
      </c>
      <c r="X11" s="120">
        <f>+Actuals!U4</f>
        <v>0</v>
      </c>
      <c r="Y11" s="121">
        <f>+Actuals!V4</f>
        <v>0</v>
      </c>
      <c r="Z11" s="120">
        <f>+Actuals!W4</f>
        <v>0</v>
      </c>
      <c r="AA11" s="121">
        <f>+Actuals!X4</f>
        <v>0</v>
      </c>
      <c r="AB11" s="120">
        <f>+Actuals!Y4</f>
        <v>0</v>
      </c>
      <c r="AC11" s="121">
        <f>+Actuals!Z4</f>
        <v>0</v>
      </c>
      <c r="AD11" s="120">
        <f>+Actuals!AA4</f>
        <v>0</v>
      </c>
      <c r="AE11" s="121">
        <f>+Actuals!AB4</f>
        <v>0</v>
      </c>
      <c r="AF11" s="120">
        <f>+Actuals!AC4</f>
        <v>0</v>
      </c>
      <c r="AG11" s="121">
        <f>+Actuals!AD4</f>
        <v>0</v>
      </c>
      <c r="AH11" s="120">
        <f>+Actuals!AE4</f>
        <v>0</v>
      </c>
      <c r="AI11" s="121">
        <f>+Actuals!AF4</f>
        <v>0</v>
      </c>
      <c r="AJ11" s="120">
        <f>+Actuals!AG4</f>
        <v>0</v>
      </c>
      <c r="AK11" s="121">
        <f>+Actuals!AH4</f>
        <v>0</v>
      </c>
      <c r="AL11" s="120">
        <f>+Actuals!AI4</f>
        <v>0</v>
      </c>
      <c r="AM11" s="121">
        <f>+Actuals!AJ4</f>
        <v>0</v>
      </c>
      <c r="AN11" s="120">
        <f>+Actuals!AK4</f>
        <v>0</v>
      </c>
      <c r="AO11" s="121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-6993.6</v>
      </c>
      <c r="F12" s="60">
        <f>'TIE-OUT'!T12+RECLASS!R12</f>
        <v>0</v>
      </c>
      <c r="G12" s="38">
        <f>'TIE-OUT'!U12+RECLASS!S12</f>
        <v>-6993.6</v>
      </c>
      <c r="H12" s="120">
        <f>+Actuals!E5</f>
        <v>0</v>
      </c>
      <c r="I12" s="121">
        <f>+Actuals!F5</f>
        <v>0</v>
      </c>
      <c r="J12" s="120">
        <f>+Actuals!G5</f>
        <v>0</v>
      </c>
      <c r="K12" s="121">
        <f>+Actuals!H5</f>
        <v>0</v>
      </c>
      <c r="L12" s="120">
        <f>+Actuals!I5</f>
        <v>0</v>
      </c>
      <c r="M12" s="121">
        <f>+Actuals!J5</f>
        <v>0</v>
      </c>
      <c r="N12" s="120">
        <f>+Actuals!K5</f>
        <v>0</v>
      </c>
      <c r="O12" s="121">
        <f>+Actuals!L5</f>
        <v>0</v>
      </c>
      <c r="P12" s="120">
        <f>+Actuals!M5</f>
        <v>0</v>
      </c>
      <c r="Q12" s="121">
        <f>+Actuals!N5</f>
        <v>0</v>
      </c>
      <c r="R12" s="120">
        <f>+Actuals!O5</f>
        <v>0</v>
      </c>
      <c r="S12" s="121">
        <f>+Actuals!P5</f>
        <v>0</v>
      </c>
      <c r="T12" s="120">
        <f>+Actuals!Q5</f>
        <v>0</v>
      </c>
      <c r="U12" s="121">
        <f>+Actuals!R5</f>
        <v>0</v>
      </c>
      <c r="V12" s="120">
        <f>+Actuals!S5</f>
        <v>0</v>
      </c>
      <c r="W12" s="121">
        <f>+Actuals!T5</f>
        <v>0</v>
      </c>
      <c r="X12" s="120">
        <f>+Actuals!U5</f>
        <v>0</v>
      </c>
      <c r="Y12" s="121">
        <f>+Actuals!V5</f>
        <v>0</v>
      </c>
      <c r="Z12" s="120">
        <f>+Actuals!W5</f>
        <v>0</v>
      </c>
      <c r="AA12" s="121">
        <f>+Actuals!X5</f>
        <v>0</v>
      </c>
      <c r="AB12" s="120">
        <f>+Actuals!Y5</f>
        <v>0</v>
      </c>
      <c r="AC12" s="121">
        <f>+Actuals!Z5</f>
        <v>0</v>
      </c>
      <c r="AD12" s="120">
        <f>+Actuals!AA5</f>
        <v>0</v>
      </c>
      <c r="AE12" s="121">
        <f>+Actuals!AB5</f>
        <v>0</v>
      </c>
      <c r="AF12" s="120">
        <f>+Actuals!AC5</f>
        <v>0</v>
      </c>
      <c r="AG12" s="121">
        <f>+Actuals!AD5</f>
        <v>0</v>
      </c>
      <c r="AH12" s="120">
        <f>+Actuals!AE5</f>
        <v>0</v>
      </c>
      <c r="AI12" s="121">
        <f>+Actuals!AF5</f>
        <v>0</v>
      </c>
      <c r="AJ12" s="120">
        <f>+Actuals!AG5</f>
        <v>0</v>
      </c>
      <c r="AK12" s="121">
        <f>+Actuals!AH5</f>
        <v>0</v>
      </c>
      <c r="AL12" s="120">
        <f>+Actuals!AI5</f>
        <v>0</v>
      </c>
      <c r="AM12" s="121">
        <f>+Actuals!AJ5</f>
        <v>0</v>
      </c>
      <c r="AN12" s="120">
        <f>+Actuals!AK5</f>
        <v>0</v>
      </c>
      <c r="AO12" s="121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20">
        <f>+Actuals!E6</f>
        <v>0</v>
      </c>
      <c r="I13" s="121">
        <f>+Actuals!F6</f>
        <v>0</v>
      </c>
      <c r="J13" s="120">
        <f>+Actuals!G6</f>
        <v>0</v>
      </c>
      <c r="K13" s="121">
        <f>+Actuals!H6</f>
        <v>0</v>
      </c>
      <c r="L13" s="120">
        <f>+Actuals!I6</f>
        <v>0</v>
      </c>
      <c r="M13" s="121">
        <f>+Actuals!J6</f>
        <v>0</v>
      </c>
      <c r="N13" s="120">
        <f>+Actuals!K6</f>
        <v>0</v>
      </c>
      <c r="O13" s="121">
        <f>+Actuals!L6</f>
        <v>0</v>
      </c>
      <c r="P13" s="120">
        <f>+Actuals!M6</f>
        <v>0</v>
      </c>
      <c r="Q13" s="121">
        <f>+Actuals!N6</f>
        <v>0</v>
      </c>
      <c r="R13" s="120">
        <f>+Actuals!O6</f>
        <v>0</v>
      </c>
      <c r="S13" s="121">
        <f>+Actuals!P6</f>
        <v>0</v>
      </c>
      <c r="T13" s="120">
        <f>+Actuals!Q6</f>
        <v>0</v>
      </c>
      <c r="U13" s="121">
        <f>+Actuals!R6</f>
        <v>0</v>
      </c>
      <c r="V13" s="120">
        <f>+Actuals!S6</f>
        <v>0</v>
      </c>
      <c r="W13" s="121">
        <f>+Actuals!T6</f>
        <v>0</v>
      </c>
      <c r="X13" s="120">
        <f>+Actuals!U6</f>
        <v>0</v>
      </c>
      <c r="Y13" s="121">
        <f>+Actuals!V6</f>
        <v>0</v>
      </c>
      <c r="Z13" s="120">
        <f>+Actuals!W6</f>
        <v>0</v>
      </c>
      <c r="AA13" s="121">
        <f>+Actuals!X6</f>
        <v>0</v>
      </c>
      <c r="AB13" s="120">
        <f>+Actuals!Y6</f>
        <v>0</v>
      </c>
      <c r="AC13" s="121">
        <f>+Actuals!Z6</f>
        <v>0</v>
      </c>
      <c r="AD13" s="120">
        <f>+Actuals!AA6</f>
        <v>0</v>
      </c>
      <c r="AE13" s="121">
        <f>+Actuals!AB6</f>
        <v>0</v>
      </c>
      <c r="AF13" s="120">
        <f>+Actuals!AC6</f>
        <v>0</v>
      </c>
      <c r="AG13" s="121">
        <f>+Actuals!AD6</f>
        <v>0</v>
      </c>
      <c r="AH13" s="120">
        <f>+Actuals!AE6</f>
        <v>0</v>
      </c>
      <c r="AI13" s="121">
        <f>+Actuals!AF6</f>
        <v>0</v>
      </c>
      <c r="AJ13" s="120">
        <f>+Actuals!AG6</f>
        <v>0</v>
      </c>
      <c r="AK13" s="121">
        <f>+Actuals!AH6</f>
        <v>0</v>
      </c>
      <c r="AL13" s="120">
        <f>+Actuals!AI6</f>
        <v>0</v>
      </c>
      <c r="AM13" s="121">
        <f>+Actuals!AJ6</f>
        <v>0</v>
      </c>
      <c r="AN13" s="120">
        <f>+Actuals!AK6</f>
        <v>0</v>
      </c>
      <c r="AO13" s="121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20">
        <f>+Actuals!E7</f>
        <v>0</v>
      </c>
      <c r="I14" s="121">
        <f>+Actuals!F7</f>
        <v>0</v>
      </c>
      <c r="J14" s="120">
        <f>+Actuals!G7</f>
        <v>0</v>
      </c>
      <c r="K14" s="121">
        <f>+Actuals!H7</f>
        <v>0</v>
      </c>
      <c r="L14" s="120">
        <f>+Actuals!I7</f>
        <v>0</v>
      </c>
      <c r="M14" s="121">
        <f>+Actuals!J7</f>
        <v>0</v>
      </c>
      <c r="N14" s="120">
        <f>+Actuals!K7</f>
        <v>0</v>
      </c>
      <c r="O14" s="121">
        <f>+Actuals!L7</f>
        <v>0</v>
      </c>
      <c r="P14" s="120">
        <f>+Actuals!M7</f>
        <v>0</v>
      </c>
      <c r="Q14" s="121">
        <f>+Actuals!N7</f>
        <v>0</v>
      </c>
      <c r="R14" s="120">
        <f>+Actuals!O7</f>
        <v>0</v>
      </c>
      <c r="S14" s="121">
        <f>+Actuals!P7</f>
        <v>0</v>
      </c>
      <c r="T14" s="120">
        <f>+Actuals!Q7</f>
        <v>0</v>
      </c>
      <c r="U14" s="121">
        <f>+Actuals!R7</f>
        <v>0</v>
      </c>
      <c r="V14" s="120">
        <f>+Actuals!S7</f>
        <v>0</v>
      </c>
      <c r="W14" s="121">
        <f>+Actuals!T7</f>
        <v>0</v>
      </c>
      <c r="X14" s="120">
        <f>+Actuals!U7</f>
        <v>0</v>
      </c>
      <c r="Y14" s="121">
        <f>+Actuals!V7</f>
        <v>0</v>
      </c>
      <c r="Z14" s="120">
        <f>+Actuals!W7</f>
        <v>0</v>
      </c>
      <c r="AA14" s="121">
        <f>+Actuals!X7</f>
        <v>0</v>
      </c>
      <c r="AB14" s="120">
        <f>+Actuals!Y7</f>
        <v>0</v>
      </c>
      <c r="AC14" s="121">
        <f>+Actuals!Z7</f>
        <v>0</v>
      </c>
      <c r="AD14" s="120">
        <f>+Actuals!AA7</f>
        <v>0</v>
      </c>
      <c r="AE14" s="121">
        <f>+Actuals!AB7</f>
        <v>0</v>
      </c>
      <c r="AF14" s="120">
        <f>+Actuals!AC7</f>
        <v>0</v>
      </c>
      <c r="AG14" s="121">
        <f>+Actuals!AD7</f>
        <v>0</v>
      </c>
      <c r="AH14" s="120">
        <f>+Actuals!AE7</f>
        <v>0</v>
      </c>
      <c r="AI14" s="121">
        <f>+Actuals!AF7</f>
        <v>0</v>
      </c>
      <c r="AJ14" s="120">
        <f>+Actuals!AG7</f>
        <v>0</v>
      </c>
      <c r="AK14" s="121">
        <f>+Actuals!AH7</f>
        <v>0</v>
      </c>
      <c r="AL14" s="120">
        <f>+Actuals!AI7</f>
        <v>0</v>
      </c>
      <c r="AM14" s="121">
        <f>+Actuals!AJ7</f>
        <v>0</v>
      </c>
      <c r="AN14" s="120">
        <f>+Actuals!AK7</f>
        <v>0</v>
      </c>
      <c r="AO14" s="121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20">
        <f>+Actuals!E8</f>
        <v>0</v>
      </c>
      <c r="I15" s="121">
        <f>+Actuals!F8</f>
        <v>0</v>
      </c>
      <c r="J15" s="120">
        <f>+Actuals!G8</f>
        <v>0</v>
      </c>
      <c r="K15" s="121">
        <f>+Actuals!H8</f>
        <v>0</v>
      </c>
      <c r="L15" s="120">
        <f>+Actuals!I8</f>
        <v>0</v>
      </c>
      <c r="M15" s="121">
        <f>+Actuals!J8</f>
        <v>0</v>
      </c>
      <c r="N15" s="120">
        <f>+Actuals!K8</f>
        <v>0</v>
      </c>
      <c r="O15" s="121">
        <f>+Actuals!L8</f>
        <v>0</v>
      </c>
      <c r="P15" s="120">
        <f>+Actuals!M8</f>
        <v>0</v>
      </c>
      <c r="Q15" s="121">
        <f>+Actuals!N8</f>
        <v>0</v>
      </c>
      <c r="R15" s="120">
        <f>+Actuals!O8</f>
        <v>0</v>
      </c>
      <c r="S15" s="121">
        <f>+Actuals!P8</f>
        <v>0</v>
      </c>
      <c r="T15" s="120">
        <f>+Actuals!Q8</f>
        <v>0</v>
      </c>
      <c r="U15" s="121">
        <f>+Actuals!R8</f>
        <v>0</v>
      </c>
      <c r="V15" s="120">
        <f>+Actuals!S8</f>
        <v>0</v>
      </c>
      <c r="W15" s="121">
        <f>+Actuals!T8</f>
        <v>0</v>
      </c>
      <c r="X15" s="120">
        <f>+Actuals!U8</f>
        <v>0</v>
      </c>
      <c r="Y15" s="121">
        <f>+Actuals!V8</f>
        <v>0</v>
      </c>
      <c r="Z15" s="120">
        <f>+Actuals!W8</f>
        <v>0</v>
      </c>
      <c r="AA15" s="121">
        <f>+Actuals!X8</f>
        <v>0</v>
      </c>
      <c r="AB15" s="120">
        <f>+Actuals!Y8</f>
        <v>0</v>
      </c>
      <c r="AC15" s="121">
        <f>+Actuals!Z8</f>
        <v>0</v>
      </c>
      <c r="AD15" s="120">
        <f>+Actuals!AA8</f>
        <v>0</v>
      </c>
      <c r="AE15" s="121">
        <f>+Actuals!AB8</f>
        <v>0</v>
      </c>
      <c r="AF15" s="120">
        <f>+Actuals!AC8</f>
        <v>0</v>
      </c>
      <c r="AG15" s="121">
        <f>+Actuals!AD8</f>
        <v>0</v>
      </c>
      <c r="AH15" s="120">
        <f>+Actuals!AE8</f>
        <v>0</v>
      </c>
      <c r="AI15" s="121">
        <f>+Actuals!AF8</f>
        <v>0</v>
      </c>
      <c r="AJ15" s="120">
        <f>+Actuals!AG8</f>
        <v>0</v>
      </c>
      <c r="AK15" s="121">
        <f>+Actuals!AH8</f>
        <v>0</v>
      </c>
      <c r="AL15" s="120">
        <f>+Actuals!AI8</f>
        <v>0</v>
      </c>
      <c r="AM15" s="121">
        <f>+Actuals!AJ8</f>
        <v>0</v>
      </c>
      <c r="AN15" s="120">
        <f>+Actuals!AK8</f>
        <v>0</v>
      </c>
      <c r="AO15" s="121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103912</v>
      </c>
      <c r="E16" s="39">
        <f t="shared" si="1"/>
        <v>214442.87</v>
      </c>
      <c r="F16" s="61">
        <f t="shared" si="1"/>
        <v>0</v>
      </c>
      <c r="G16" s="39">
        <f t="shared" si="1"/>
        <v>-6993.6</v>
      </c>
      <c r="H16" s="61">
        <f t="shared" si="1"/>
        <v>102990</v>
      </c>
      <c r="I16" s="39">
        <f t="shared" si="1"/>
        <v>219471.69</v>
      </c>
      <c r="J16" s="61">
        <f t="shared" si="1"/>
        <v>922</v>
      </c>
      <c r="K16" s="39">
        <f t="shared" si="1"/>
        <v>1964.78</v>
      </c>
      <c r="L16" s="61">
        <f t="shared" si="1"/>
        <v>0</v>
      </c>
      <c r="M16" s="39">
        <f t="shared" si="1"/>
        <v>0</v>
      </c>
      <c r="N16" s="61">
        <f t="shared" ref="N16:S16" si="2">SUM(N11:N15)</f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-129420.02000000002</v>
      </c>
      <c r="F19" s="64">
        <f>'TIE-OUT'!T19+RECLASS!R19</f>
        <v>0</v>
      </c>
      <c r="G19" s="68">
        <f>'TIE-OUT'!U19+RECLASS!S19</f>
        <v>0</v>
      </c>
      <c r="H19" s="120">
        <f>+Actuals!E9</f>
        <v>20212</v>
      </c>
      <c r="I19" s="121">
        <f>+Actuals!F9</f>
        <v>41373.96</v>
      </c>
      <c r="J19" s="120">
        <f>+Actuals!G9</f>
        <v>-20212</v>
      </c>
      <c r="K19" s="121">
        <f>+Actuals!H9</f>
        <v>-41373.96</v>
      </c>
      <c r="L19" s="120">
        <f>+Actuals!I9</f>
        <v>0</v>
      </c>
      <c r="M19" s="121">
        <f>+Actuals!J9</f>
        <v>0</v>
      </c>
      <c r="N19" s="120">
        <f>+Actuals!K9</f>
        <v>0</v>
      </c>
      <c r="O19" s="121">
        <f>+Actuals!L9</f>
        <v>0</v>
      </c>
      <c r="P19" s="120">
        <f>+Actuals!M9</f>
        <v>0</v>
      </c>
      <c r="Q19" s="121">
        <f>+Actuals!N9</f>
        <v>0</v>
      </c>
      <c r="R19" s="120">
        <f>+Actuals!O9</f>
        <v>0</v>
      </c>
      <c r="S19" s="219">
        <f>+Actuals!P9-135977</f>
        <v>-135977</v>
      </c>
      <c r="T19" s="120">
        <f>+Actuals!Q9</f>
        <v>0</v>
      </c>
      <c r="U19" s="121">
        <f>+Actuals!R9</f>
        <v>0</v>
      </c>
      <c r="V19" s="120">
        <f>+Actuals!S9</f>
        <v>0</v>
      </c>
      <c r="W19" s="121">
        <v>-6556.98</v>
      </c>
      <c r="X19" s="120">
        <f>+Actuals!U9</f>
        <v>0</v>
      </c>
      <c r="Y19" s="121">
        <v>13113.96</v>
      </c>
      <c r="Z19" s="120">
        <f>+Actuals!W9</f>
        <v>0</v>
      </c>
      <c r="AA19" s="121">
        <f>+Actuals!X9</f>
        <v>0</v>
      </c>
      <c r="AB19" s="120">
        <f>+Actuals!Y9</f>
        <v>0</v>
      </c>
      <c r="AC19" s="121">
        <f>+Actuals!Z9</f>
        <v>0</v>
      </c>
      <c r="AD19" s="120">
        <f>+Actuals!AA9</f>
        <v>0</v>
      </c>
      <c r="AE19" s="121">
        <f>+Actuals!AB9</f>
        <v>0</v>
      </c>
      <c r="AF19" s="120">
        <f>+Actuals!AC9</f>
        <v>0</v>
      </c>
      <c r="AG19" s="121">
        <f>+Actuals!AD9</f>
        <v>0</v>
      </c>
      <c r="AH19" s="120">
        <f>+Actuals!AE9</f>
        <v>0</v>
      </c>
      <c r="AI19" s="121">
        <f>+Actuals!AF9</f>
        <v>0</v>
      </c>
      <c r="AJ19" s="120">
        <f>+Actuals!AG9</f>
        <v>0</v>
      </c>
      <c r="AK19" s="121">
        <f>+Actuals!AH9</f>
        <v>0</v>
      </c>
      <c r="AL19" s="120">
        <f>+Actuals!AI9</f>
        <v>0</v>
      </c>
      <c r="AM19" s="121">
        <f>+Actuals!AJ9</f>
        <v>0</v>
      </c>
      <c r="AN19" s="120">
        <f>+Actuals!AK9</f>
        <v>0</v>
      </c>
      <c r="AO19" s="121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'TIE-OUT'!T20+RECLASS!R20</f>
        <v>0</v>
      </c>
      <c r="G20" s="38">
        <f>'TIE-OUT'!U20+RECLASS!S20</f>
        <v>0</v>
      </c>
      <c r="H20" s="120">
        <f>+Actuals!E10</f>
        <v>0</v>
      </c>
      <c r="I20" s="121">
        <f>+Actuals!F10</f>
        <v>0</v>
      </c>
      <c r="J20" s="120">
        <f>+Actuals!G10</f>
        <v>0</v>
      </c>
      <c r="K20" s="121">
        <f>+Actuals!H10</f>
        <v>0</v>
      </c>
      <c r="L20" s="120">
        <f>+Actuals!I10</f>
        <v>0</v>
      </c>
      <c r="M20" s="121">
        <f>+Actuals!J10</f>
        <v>0</v>
      </c>
      <c r="N20" s="120">
        <f>+Actuals!K10</f>
        <v>0</v>
      </c>
      <c r="O20" s="121">
        <f>+Actuals!L10</f>
        <v>0</v>
      </c>
      <c r="P20" s="120">
        <f>+Actuals!M10</f>
        <v>0</v>
      </c>
      <c r="Q20" s="121">
        <f>+Actuals!N10</f>
        <v>0</v>
      </c>
      <c r="R20" s="120">
        <f>+Actuals!O10</f>
        <v>0</v>
      </c>
      <c r="S20" s="121">
        <f>+Actuals!P10</f>
        <v>0</v>
      </c>
      <c r="T20" s="120">
        <f>+Actuals!Q10</f>
        <v>0</v>
      </c>
      <c r="U20" s="121">
        <f>+Actuals!R10</f>
        <v>0</v>
      </c>
      <c r="V20" s="120">
        <f>+Actuals!S10</f>
        <v>0</v>
      </c>
      <c r="W20" s="121">
        <f>+Actuals!T10</f>
        <v>0</v>
      </c>
      <c r="X20" s="120">
        <f>+Actuals!U10</f>
        <v>0</v>
      </c>
      <c r="Y20" s="121">
        <f>+Actuals!V10</f>
        <v>0</v>
      </c>
      <c r="Z20" s="120">
        <f>+Actuals!W10</f>
        <v>0</v>
      </c>
      <c r="AA20" s="121">
        <f>+Actuals!X10</f>
        <v>0</v>
      </c>
      <c r="AB20" s="120">
        <f>+Actuals!Y10</f>
        <v>0</v>
      </c>
      <c r="AC20" s="121">
        <f>+Actuals!Z10</f>
        <v>0</v>
      </c>
      <c r="AD20" s="120">
        <f>+Actuals!AA10</f>
        <v>0</v>
      </c>
      <c r="AE20" s="121">
        <f>+Actuals!AB10</f>
        <v>0</v>
      </c>
      <c r="AF20" s="120">
        <f>+Actuals!AC10</f>
        <v>0</v>
      </c>
      <c r="AG20" s="121">
        <f>+Actuals!AD10</f>
        <v>0</v>
      </c>
      <c r="AH20" s="120">
        <f>+Actuals!AE10</f>
        <v>0</v>
      </c>
      <c r="AI20" s="121">
        <f>+Actuals!AF10</f>
        <v>0</v>
      </c>
      <c r="AJ20" s="120">
        <f>+Actuals!AG10</f>
        <v>0</v>
      </c>
      <c r="AK20" s="121">
        <f>+Actuals!AH10</f>
        <v>0</v>
      </c>
      <c r="AL20" s="120">
        <f>+Actuals!AI10</f>
        <v>0</v>
      </c>
      <c r="AM20" s="121">
        <f>+Actuals!AJ10</f>
        <v>0</v>
      </c>
      <c r="AN20" s="120">
        <f>+Actuals!AK10</f>
        <v>0</v>
      </c>
      <c r="AO20" s="121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'TIE-OUT'!T21+RECLASS!R21</f>
        <v>0</v>
      </c>
      <c r="G21" s="38">
        <f>'TIE-OUT'!U21+RECLASS!S21</f>
        <v>0</v>
      </c>
      <c r="H21" s="120">
        <f>+Actuals!E11</f>
        <v>0</v>
      </c>
      <c r="I21" s="121">
        <f>+Actuals!F11</f>
        <v>0</v>
      </c>
      <c r="J21" s="120">
        <f>+Actuals!G11</f>
        <v>0</v>
      </c>
      <c r="K21" s="121">
        <f>+Actuals!H11</f>
        <v>0</v>
      </c>
      <c r="L21" s="120">
        <f>+Actuals!I11</f>
        <v>0</v>
      </c>
      <c r="M21" s="121">
        <f>+Actuals!J11</f>
        <v>0</v>
      </c>
      <c r="N21" s="120">
        <f>+Actuals!K11</f>
        <v>0</v>
      </c>
      <c r="O21" s="121">
        <f>+Actuals!L11</f>
        <v>0</v>
      </c>
      <c r="P21" s="120">
        <f>+Actuals!M11</f>
        <v>0</v>
      </c>
      <c r="Q21" s="121">
        <f>+Actuals!N11</f>
        <v>0</v>
      </c>
      <c r="R21" s="120">
        <f>+Actuals!O11</f>
        <v>0</v>
      </c>
      <c r="S21" s="121">
        <f>+Actuals!P11</f>
        <v>0</v>
      </c>
      <c r="T21" s="120">
        <f>+Actuals!Q11</f>
        <v>0</v>
      </c>
      <c r="U21" s="121">
        <f>+Actuals!R11</f>
        <v>0</v>
      </c>
      <c r="V21" s="120">
        <f>+Actuals!S11</f>
        <v>0</v>
      </c>
      <c r="W21" s="121">
        <f>+Actuals!T11</f>
        <v>0</v>
      </c>
      <c r="X21" s="120">
        <f>+Actuals!U11</f>
        <v>0</v>
      </c>
      <c r="Y21" s="121">
        <f>+Actuals!V11</f>
        <v>0</v>
      </c>
      <c r="Z21" s="120">
        <f>+Actuals!W11</f>
        <v>0</v>
      </c>
      <c r="AA21" s="121">
        <f>+Actuals!X11</f>
        <v>0</v>
      </c>
      <c r="AB21" s="120">
        <f>+Actuals!Y11</f>
        <v>0</v>
      </c>
      <c r="AC21" s="121">
        <f>+Actuals!Z11</f>
        <v>0</v>
      </c>
      <c r="AD21" s="120">
        <f>+Actuals!AA11</f>
        <v>0</v>
      </c>
      <c r="AE21" s="121">
        <f>+Actuals!AB11</f>
        <v>0</v>
      </c>
      <c r="AF21" s="120">
        <f>+Actuals!AC11</f>
        <v>0</v>
      </c>
      <c r="AG21" s="121">
        <f>+Actuals!AD11</f>
        <v>0</v>
      </c>
      <c r="AH21" s="120">
        <f>+Actuals!AE11</f>
        <v>0</v>
      </c>
      <c r="AI21" s="121">
        <f>+Actuals!AF11</f>
        <v>0</v>
      </c>
      <c r="AJ21" s="120">
        <f>+Actuals!AG11</f>
        <v>0</v>
      </c>
      <c r="AK21" s="121">
        <f>+Actuals!AH11</f>
        <v>0</v>
      </c>
      <c r="AL21" s="120">
        <f>+Actuals!AI11</f>
        <v>0</v>
      </c>
      <c r="AM21" s="121">
        <f>+Actuals!AJ11</f>
        <v>0</v>
      </c>
      <c r="AN21" s="120">
        <f>+Actuals!AK11</f>
        <v>0</v>
      </c>
      <c r="AO21" s="121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'TIE-OUT'!T22+RECLASS!R22</f>
        <v>0</v>
      </c>
      <c r="G22" s="38">
        <f>'TIE-OUT'!U22+RECLASS!S22</f>
        <v>0</v>
      </c>
      <c r="H22" s="120">
        <f>+Actuals!E12</f>
        <v>0</v>
      </c>
      <c r="I22" s="121">
        <f>+Actuals!F12</f>
        <v>0</v>
      </c>
      <c r="J22" s="120">
        <f>+Actuals!G12</f>
        <v>0</v>
      </c>
      <c r="K22" s="121">
        <f>+Actuals!H12</f>
        <v>0</v>
      </c>
      <c r="L22" s="120">
        <f>+Actuals!I12</f>
        <v>0</v>
      </c>
      <c r="M22" s="121">
        <f>+Actuals!J12</f>
        <v>0</v>
      </c>
      <c r="N22" s="120">
        <f>+Actuals!K12</f>
        <v>0</v>
      </c>
      <c r="O22" s="121">
        <f>+Actuals!L12</f>
        <v>0</v>
      </c>
      <c r="P22" s="120">
        <f>+Actuals!M12</f>
        <v>0</v>
      </c>
      <c r="Q22" s="121">
        <f>+Actuals!N12</f>
        <v>0</v>
      </c>
      <c r="R22" s="120">
        <f>+Actuals!O12</f>
        <v>0</v>
      </c>
      <c r="S22" s="121">
        <f>+Actuals!P12</f>
        <v>0</v>
      </c>
      <c r="T22" s="120">
        <f>+Actuals!Q12</f>
        <v>0</v>
      </c>
      <c r="U22" s="121">
        <f>+Actuals!R12</f>
        <v>0</v>
      </c>
      <c r="V22" s="120">
        <f>+Actuals!S12</f>
        <v>0</v>
      </c>
      <c r="W22" s="121">
        <f>+Actuals!T12</f>
        <v>0</v>
      </c>
      <c r="X22" s="120">
        <f>+Actuals!U12</f>
        <v>0</v>
      </c>
      <c r="Y22" s="121">
        <f>+Actuals!V12</f>
        <v>0</v>
      </c>
      <c r="Z22" s="120">
        <f>+Actuals!W12</f>
        <v>0</v>
      </c>
      <c r="AA22" s="121">
        <f>+Actuals!X12</f>
        <v>0</v>
      </c>
      <c r="AB22" s="120">
        <f>+Actuals!Y12</f>
        <v>0</v>
      </c>
      <c r="AC22" s="121">
        <f>+Actuals!Z12</f>
        <v>0</v>
      </c>
      <c r="AD22" s="120">
        <f>+Actuals!AA12</f>
        <v>0</v>
      </c>
      <c r="AE22" s="121">
        <f>+Actuals!AB12</f>
        <v>0</v>
      </c>
      <c r="AF22" s="120">
        <f>+Actuals!AC12</f>
        <v>0</v>
      </c>
      <c r="AG22" s="121">
        <f>+Actuals!AD12</f>
        <v>0</v>
      </c>
      <c r="AH22" s="120">
        <f>+Actuals!AE12</f>
        <v>0</v>
      </c>
      <c r="AI22" s="121">
        <f>+Actuals!AF12</f>
        <v>0</v>
      </c>
      <c r="AJ22" s="120">
        <f>+Actuals!AG12</f>
        <v>0</v>
      </c>
      <c r="AK22" s="121">
        <f>+Actuals!AH12</f>
        <v>0</v>
      </c>
      <c r="AL22" s="120">
        <f>+Actuals!AI12</f>
        <v>0</v>
      </c>
      <c r="AM22" s="121">
        <f>+Actuals!AJ12</f>
        <v>0</v>
      </c>
      <c r="AN22" s="120">
        <f>+Actuals!AK12</f>
        <v>0</v>
      </c>
      <c r="AO22" s="121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'TIE-OUT'!T23+RECLASS!R23</f>
        <v>0</v>
      </c>
      <c r="G23" s="82">
        <f>'TIE-OUT'!U23+RECLASS!S23</f>
        <v>0</v>
      </c>
      <c r="H23" s="120">
        <f>+Actuals!E13</f>
        <v>0</v>
      </c>
      <c r="I23" s="121">
        <f>+Actuals!F13</f>
        <v>0</v>
      </c>
      <c r="J23" s="120">
        <f>+Actuals!G13</f>
        <v>0</v>
      </c>
      <c r="K23" s="121">
        <f>+Actuals!H13</f>
        <v>0</v>
      </c>
      <c r="L23" s="120">
        <f>+Actuals!I13</f>
        <v>0</v>
      </c>
      <c r="M23" s="121">
        <f>+Actuals!J13</f>
        <v>0</v>
      </c>
      <c r="N23" s="120">
        <f>+Actuals!K13</f>
        <v>0</v>
      </c>
      <c r="O23" s="121">
        <f>+Actuals!L13</f>
        <v>0</v>
      </c>
      <c r="P23" s="120">
        <f>+Actuals!M13</f>
        <v>0</v>
      </c>
      <c r="Q23" s="121">
        <f>+Actuals!N13</f>
        <v>0</v>
      </c>
      <c r="R23" s="120">
        <f>+Actuals!O13</f>
        <v>0</v>
      </c>
      <c r="S23" s="121">
        <f>+Actuals!P13</f>
        <v>0</v>
      </c>
      <c r="T23" s="120">
        <f>+Actuals!Q13</f>
        <v>0</v>
      </c>
      <c r="U23" s="121">
        <f>+Actuals!R13</f>
        <v>0</v>
      </c>
      <c r="V23" s="120">
        <f>+Actuals!S13</f>
        <v>0</v>
      </c>
      <c r="W23" s="121">
        <f>+Actuals!T13</f>
        <v>0</v>
      </c>
      <c r="X23" s="120">
        <f>+Actuals!U13</f>
        <v>0</v>
      </c>
      <c r="Y23" s="121">
        <f>+Actuals!V13</f>
        <v>0</v>
      </c>
      <c r="Z23" s="120">
        <f>+Actuals!W13</f>
        <v>0</v>
      </c>
      <c r="AA23" s="121">
        <f>+Actuals!X13</f>
        <v>0</v>
      </c>
      <c r="AB23" s="120">
        <f>+Actuals!Y13</f>
        <v>0</v>
      </c>
      <c r="AC23" s="121">
        <f>+Actuals!Z13</f>
        <v>0</v>
      </c>
      <c r="AD23" s="120">
        <f>+Actuals!AA13</f>
        <v>0</v>
      </c>
      <c r="AE23" s="121">
        <f>+Actuals!AB13</f>
        <v>0</v>
      </c>
      <c r="AF23" s="120">
        <f>+Actuals!AC13</f>
        <v>0</v>
      </c>
      <c r="AG23" s="121">
        <f>+Actuals!AD13</f>
        <v>0</v>
      </c>
      <c r="AH23" s="120">
        <f>+Actuals!AE13</f>
        <v>0</v>
      </c>
      <c r="AI23" s="121">
        <f>+Actuals!AF13</f>
        <v>0</v>
      </c>
      <c r="AJ23" s="120">
        <f>+Actuals!AG13</f>
        <v>0</v>
      </c>
      <c r="AK23" s="121">
        <f>+Actuals!AH13</f>
        <v>0</v>
      </c>
      <c r="AL23" s="120">
        <f>+Actuals!AI13</f>
        <v>0</v>
      </c>
      <c r="AM23" s="121">
        <f>+Actuals!AJ13</f>
        <v>0</v>
      </c>
      <c r="AN23" s="120">
        <f>+Actuals!AK13</f>
        <v>0</v>
      </c>
      <c r="AO23" s="121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4">SUM(D19:D23)</f>
        <v>0</v>
      </c>
      <c r="E24" s="39">
        <f t="shared" si="4"/>
        <v>-129420.02000000002</v>
      </c>
      <c r="F24" s="61">
        <f t="shared" si="4"/>
        <v>0</v>
      </c>
      <c r="G24" s="39">
        <f t="shared" si="4"/>
        <v>0</v>
      </c>
      <c r="H24" s="61">
        <f t="shared" si="4"/>
        <v>20212</v>
      </c>
      <c r="I24" s="39">
        <f t="shared" si="4"/>
        <v>41373.96</v>
      </c>
      <c r="J24" s="61">
        <f t="shared" si="4"/>
        <v>-20212</v>
      </c>
      <c r="K24" s="39">
        <f t="shared" si="4"/>
        <v>-41373.96</v>
      </c>
      <c r="L24" s="61">
        <f t="shared" si="4"/>
        <v>0</v>
      </c>
      <c r="M24" s="39">
        <f t="shared" si="4"/>
        <v>0</v>
      </c>
      <c r="N24" s="61">
        <f t="shared" ref="N24:S24" si="5">SUM(N19:N23)</f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-135977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-6556.98</v>
      </c>
      <c r="X24" s="61">
        <f t="shared" si="4"/>
        <v>0</v>
      </c>
      <c r="Y24" s="39">
        <f t="shared" si="4"/>
        <v>13113.96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2270.419999999971</v>
      </c>
      <c r="F27" s="64">
        <f>'TIE-OUT'!T27+RECLASS!R27</f>
        <v>0</v>
      </c>
      <c r="G27" s="68">
        <f>'TIE-OUT'!U27+RECLASS!S27</f>
        <v>0</v>
      </c>
      <c r="H27" s="120">
        <f>+Actuals!E14</f>
        <v>114576</v>
      </c>
      <c r="I27" s="121">
        <f>+Actuals!F14</f>
        <v>268736.15999999997</v>
      </c>
      <c r="J27" s="120">
        <f>+Actuals!G14</f>
        <v>20212</v>
      </c>
      <c r="K27" s="121">
        <f>+Actuals!H14</f>
        <v>47385.18</v>
      </c>
      <c r="L27" s="120">
        <f>+Actuals!I14</f>
        <v>0</v>
      </c>
      <c r="M27" s="121">
        <f>+Actuals!J14</f>
        <v>0</v>
      </c>
      <c r="N27" s="120">
        <f>+Actuals!K14</f>
        <v>17466</v>
      </c>
      <c r="O27" s="121">
        <f>+Actuals!L14</f>
        <v>40965.379999999997</v>
      </c>
      <c r="P27" s="120">
        <f>+Actuals!M14</f>
        <v>0</v>
      </c>
      <c r="Q27" s="121">
        <f>+Actuals!N14</f>
        <v>-304677.44</v>
      </c>
      <c r="R27" s="120">
        <f>+Actuals!O14</f>
        <v>-130078</v>
      </c>
      <c r="S27" s="121">
        <f>+Actuals!P14</f>
        <v>-400.31</v>
      </c>
      <c r="T27" s="120">
        <f>+Actuals!Q14</f>
        <v>-22176</v>
      </c>
      <c r="U27" s="121">
        <f>+Actuals!R14</f>
        <v>-52008.97</v>
      </c>
      <c r="V27" s="120">
        <f>+Actuals!S14</f>
        <v>0</v>
      </c>
      <c r="W27" s="121">
        <f>+Actuals!T14</f>
        <v>0</v>
      </c>
      <c r="X27" s="120">
        <f>+Actuals!U14</f>
        <v>0</v>
      </c>
      <c r="Y27" s="121">
        <v>2270.42</v>
      </c>
      <c r="Z27" s="120">
        <f>+Actuals!W14</f>
        <v>0</v>
      </c>
      <c r="AA27" s="121">
        <f>+Actuals!X14</f>
        <v>0</v>
      </c>
      <c r="AB27" s="120">
        <f>+Actuals!Y14</f>
        <v>0</v>
      </c>
      <c r="AC27" s="121">
        <f>+Actuals!Z14</f>
        <v>0</v>
      </c>
      <c r="AD27" s="120">
        <f>+Actuals!AA14</f>
        <v>0</v>
      </c>
      <c r="AE27" s="121">
        <f>+Actuals!AB14</f>
        <v>0</v>
      </c>
      <c r="AF27" s="120">
        <f>+Actuals!AC14</f>
        <v>0</v>
      </c>
      <c r="AG27" s="121">
        <f>+Actuals!AD14</f>
        <v>0</v>
      </c>
      <c r="AH27" s="120">
        <f>+Actuals!AE14</f>
        <v>0</v>
      </c>
      <c r="AI27" s="121">
        <f>+Actuals!AF14</f>
        <v>0</v>
      </c>
      <c r="AJ27" s="120">
        <f>+Actuals!AG14</f>
        <v>0</v>
      </c>
      <c r="AK27" s="121">
        <f>+Actuals!AH14</f>
        <v>0</v>
      </c>
      <c r="AL27" s="120">
        <f>+Actuals!AI14</f>
        <v>0</v>
      </c>
      <c r="AM27" s="121">
        <f>+Actuals!AJ14</f>
        <v>0</v>
      </c>
      <c r="AN27" s="120">
        <f>+Actuals!AK14</f>
        <v>0</v>
      </c>
      <c r="AO27" s="121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-103912</v>
      </c>
      <c r="E28" s="38">
        <f>SUM(G28,I28,K28,M28,O28,Q28,S28,U28,W28,Y28,AA28,AC28,AE28)</f>
        <v>-219254.3199999998</v>
      </c>
      <c r="F28" s="81">
        <f>'TIE-OUT'!T28+RECLASS!R28</f>
        <v>0</v>
      </c>
      <c r="G28" s="82">
        <f>'TIE-OUT'!U28+RECLASS!S28</f>
        <v>0</v>
      </c>
      <c r="H28" s="120">
        <f>+Actuals!E15</f>
        <v>-237778</v>
      </c>
      <c r="I28" s="121">
        <f>+Actuals!F15</f>
        <v>-533451.97</v>
      </c>
      <c r="J28" s="120">
        <f>+Actuals!G15</f>
        <v>-922</v>
      </c>
      <c r="K28" s="121">
        <f>+Actuals!H15</f>
        <v>-1923.69</v>
      </c>
      <c r="L28" s="120">
        <f>+Actuals!I15</f>
        <v>0</v>
      </c>
      <c r="M28" s="121">
        <f>+Actuals!J15</f>
        <v>0</v>
      </c>
      <c r="N28" s="120">
        <f>+Actuals!K15</f>
        <v>-17466</v>
      </c>
      <c r="O28" s="121">
        <f>+Actuals!L15</f>
        <v>-40962.32</v>
      </c>
      <c r="P28" s="120">
        <f>+Actuals!M15</f>
        <v>0</v>
      </c>
      <c r="Q28" s="121">
        <f>+Actuals!N15</f>
        <v>-336789.84</v>
      </c>
      <c r="R28" s="120">
        <f>+Actuals!O15</f>
        <v>130078</v>
      </c>
      <c r="S28" s="121">
        <f>+Actuals!P15</f>
        <v>641864.53</v>
      </c>
      <c r="T28" s="120">
        <f>+Actuals!Q15</f>
        <v>22176</v>
      </c>
      <c r="U28" s="121">
        <f>+Actuals!R15</f>
        <v>52008.97</v>
      </c>
      <c r="V28" s="120">
        <f>+Actuals!S15</f>
        <v>0</v>
      </c>
      <c r="W28" s="121">
        <f>+Actuals!T15</f>
        <v>0</v>
      </c>
      <c r="X28" s="120">
        <f>+Actuals!U15</f>
        <v>0</v>
      </c>
      <c r="Y28" s="121">
        <f>+Actuals!V15</f>
        <v>0</v>
      </c>
      <c r="Z28" s="120">
        <f>+Actuals!W15</f>
        <v>0</v>
      </c>
      <c r="AA28" s="121">
        <f>+Actuals!X15</f>
        <v>0</v>
      </c>
      <c r="AB28" s="120">
        <f>+Actuals!Y15</f>
        <v>0</v>
      </c>
      <c r="AC28" s="121">
        <f>+Actuals!Z15</f>
        <v>0</v>
      </c>
      <c r="AD28" s="120">
        <f>+Actuals!AA15</f>
        <v>0</v>
      </c>
      <c r="AE28" s="121">
        <f>+Actuals!AB15</f>
        <v>0</v>
      </c>
      <c r="AF28" s="120">
        <f>+Actuals!AC15</f>
        <v>0</v>
      </c>
      <c r="AG28" s="121">
        <f>+Actuals!AD15</f>
        <v>0</v>
      </c>
      <c r="AH28" s="120">
        <f>+Actuals!AE15</f>
        <v>0</v>
      </c>
      <c r="AI28" s="121">
        <f>+Actuals!AF15</f>
        <v>0</v>
      </c>
      <c r="AJ28" s="120">
        <f>+Actuals!AG15</f>
        <v>0</v>
      </c>
      <c r="AK28" s="121">
        <f>+Actuals!AH15</f>
        <v>0</v>
      </c>
      <c r="AL28" s="120">
        <f>+Actuals!AI15</f>
        <v>0</v>
      </c>
      <c r="AM28" s="121">
        <f>+Actuals!AJ15</f>
        <v>0</v>
      </c>
      <c r="AN28" s="120">
        <f>+Actuals!AK15</f>
        <v>0</v>
      </c>
      <c r="AO28" s="121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-103912</v>
      </c>
      <c r="E29" s="39">
        <f t="shared" si="6"/>
        <v>-216983.89999999982</v>
      </c>
      <c r="F29" s="61">
        <f t="shared" si="6"/>
        <v>0</v>
      </c>
      <c r="G29" s="39">
        <f t="shared" si="6"/>
        <v>0</v>
      </c>
      <c r="H29" s="61">
        <f t="shared" si="6"/>
        <v>-123202</v>
      </c>
      <c r="I29" s="39">
        <f t="shared" si="6"/>
        <v>-264715.81</v>
      </c>
      <c r="J29" s="61">
        <f t="shared" si="6"/>
        <v>19290</v>
      </c>
      <c r="K29" s="39">
        <f t="shared" si="6"/>
        <v>45461.49</v>
      </c>
      <c r="L29" s="61">
        <f t="shared" si="6"/>
        <v>0</v>
      </c>
      <c r="M29" s="39">
        <f t="shared" si="6"/>
        <v>0</v>
      </c>
      <c r="N29" s="61">
        <f t="shared" ref="N29:S29" si="7">SUM(N27:N28)</f>
        <v>0</v>
      </c>
      <c r="O29" s="39">
        <f t="shared" si="7"/>
        <v>3.0599999999976717</v>
      </c>
      <c r="P29" s="61">
        <f t="shared" si="7"/>
        <v>0</v>
      </c>
      <c r="Q29" s="39">
        <f t="shared" si="7"/>
        <v>-641467.28</v>
      </c>
      <c r="R29" s="61">
        <f t="shared" si="7"/>
        <v>0</v>
      </c>
      <c r="S29" s="39">
        <f t="shared" si="7"/>
        <v>641464.22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2270.42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'TIE-OUT'!T32+RECLASS!R32</f>
        <v>0</v>
      </c>
      <c r="G32" s="68">
        <f>'TIE-OUT'!U32+RECLASS!S32</f>
        <v>0</v>
      </c>
      <c r="H32" s="120">
        <f>+Actuals!E16</f>
        <v>0</v>
      </c>
      <c r="I32" s="121">
        <f>+Actuals!F16</f>
        <v>0</v>
      </c>
      <c r="J32" s="120">
        <f>+Actuals!G16</f>
        <v>0</v>
      </c>
      <c r="K32" s="121">
        <f>+Actuals!H16</f>
        <v>0</v>
      </c>
      <c r="L32" s="120">
        <f>+Actuals!I16</f>
        <v>0</v>
      </c>
      <c r="M32" s="121">
        <f>+Actuals!J16</f>
        <v>0</v>
      </c>
      <c r="N32" s="120">
        <f>+Actuals!K16</f>
        <v>0</v>
      </c>
      <c r="O32" s="121">
        <f>+Actuals!L16</f>
        <v>0</v>
      </c>
      <c r="P32" s="120">
        <f>+Actuals!M16</f>
        <v>0</v>
      </c>
      <c r="Q32" s="121">
        <f>+Actuals!N16</f>
        <v>0</v>
      </c>
      <c r="R32" s="120">
        <f>+Actuals!O16</f>
        <v>0</v>
      </c>
      <c r="S32" s="121">
        <f>+Actuals!P16</f>
        <v>0</v>
      </c>
      <c r="T32" s="120">
        <f>+Actuals!Q16</f>
        <v>0</v>
      </c>
      <c r="U32" s="121">
        <f>+Actuals!R16</f>
        <v>0</v>
      </c>
      <c r="V32" s="120">
        <f>+Actuals!S16</f>
        <v>0</v>
      </c>
      <c r="W32" s="121">
        <f>+Actuals!T16</f>
        <v>0</v>
      </c>
      <c r="X32" s="120">
        <f>+Actuals!U16</f>
        <v>0</v>
      </c>
      <c r="Y32" s="121">
        <f>+Actuals!V16</f>
        <v>0</v>
      </c>
      <c r="Z32" s="120">
        <f>+Actuals!W16</f>
        <v>0</v>
      </c>
      <c r="AA32" s="121">
        <f>+Actuals!X16</f>
        <v>0</v>
      </c>
      <c r="AB32" s="120">
        <f>+Actuals!Y16</f>
        <v>0</v>
      </c>
      <c r="AC32" s="121">
        <f>+Actuals!Z16</f>
        <v>0</v>
      </c>
      <c r="AD32" s="120">
        <f>+Actuals!AA16</f>
        <v>0</v>
      </c>
      <c r="AE32" s="121">
        <f>+Actuals!AB16</f>
        <v>0</v>
      </c>
      <c r="AF32" s="120">
        <f>+Actuals!AC16</f>
        <v>0</v>
      </c>
      <c r="AG32" s="121">
        <f>+Actuals!AD16</f>
        <v>0</v>
      </c>
      <c r="AH32" s="120">
        <f>+Actuals!AE16</f>
        <v>0</v>
      </c>
      <c r="AI32" s="121">
        <f>+Actuals!AF16</f>
        <v>0</v>
      </c>
      <c r="AJ32" s="120">
        <f>+Actuals!AG16</f>
        <v>0</v>
      </c>
      <c r="AK32" s="121">
        <f>+Actuals!AH16</f>
        <v>0</v>
      </c>
      <c r="AL32" s="120">
        <f>+Actuals!AI16</f>
        <v>0</v>
      </c>
      <c r="AM32" s="121">
        <f>+Actuals!AJ16</f>
        <v>0</v>
      </c>
      <c r="AN32" s="120">
        <f>+Actuals!AK16</f>
        <v>0</v>
      </c>
      <c r="AO32" s="121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'TIE-OUT'!T33+RECLASS!R33</f>
        <v>0</v>
      </c>
      <c r="G33" s="38">
        <f>'TIE-OUT'!U33+RECLASS!S33</f>
        <v>0</v>
      </c>
      <c r="H33" s="120">
        <f>+Actuals!E17</f>
        <v>0</v>
      </c>
      <c r="I33" s="121">
        <f>+Actuals!F17</f>
        <v>0</v>
      </c>
      <c r="J33" s="120">
        <f>+Actuals!G17</f>
        <v>0</v>
      </c>
      <c r="K33" s="121">
        <f>+Actuals!H17</f>
        <v>0</v>
      </c>
      <c r="L33" s="120">
        <f>+Actuals!I17</f>
        <v>0</v>
      </c>
      <c r="M33" s="121">
        <f>+Actuals!J17</f>
        <v>0</v>
      </c>
      <c r="N33" s="120">
        <f>+Actuals!K17</f>
        <v>0</v>
      </c>
      <c r="O33" s="121">
        <f>+Actuals!L17</f>
        <v>0</v>
      </c>
      <c r="P33" s="120">
        <f>+Actuals!M17</f>
        <v>0</v>
      </c>
      <c r="Q33" s="121">
        <f>+Actuals!N17</f>
        <v>0</v>
      </c>
      <c r="R33" s="120">
        <f>+Actuals!O17</f>
        <v>0</v>
      </c>
      <c r="S33" s="121">
        <f>+Actuals!P17</f>
        <v>0</v>
      </c>
      <c r="T33" s="120">
        <f>+Actuals!Q17</f>
        <v>0</v>
      </c>
      <c r="U33" s="121">
        <f>+Actuals!R17</f>
        <v>0</v>
      </c>
      <c r="V33" s="120">
        <f>+Actuals!S17</f>
        <v>0</v>
      </c>
      <c r="W33" s="121">
        <f>+Actuals!T17</f>
        <v>0</v>
      </c>
      <c r="X33" s="120">
        <f>+Actuals!U17</f>
        <v>0</v>
      </c>
      <c r="Y33" s="121">
        <f>+Actuals!V17</f>
        <v>0</v>
      </c>
      <c r="Z33" s="120">
        <f>+Actuals!W17</f>
        <v>0</v>
      </c>
      <c r="AA33" s="121">
        <f>+Actuals!X17</f>
        <v>0</v>
      </c>
      <c r="AB33" s="120">
        <f>+Actuals!Y17</f>
        <v>0</v>
      </c>
      <c r="AC33" s="121">
        <f>+Actuals!Z17</f>
        <v>0</v>
      </c>
      <c r="AD33" s="120">
        <f>+Actuals!AA17</f>
        <v>0</v>
      </c>
      <c r="AE33" s="121">
        <f>+Actuals!AB17</f>
        <v>0</v>
      </c>
      <c r="AF33" s="120">
        <f>+Actuals!AC17</f>
        <v>0</v>
      </c>
      <c r="AG33" s="121">
        <f>+Actuals!AD17</f>
        <v>0</v>
      </c>
      <c r="AH33" s="120">
        <f>+Actuals!AE17</f>
        <v>0</v>
      </c>
      <c r="AI33" s="121">
        <f>+Actuals!AF17</f>
        <v>0</v>
      </c>
      <c r="AJ33" s="120">
        <f>+Actuals!AG17</f>
        <v>0</v>
      </c>
      <c r="AK33" s="121">
        <f>+Actuals!AH17</f>
        <v>0</v>
      </c>
      <c r="AL33" s="120">
        <f>+Actuals!AI17</f>
        <v>0</v>
      </c>
      <c r="AM33" s="121">
        <f>+Actuals!AJ17</f>
        <v>0</v>
      </c>
      <c r="AN33" s="120">
        <f>+Actuals!AK17</f>
        <v>0</v>
      </c>
      <c r="AO33" s="121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'TIE-OUT'!T34+RECLASS!R34</f>
        <v>0</v>
      </c>
      <c r="G34" s="38">
        <f>'TIE-OUT'!U34+RECLASS!S34</f>
        <v>0</v>
      </c>
      <c r="H34" s="120">
        <f>+Actuals!E18</f>
        <v>0</v>
      </c>
      <c r="I34" s="121">
        <f>+Actuals!F18</f>
        <v>0</v>
      </c>
      <c r="J34" s="120">
        <f>+Actuals!G18</f>
        <v>0</v>
      </c>
      <c r="K34" s="121">
        <f>+Actuals!H18</f>
        <v>0</v>
      </c>
      <c r="L34" s="120">
        <f>+Actuals!I18</f>
        <v>0</v>
      </c>
      <c r="M34" s="121">
        <f>+Actuals!J18</f>
        <v>0</v>
      </c>
      <c r="N34" s="120">
        <f>+Actuals!K18</f>
        <v>0</v>
      </c>
      <c r="O34" s="121">
        <f>+Actuals!L18</f>
        <v>0</v>
      </c>
      <c r="P34" s="120">
        <f>+Actuals!M18</f>
        <v>0</v>
      </c>
      <c r="Q34" s="121">
        <f>+Actuals!N18</f>
        <v>0</v>
      </c>
      <c r="R34" s="120">
        <f>+Actuals!O18</f>
        <v>0</v>
      </c>
      <c r="S34" s="121">
        <f>+Actuals!P18</f>
        <v>0</v>
      </c>
      <c r="T34" s="120">
        <f>+Actuals!Q18</f>
        <v>0</v>
      </c>
      <c r="U34" s="121">
        <f>+Actuals!R18</f>
        <v>0</v>
      </c>
      <c r="V34" s="120">
        <f>+Actuals!S18</f>
        <v>0</v>
      </c>
      <c r="W34" s="121">
        <f>+Actuals!T18</f>
        <v>0</v>
      </c>
      <c r="X34" s="120">
        <f>+Actuals!U18</f>
        <v>0</v>
      </c>
      <c r="Y34" s="121">
        <f>+Actuals!V18</f>
        <v>0</v>
      </c>
      <c r="Z34" s="120">
        <f>+Actuals!W18</f>
        <v>0</v>
      </c>
      <c r="AA34" s="121">
        <f>+Actuals!X18</f>
        <v>0</v>
      </c>
      <c r="AB34" s="120">
        <f>+Actuals!Y18</f>
        <v>0</v>
      </c>
      <c r="AC34" s="121">
        <f>+Actuals!Z18</f>
        <v>0</v>
      </c>
      <c r="AD34" s="120">
        <f>+Actuals!AA18</f>
        <v>0</v>
      </c>
      <c r="AE34" s="121">
        <f>+Actuals!AB18</f>
        <v>0</v>
      </c>
      <c r="AF34" s="120">
        <f>+Actuals!AC18</f>
        <v>0</v>
      </c>
      <c r="AG34" s="121">
        <f>+Actuals!AD18</f>
        <v>0</v>
      </c>
      <c r="AH34" s="120">
        <f>+Actuals!AE18</f>
        <v>0</v>
      </c>
      <c r="AI34" s="121">
        <f>+Actuals!AF18</f>
        <v>0</v>
      </c>
      <c r="AJ34" s="120">
        <f>+Actuals!AG18</f>
        <v>0</v>
      </c>
      <c r="AK34" s="121">
        <f>+Actuals!AH18</f>
        <v>0</v>
      </c>
      <c r="AL34" s="120">
        <f>+Actuals!AI18</f>
        <v>0</v>
      </c>
      <c r="AM34" s="121">
        <f>+Actuals!AJ18</f>
        <v>0</v>
      </c>
      <c r="AN34" s="120">
        <f>+Actuals!AK18</f>
        <v>0</v>
      </c>
      <c r="AO34" s="121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'TIE-OUT'!T35+RECLASS!R35</f>
        <v>0</v>
      </c>
      <c r="G35" s="82">
        <f>'TIE-OUT'!U35+RECLASS!S35</f>
        <v>0</v>
      </c>
      <c r="H35" s="120">
        <f>+Actuals!E19</f>
        <v>0</v>
      </c>
      <c r="I35" s="121">
        <f>+Actuals!F19</f>
        <v>0</v>
      </c>
      <c r="J35" s="120">
        <f>+Actuals!G19</f>
        <v>0</v>
      </c>
      <c r="K35" s="121">
        <f>+Actuals!H19</f>
        <v>0</v>
      </c>
      <c r="L35" s="120">
        <f>+Actuals!I19</f>
        <v>0</v>
      </c>
      <c r="M35" s="121">
        <f>+Actuals!J19</f>
        <v>0</v>
      </c>
      <c r="N35" s="120">
        <f>+Actuals!K19</f>
        <v>0</v>
      </c>
      <c r="O35" s="121">
        <f>+Actuals!L19</f>
        <v>0</v>
      </c>
      <c r="P35" s="120">
        <f>+Actuals!M19</f>
        <v>0</v>
      </c>
      <c r="Q35" s="121">
        <f>+Actuals!N19</f>
        <v>0</v>
      </c>
      <c r="R35" s="120">
        <f>+Actuals!O19</f>
        <v>0</v>
      </c>
      <c r="S35" s="121">
        <f>+Actuals!P19</f>
        <v>0</v>
      </c>
      <c r="T35" s="120">
        <f>+Actuals!Q19</f>
        <v>0</v>
      </c>
      <c r="U35" s="121">
        <f>+Actuals!R19</f>
        <v>0</v>
      </c>
      <c r="V35" s="120">
        <f>+Actuals!S19</f>
        <v>0</v>
      </c>
      <c r="W35" s="121">
        <f>+Actuals!T19</f>
        <v>0</v>
      </c>
      <c r="X35" s="120">
        <f>+Actuals!U19</f>
        <v>0</v>
      </c>
      <c r="Y35" s="121">
        <f>+Actuals!V19</f>
        <v>0</v>
      </c>
      <c r="Z35" s="120">
        <f>+Actuals!W19</f>
        <v>0</v>
      </c>
      <c r="AA35" s="121">
        <f>+Actuals!X19</f>
        <v>0</v>
      </c>
      <c r="AB35" s="120">
        <f>+Actuals!Y19</f>
        <v>0</v>
      </c>
      <c r="AC35" s="121">
        <f>+Actuals!Z19</f>
        <v>0</v>
      </c>
      <c r="AD35" s="120">
        <f>+Actuals!AA19</f>
        <v>0</v>
      </c>
      <c r="AE35" s="121">
        <f>+Actuals!AB19</f>
        <v>0</v>
      </c>
      <c r="AF35" s="120">
        <f>+Actuals!AC19</f>
        <v>0</v>
      </c>
      <c r="AG35" s="121">
        <f>+Actuals!AD19</f>
        <v>0</v>
      </c>
      <c r="AH35" s="120">
        <f>+Actuals!AE19</f>
        <v>0</v>
      </c>
      <c r="AI35" s="121">
        <f>+Actuals!AF19</f>
        <v>0</v>
      </c>
      <c r="AJ35" s="120">
        <f>+Actuals!AG19</f>
        <v>0</v>
      </c>
      <c r="AK35" s="121">
        <f>+Actuals!AH19</f>
        <v>0</v>
      </c>
      <c r="AL35" s="120">
        <f>+Actuals!AI19</f>
        <v>0</v>
      </c>
      <c r="AM35" s="121">
        <f>+Actuals!AJ19</f>
        <v>0</v>
      </c>
      <c r="AN35" s="120">
        <f>+Actuals!AK19</f>
        <v>0</v>
      </c>
      <c r="AO35" s="121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ref="N36:S36" si="10">SUM(N32:N35)</f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'TIE-OUT'!T39+RECLASS!R39</f>
        <v>0</v>
      </c>
      <c r="G39" s="68">
        <f>'TIE-OUT'!U39+RECLASS!S39</f>
        <v>0</v>
      </c>
      <c r="H39" s="120">
        <f>+Actuals!E20</f>
        <v>0</v>
      </c>
      <c r="I39" s="121">
        <f>+Actuals!F20</f>
        <v>0</v>
      </c>
      <c r="J39" s="120">
        <f>+Actuals!G20</f>
        <v>0</v>
      </c>
      <c r="K39" s="121">
        <f>+Actuals!H20</f>
        <v>0</v>
      </c>
      <c r="L39" s="120">
        <f>+Actuals!I20</f>
        <v>0</v>
      </c>
      <c r="M39" s="121">
        <f>+Actuals!J20</f>
        <v>0</v>
      </c>
      <c r="N39" s="120">
        <f>+Actuals!K20</f>
        <v>0</v>
      </c>
      <c r="O39" s="121">
        <f>+Actuals!L20</f>
        <v>0</v>
      </c>
      <c r="P39" s="120">
        <f>+Actuals!M20</f>
        <v>0</v>
      </c>
      <c r="Q39" s="121">
        <f>+Actuals!N20</f>
        <v>0</v>
      </c>
      <c r="R39" s="120">
        <f>+Actuals!O20</f>
        <v>0</v>
      </c>
      <c r="S39" s="121">
        <f>+Actuals!P20</f>
        <v>0</v>
      </c>
      <c r="T39" s="120">
        <f>+Actuals!Q20</f>
        <v>0</v>
      </c>
      <c r="U39" s="121">
        <f>+Actuals!R20</f>
        <v>0</v>
      </c>
      <c r="V39" s="120">
        <f>+Actuals!S20</f>
        <v>0</v>
      </c>
      <c r="W39" s="121">
        <f>+Actuals!T20</f>
        <v>0</v>
      </c>
      <c r="X39" s="120">
        <f>+Actuals!U20</f>
        <v>0</v>
      </c>
      <c r="Y39" s="121">
        <f>+Actuals!V20</f>
        <v>0</v>
      </c>
      <c r="Z39" s="120">
        <f>+Actuals!W20</f>
        <v>0</v>
      </c>
      <c r="AA39" s="121">
        <f>+Actuals!X20</f>
        <v>0</v>
      </c>
      <c r="AB39" s="120">
        <f>+Actuals!Y20</f>
        <v>0</v>
      </c>
      <c r="AC39" s="121">
        <f>+Actuals!Z20</f>
        <v>0</v>
      </c>
      <c r="AD39" s="120">
        <f>+Actuals!AA20</f>
        <v>0</v>
      </c>
      <c r="AE39" s="121">
        <f>+Actuals!AB20</f>
        <v>0</v>
      </c>
      <c r="AF39" s="120">
        <f>+Actuals!AC20</f>
        <v>0</v>
      </c>
      <c r="AG39" s="121">
        <f>+Actuals!AD20</f>
        <v>0</v>
      </c>
      <c r="AH39" s="120">
        <f>+Actuals!AE20</f>
        <v>0</v>
      </c>
      <c r="AI39" s="121">
        <f>+Actuals!AF20</f>
        <v>0</v>
      </c>
      <c r="AJ39" s="120">
        <f>+Actuals!AG20</f>
        <v>0</v>
      </c>
      <c r="AK39" s="121">
        <f>+Actuals!AH20</f>
        <v>0</v>
      </c>
      <c r="AL39" s="120">
        <f>+Actuals!AI20</f>
        <v>0</v>
      </c>
      <c r="AM39" s="121">
        <f>+Actuals!AJ20</f>
        <v>0</v>
      </c>
      <c r="AN39" s="120">
        <f>+Actuals!AK20</f>
        <v>0</v>
      </c>
      <c r="AO39" s="121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'TIE-OUT'!T40+RECLASS!R40</f>
        <v>0</v>
      </c>
      <c r="G40" s="38">
        <f>'TIE-OUT'!U40+RECLASS!S40</f>
        <v>0</v>
      </c>
      <c r="H40" s="120">
        <f>+Actuals!E21</f>
        <v>0</v>
      </c>
      <c r="I40" s="121">
        <f>+Actuals!F21</f>
        <v>0</v>
      </c>
      <c r="J40" s="120">
        <f>+Actuals!G21</f>
        <v>0</v>
      </c>
      <c r="K40" s="121">
        <f>+Actuals!H21</f>
        <v>0</v>
      </c>
      <c r="L40" s="120">
        <f>+Actuals!I21</f>
        <v>0</v>
      </c>
      <c r="M40" s="121">
        <f>+Actuals!J21</f>
        <v>0</v>
      </c>
      <c r="N40" s="120">
        <f>+Actuals!K21</f>
        <v>0</v>
      </c>
      <c r="O40" s="121">
        <f>+Actuals!L21</f>
        <v>0</v>
      </c>
      <c r="P40" s="120">
        <f>+Actuals!M21</f>
        <v>0</v>
      </c>
      <c r="Q40" s="121">
        <f>+Actuals!N21</f>
        <v>0</v>
      </c>
      <c r="R40" s="120">
        <f>+Actuals!O21</f>
        <v>0</v>
      </c>
      <c r="S40" s="121">
        <f>+Actuals!P21</f>
        <v>0</v>
      </c>
      <c r="T40" s="120">
        <f>+Actuals!Q21</f>
        <v>0</v>
      </c>
      <c r="U40" s="121">
        <f>+Actuals!R21</f>
        <v>0</v>
      </c>
      <c r="V40" s="120">
        <f>+Actuals!S21</f>
        <v>0</v>
      </c>
      <c r="W40" s="121">
        <f>+Actuals!T21</f>
        <v>0</v>
      </c>
      <c r="X40" s="120">
        <f>+Actuals!U21</f>
        <v>0</v>
      </c>
      <c r="Y40" s="121">
        <f>+Actuals!V21</f>
        <v>0</v>
      </c>
      <c r="Z40" s="120">
        <f>+Actuals!W21</f>
        <v>0</v>
      </c>
      <c r="AA40" s="121">
        <f>+Actuals!X21</f>
        <v>0</v>
      </c>
      <c r="AB40" s="120">
        <f>+Actuals!Y21</f>
        <v>0</v>
      </c>
      <c r="AC40" s="121">
        <f>+Actuals!Z21</f>
        <v>0</v>
      </c>
      <c r="AD40" s="120">
        <f>+Actuals!AA21</f>
        <v>0</v>
      </c>
      <c r="AE40" s="121">
        <f>+Actuals!AB21</f>
        <v>0</v>
      </c>
      <c r="AF40" s="120">
        <f>+Actuals!AC21</f>
        <v>0</v>
      </c>
      <c r="AG40" s="121">
        <f>+Actuals!AD21</f>
        <v>0</v>
      </c>
      <c r="AH40" s="120">
        <f>+Actuals!AE21</f>
        <v>0</v>
      </c>
      <c r="AI40" s="121">
        <f>+Actuals!AF21</f>
        <v>0</v>
      </c>
      <c r="AJ40" s="120">
        <f>+Actuals!AG21</f>
        <v>0</v>
      </c>
      <c r="AK40" s="121">
        <f>+Actuals!AH21</f>
        <v>0</v>
      </c>
      <c r="AL40" s="120">
        <f>+Actuals!AI21</f>
        <v>0</v>
      </c>
      <c r="AM40" s="121">
        <f>+Actuals!AJ21</f>
        <v>0</v>
      </c>
      <c r="AN40" s="120">
        <f>+Actuals!AK21</f>
        <v>0</v>
      </c>
      <c r="AO40" s="121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'TIE-OUT'!T41+RECLASS!R41</f>
        <v>0</v>
      </c>
      <c r="G41" s="82">
        <f>'TIE-OUT'!U41+RECLASS!S41</f>
        <v>0</v>
      </c>
      <c r="H41" s="120">
        <f>+Actuals!E22</f>
        <v>0</v>
      </c>
      <c r="I41" s="121">
        <f>+Actuals!F22</f>
        <v>0</v>
      </c>
      <c r="J41" s="120">
        <f>+Actuals!G22</f>
        <v>0</v>
      </c>
      <c r="K41" s="121">
        <f>+Actuals!H22</f>
        <v>0</v>
      </c>
      <c r="L41" s="120">
        <f>+Actuals!I22</f>
        <v>0</v>
      </c>
      <c r="M41" s="121">
        <f>+Actuals!J22</f>
        <v>0</v>
      </c>
      <c r="N41" s="120">
        <f>+Actuals!K22</f>
        <v>0</v>
      </c>
      <c r="O41" s="121">
        <f>+Actuals!L22</f>
        <v>0</v>
      </c>
      <c r="P41" s="120">
        <f>+Actuals!M22</f>
        <v>0</v>
      </c>
      <c r="Q41" s="121">
        <f>+Actuals!N22</f>
        <v>0</v>
      </c>
      <c r="R41" s="120">
        <f>+Actuals!O22</f>
        <v>0</v>
      </c>
      <c r="S41" s="121">
        <f>+Actuals!P22</f>
        <v>0</v>
      </c>
      <c r="T41" s="120">
        <f>+Actuals!Q22</f>
        <v>0</v>
      </c>
      <c r="U41" s="121">
        <f>+Actuals!R22</f>
        <v>0</v>
      </c>
      <c r="V41" s="120">
        <f>+Actuals!S22</f>
        <v>0</v>
      </c>
      <c r="W41" s="121">
        <f>+Actuals!T22</f>
        <v>0</v>
      </c>
      <c r="X41" s="120">
        <f>+Actuals!U22</f>
        <v>0</v>
      </c>
      <c r="Y41" s="121">
        <f>+Actuals!V22</f>
        <v>0</v>
      </c>
      <c r="Z41" s="120">
        <f>+Actuals!W22</f>
        <v>0</v>
      </c>
      <c r="AA41" s="121">
        <f>+Actuals!X22</f>
        <v>0</v>
      </c>
      <c r="AB41" s="120">
        <f>+Actuals!Y22</f>
        <v>0</v>
      </c>
      <c r="AC41" s="121">
        <f>+Actuals!Z22</f>
        <v>0</v>
      </c>
      <c r="AD41" s="120">
        <f>+Actuals!AA22</f>
        <v>0</v>
      </c>
      <c r="AE41" s="121">
        <f>+Actuals!AB22</f>
        <v>0</v>
      </c>
      <c r="AF41" s="120">
        <f>+Actuals!AC22</f>
        <v>0</v>
      </c>
      <c r="AG41" s="121">
        <f>+Actuals!AD22</f>
        <v>0</v>
      </c>
      <c r="AH41" s="120">
        <f>+Actuals!AE22</f>
        <v>0</v>
      </c>
      <c r="AI41" s="121">
        <f>+Actuals!AF22</f>
        <v>0</v>
      </c>
      <c r="AJ41" s="120">
        <f>+Actuals!AG22</f>
        <v>0</v>
      </c>
      <c r="AK41" s="121">
        <f>+Actuals!AH22</f>
        <v>0</v>
      </c>
      <c r="AL41" s="120">
        <f>+Actuals!AI22</f>
        <v>0</v>
      </c>
      <c r="AM41" s="121">
        <f>+Actuals!AJ22</f>
        <v>0</v>
      </c>
      <c r="AN41" s="120">
        <f>+Actuals!AK22</f>
        <v>0</v>
      </c>
      <c r="AO41" s="121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S43" si="15">N42+N39</f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20">
        <f>+Actuals!E23</f>
        <v>0</v>
      </c>
      <c r="I45" s="121">
        <f>+Actuals!F23</f>
        <v>0</v>
      </c>
      <c r="J45" s="120">
        <f>+Actuals!G23</f>
        <v>0</v>
      </c>
      <c r="K45" s="121">
        <f>+Actuals!H23</f>
        <v>0</v>
      </c>
      <c r="L45" s="120">
        <f>+Actuals!I23</f>
        <v>0</v>
      </c>
      <c r="M45" s="121">
        <f>+Actuals!J23</f>
        <v>0</v>
      </c>
      <c r="N45" s="120">
        <f>+Actuals!K23</f>
        <v>0</v>
      </c>
      <c r="O45" s="121">
        <f>+Actuals!L23</f>
        <v>0</v>
      </c>
      <c r="P45" s="120">
        <f>+Actuals!M23</f>
        <v>0</v>
      </c>
      <c r="Q45" s="121">
        <f>+Actuals!N23</f>
        <v>0</v>
      </c>
      <c r="R45" s="120">
        <f>+Actuals!O23</f>
        <v>0</v>
      </c>
      <c r="S45" s="121">
        <f>+Actuals!P23</f>
        <v>0</v>
      </c>
      <c r="T45" s="120">
        <f>+Actuals!Q23</f>
        <v>0</v>
      </c>
      <c r="U45" s="121">
        <f>+Actuals!R23</f>
        <v>0</v>
      </c>
      <c r="V45" s="120">
        <f>+Actuals!S23</f>
        <v>0</v>
      </c>
      <c r="W45" s="121">
        <f>+Actuals!T23</f>
        <v>0</v>
      </c>
      <c r="X45" s="120">
        <f>+Actuals!U23</f>
        <v>0</v>
      </c>
      <c r="Y45" s="121">
        <f>+Actuals!V23</f>
        <v>0</v>
      </c>
      <c r="Z45" s="120">
        <f>+Actuals!W23</f>
        <v>0</v>
      </c>
      <c r="AA45" s="121">
        <f>+Actuals!X23</f>
        <v>0</v>
      </c>
      <c r="AB45" s="120">
        <f>+Actuals!Y23</f>
        <v>0</v>
      </c>
      <c r="AC45" s="121">
        <f>+Actuals!Z23</f>
        <v>0</v>
      </c>
      <c r="AD45" s="120">
        <f>+Actuals!AA23</f>
        <v>0</v>
      </c>
      <c r="AE45" s="121">
        <f>+Actuals!AB23</f>
        <v>0</v>
      </c>
      <c r="AF45" s="120">
        <f>+Actuals!AC23</f>
        <v>0</v>
      </c>
      <c r="AG45" s="121">
        <f>+Actuals!AD23</f>
        <v>0</v>
      </c>
      <c r="AH45" s="120">
        <f>+Actuals!AE23</f>
        <v>0</v>
      </c>
      <c r="AI45" s="121">
        <f>+Actuals!AF23</f>
        <v>0</v>
      </c>
      <c r="AJ45" s="120">
        <f>+Actuals!AG23</f>
        <v>0</v>
      </c>
      <c r="AK45" s="121">
        <f>+Actuals!AH23</f>
        <v>0</v>
      </c>
      <c r="AL45" s="120">
        <f>+Actuals!AI23</f>
        <v>0</v>
      </c>
      <c r="AM45" s="121">
        <f>+Actuals!AJ23</f>
        <v>0</v>
      </c>
      <c r="AN45" s="120">
        <f>+Actuals!AK23</f>
        <v>0</v>
      </c>
      <c r="AO45" s="121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'TIE-OUT'!T47+RECLASS!R47</f>
        <v>0</v>
      </c>
      <c r="G47" s="38">
        <f>'TIE-OUT'!U47+RECLASS!S47</f>
        <v>0</v>
      </c>
      <c r="H47" s="120">
        <f>+Actuals!E24</f>
        <v>0</v>
      </c>
      <c r="I47" s="121">
        <f>+Actuals!F24</f>
        <v>0</v>
      </c>
      <c r="J47" s="120">
        <f>+Actuals!G24</f>
        <v>0</v>
      </c>
      <c r="K47" s="121">
        <f>+Actuals!H24</f>
        <v>0</v>
      </c>
      <c r="L47" s="120">
        <f>+Actuals!I24</f>
        <v>0</v>
      </c>
      <c r="M47" s="121">
        <f>+Actuals!J24</f>
        <v>16109.33</v>
      </c>
      <c r="N47" s="120">
        <f>+Actuals!K24</f>
        <v>0</v>
      </c>
      <c r="O47" s="121">
        <f>+Actuals!L24</f>
        <v>135976.66</v>
      </c>
      <c r="P47" s="120">
        <f>+Actuals!M24</f>
        <v>0</v>
      </c>
      <c r="Q47" s="121">
        <f>+Actuals!N24</f>
        <v>0</v>
      </c>
      <c r="R47" s="120">
        <f>+Actuals!O24</f>
        <v>0</v>
      </c>
      <c r="S47" s="121">
        <f>+Actuals!P24</f>
        <v>0</v>
      </c>
      <c r="T47" s="120">
        <f>+Actuals!Q24</f>
        <v>0</v>
      </c>
      <c r="U47" s="121">
        <f>+Actuals!R24</f>
        <v>0</v>
      </c>
      <c r="V47" s="120">
        <f>+Actuals!S24</f>
        <v>0</v>
      </c>
      <c r="W47" s="121">
        <f>+Actuals!T24</f>
        <v>0</v>
      </c>
      <c r="X47" s="120">
        <f>+Actuals!U24</f>
        <v>0</v>
      </c>
      <c r="Y47" s="121">
        <f>+Actuals!V24</f>
        <v>0</v>
      </c>
      <c r="Z47" s="120">
        <f>+Actuals!W24</f>
        <v>0</v>
      </c>
      <c r="AA47" s="121">
        <f>+Actuals!X24</f>
        <v>0</v>
      </c>
      <c r="AB47" s="120">
        <f>+Actuals!Y24</f>
        <v>0</v>
      </c>
      <c r="AC47" s="121">
        <f>+Actuals!Z24</f>
        <v>0</v>
      </c>
      <c r="AD47" s="120">
        <f>+Actuals!AA24</f>
        <v>0</v>
      </c>
      <c r="AE47" s="121">
        <f>+Actuals!AB24</f>
        <v>0</v>
      </c>
      <c r="AF47" s="120">
        <f>+Actuals!AC24</f>
        <v>0</v>
      </c>
      <c r="AG47" s="121">
        <f>+Actuals!AD24</f>
        <v>0</v>
      </c>
      <c r="AH47" s="120">
        <f>+Actuals!AE24</f>
        <v>0</v>
      </c>
      <c r="AI47" s="121">
        <f>+Actuals!AF24</f>
        <v>0</v>
      </c>
      <c r="AJ47" s="120">
        <f>+Actuals!AG24</f>
        <v>0</v>
      </c>
      <c r="AK47" s="121">
        <f>+Actuals!AH24</f>
        <v>0</v>
      </c>
      <c r="AL47" s="120">
        <f>+Actuals!AI24</f>
        <v>0</v>
      </c>
      <c r="AM47" s="121">
        <f>+Actuals!AJ24</f>
        <v>0</v>
      </c>
      <c r="AN47" s="120">
        <f>+Actuals!AK24</f>
        <v>0</v>
      </c>
      <c r="AO47" s="121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20">
        <f>+Actuals!E25</f>
        <v>0</v>
      </c>
      <c r="I49" s="121">
        <f>+Actuals!F25</f>
        <v>0</v>
      </c>
      <c r="J49" s="120">
        <f>+Actuals!G25</f>
        <v>0</v>
      </c>
      <c r="K49" s="121">
        <f>+Actuals!H25</f>
        <v>0</v>
      </c>
      <c r="L49" s="120">
        <f>+Actuals!I25</f>
        <v>0</v>
      </c>
      <c r="M49" s="121">
        <f>+Actuals!J25</f>
        <v>0</v>
      </c>
      <c r="N49" s="120">
        <f>+Actuals!K25</f>
        <v>0</v>
      </c>
      <c r="O49" s="121">
        <f>+Actuals!L25</f>
        <v>0</v>
      </c>
      <c r="P49" s="120">
        <f>+Actuals!M25</f>
        <v>0</v>
      </c>
      <c r="Q49" s="121">
        <f>+Actuals!N25</f>
        <v>0</v>
      </c>
      <c r="R49" s="120">
        <f>+Actuals!O25</f>
        <v>0</v>
      </c>
      <c r="S49" s="121">
        <f>+Actuals!P25</f>
        <v>0</v>
      </c>
      <c r="T49" s="120">
        <f>+Actuals!Q25</f>
        <v>0</v>
      </c>
      <c r="U49" s="121">
        <f>+Actuals!R25</f>
        <v>0</v>
      </c>
      <c r="V49" s="120">
        <f>+Actuals!S24</f>
        <v>0</v>
      </c>
      <c r="W49" s="121">
        <f>+Actuals!T24</f>
        <v>0</v>
      </c>
      <c r="X49" s="120">
        <f>+Actuals!U25</f>
        <v>0</v>
      </c>
      <c r="Y49" s="121">
        <f>+Actuals!V25</f>
        <v>0</v>
      </c>
      <c r="Z49" s="120">
        <f>+Actuals!W25</f>
        <v>0</v>
      </c>
      <c r="AA49" s="121">
        <f>+Actuals!X25</f>
        <v>0</v>
      </c>
      <c r="AB49" s="120">
        <f>+Actuals!Y25</f>
        <v>0</v>
      </c>
      <c r="AC49" s="121">
        <f>+Actuals!Z25</f>
        <v>0</v>
      </c>
      <c r="AD49" s="120">
        <f>+Actuals!AA25</f>
        <v>0</v>
      </c>
      <c r="AE49" s="121">
        <f>+Actuals!AB25</f>
        <v>0</v>
      </c>
      <c r="AF49" s="120">
        <f>+Actuals!AC25</f>
        <v>0</v>
      </c>
      <c r="AG49" s="121">
        <f>+Actuals!AD25</f>
        <v>0</v>
      </c>
      <c r="AH49" s="120">
        <f>+Actuals!AE25</f>
        <v>0</v>
      </c>
      <c r="AI49" s="121">
        <f>+Actuals!AF25</f>
        <v>0</v>
      </c>
      <c r="AJ49" s="120">
        <f>+Actuals!AG25</f>
        <v>0</v>
      </c>
      <c r="AK49" s="121">
        <f>+Actuals!AH25</f>
        <v>0</v>
      </c>
      <c r="AL49" s="120">
        <f>+Actuals!AI25</f>
        <v>0</v>
      </c>
      <c r="AM49" s="121">
        <f>+Actuals!AJ25</f>
        <v>0</v>
      </c>
      <c r="AN49" s="120">
        <f>+Actuals!AK25</f>
        <v>0</v>
      </c>
      <c r="AO49" s="121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20">
        <f>+Actuals!E26</f>
        <v>0</v>
      </c>
      <c r="I51" s="121">
        <f>+Actuals!F26</f>
        <v>0</v>
      </c>
      <c r="J51" s="120">
        <f>+Actuals!G26</f>
        <v>0</v>
      </c>
      <c r="K51" s="121">
        <f>+Actuals!H26</f>
        <v>0</v>
      </c>
      <c r="L51" s="120">
        <f>+Actuals!I26</f>
        <v>0</v>
      </c>
      <c r="M51" s="121">
        <f>+Actuals!J26</f>
        <v>0</v>
      </c>
      <c r="N51" s="120">
        <f>+Actuals!K26</f>
        <v>0</v>
      </c>
      <c r="O51" s="121">
        <f>+Actuals!L26</f>
        <v>0</v>
      </c>
      <c r="P51" s="120">
        <f>+Actuals!M26</f>
        <v>0</v>
      </c>
      <c r="Q51" s="121">
        <f>+Actuals!N26</f>
        <v>0</v>
      </c>
      <c r="R51" s="120">
        <f>+Actuals!O26</f>
        <v>0</v>
      </c>
      <c r="S51" s="121">
        <f>+Actuals!P26</f>
        <v>0</v>
      </c>
      <c r="T51" s="120">
        <f>+Actuals!Q26</f>
        <v>0</v>
      </c>
      <c r="U51" s="121">
        <f>+Actuals!R26</f>
        <v>0</v>
      </c>
      <c r="V51" s="120">
        <f>+Actuals!S26</f>
        <v>0</v>
      </c>
      <c r="W51" s="121">
        <f>+Actuals!T26</f>
        <v>0</v>
      </c>
      <c r="X51" s="120">
        <f>+Actuals!U26</f>
        <v>0</v>
      </c>
      <c r="Y51" s="121">
        <f>+Actuals!V26</f>
        <v>0</v>
      </c>
      <c r="Z51" s="120">
        <f>+Actuals!W26</f>
        <v>0</v>
      </c>
      <c r="AA51" s="121">
        <f>+Actuals!X26</f>
        <v>0</v>
      </c>
      <c r="AB51" s="120">
        <f>+Actuals!Y26</f>
        <v>0</v>
      </c>
      <c r="AC51" s="121">
        <f>+Actuals!Z26</f>
        <v>0</v>
      </c>
      <c r="AD51" s="120">
        <f>+Actuals!AA26</f>
        <v>0</v>
      </c>
      <c r="AE51" s="121">
        <f>+Actuals!AB26</f>
        <v>0</v>
      </c>
      <c r="AF51" s="120">
        <f>+Actuals!AC26</f>
        <v>0</v>
      </c>
      <c r="AG51" s="121">
        <f>+Actuals!AD26</f>
        <v>0</v>
      </c>
      <c r="AH51" s="120">
        <f>+Actuals!AE26</f>
        <v>0</v>
      </c>
      <c r="AI51" s="121">
        <f>+Actuals!AF26</f>
        <v>0</v>
      </c>
      <c r="AJ51" s="120">
        <f>+Actuals!AG26</f>
        <v>0</v>
      </c>
      <c r="AK51" s="121">
        <f>+Actuals!AH26</f>
        <v>0</v>
      </c>
      <c r="AL51" s="120">
        <f>+Actuals!AI26</f>
        <v>0</v>
      </c>
      <c r="AM51" s="121">
        <f>+Actuals!AJ26</f>
        <v>0</v>
      </c>
      <c r="AN51" s="120">
        <f>+Actuals!AK26</f>
        <v>0</v>
      </c>
      <c r="AO51" s="121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20">
        <f>+Actuals!E27</f>
        <v>-114576</v>
      </c>
      <c r="I54" s="121">
        <f>+Actuals!F27</f>
        <v>0</v>
      </c>
      <c r="J54" s="120">
        <f>+Actuals!G27</f>
        <v>114576</v>
      </c>
      <c r="K54" s="121">
        <f>+Actuals!H27</f>
        <v>0</v>
      </c>
      <c r="L54" s="120">
        <f>+Actuals!I27</f>
        <v>0</v>
      </c>
      <c r="M54" s="121">
        <f>+Actuals!J27</f>
        <v>0</v>
      </c>
      <c r="N54" s="120">
        <f>+Actuals!K27</f>
        <v>0</v>
      </c>
      <c r="O54" s="121">
        <f>+Actuals!L27</f>
        <v>0</v>
      </c>
      <c r="P54" s="120">
        <f>+Actuals!M27</f>
        <v>0</v>
      </c>
      <c r="Q54" s="121">
        <f>+Actuals!N27</f>
        <v>0</v>
      </c>
      <c r="R54" s="120">
        <f>+Actuals!O27</f>
        <v>0</v>
      </c>
      <c r="S54" s="121">
        <f>+Actuals!P27</f>
        <v>0</v>
      </c>
      <c r="T54" s="120">
        <f>+Actuals!Q27</f>
        <v>0</v>
      </c>
      <c r="U54" s="121">
        <f>+Actuals!R27</f>
        <v>0</v>
      </c>
      <c r="V54" s="120">
        <f>+Actuals!S27</f>
        <v>0</v>
      </c>
      <c r="W54" s="121">
        <f>+Actuals!T27</f>
        <v>0</v>
      </c>
      <c r="X54" s="120">
        <f>+Actuals!U27</f>
        <v>0</v>
      </c>
      <c r="Y54" s="121">
        <f>+Actuals!V27</f>
        <v>0</v>
      </c>
      <c r="Z54" s="120">
        <f>+Actuals!W27</f>
        <v>0</v>
      </c>
      <c r="AA54" s="121">
        <f>+Actuals!X27</f>
        <v>0</v>
      </c>
      <c r="AB54" s="120">
        <f>+Actuals!Y27</f>
        <v>0</v>
      </c>
      <c r="AC54" s="121">
        <f>+Actuals!Z27</f>
        <v>0</v>
      </c>
      <c r="AD54" s="120">
        <f>+Actuals!AA27</f>
        <v>0</v>
      </c>
      <c r="AE54" s="121">
        <f>+Actuals!AB27</f>
        <v>0</v>
      </c>
      <c r="AF54" s="120">
        <f>+Actuals!AC27</f>
        <v>0</v>
      </c>
      <c r="AG54" s="121">
        <f>+Actuals!AD27</f>
        <v>0</v>
      </c>
      <c r="AH54" s="120">
        <f>+Actuals!AE27</f>
        <v>0</v>
      </c>
      <c r="AI54" s="121">
        <f>+Actuals!AF27</f>
        <v>0</v>
      </c>
      <c r="AJ54" s="120">
        <f>+Actuals!AG27</f>
        <v>0</v>
      </c>
      <c r="AK54" s="121">
        <f>+Actuals!AH27</f>
        <v>0</v>
      </c>
      <c r="AL54" s="120">
        <f>+Actuals!AI27</f>
        <v>0</v>
      </c>
      <c r="AM54" s="121">
        <f>+Actuals!AJ27</f>
        <v>0</v>
      </c>
      <c r="AN54" s="120">
        <f>+Actuals!AK27</f>
        <v>0</v>
      </c>
      <c r="AO54" s="121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20">
        <f>+Actuals!E28</f>
        <v>0</v>
      </c>
      <c r="I55" s="121">
        <f>+Actuals!F28</f>
        <v>0</v>
      </c>
      <c r="J55" s="120">
        <f>+Actuals!G28</f>
        <v>0</v>
      </c>
      <c r="K55" s="121">
        <f>+Actuals!H28</f>
        <v>0</v>
      </c>
      <c r="L55" s="120">
        <f>+Actuals!I28</f>
        <v>0</v>
      </c>
      <c r="M55" s="121">
        <f>+Actuals!J28</f>
        <v>0</v>
      </c>
      <c r="N55" s="120">
        <f>+Actuals!K28</f>
        <v>0</v>
      </c>
      <c r="O55" s="121">
        <f>+Actuals!L28</f>
        <v>0</v>
      </c>
      <c r="P55" s="120">
        <f>+Actuals!M28</f>
        <v>0</v>
      </c>
      <c r="Q55" s="121">
        <f>+Actuals!N28</f>
        <v>0</v>
      </c>
      <c r="R55" s="120">
        <f>+Actuals!O28</f>
        <v>0</v>
      </c>
      <c r="S55" s="121">
        <f>+Actuals!P28</f>
        <v>0</v>
      </c>
      <c r="T55" s="120">
        <f>+Actuals!Q28</f>
        <v>0</v>
      </c>
      <c r="U55" s="121">
        <f>+Actuals!R28</f>
        <v>0</v>
      </c>
      <c r="V55" s="120">
        <f>+Actuals!S28</f>
        <v>0</v>
      </c>
      <c r="W55" s="121">
        <f>+Actuals!T28</f>
        <v>0</v>
      </c>
      <c r="X55" s="120">
        <f>+Actuals!U28</f>
        <v>0</v>
      </c>
      <c r="Y55" s="121">
        <f>+Actuals!V28</f>
        <v>0</v>
      </c>
      <c r="Z55" s="120">
        <f>+Actuals!W28</f>
        <v>0</v>
      </c>
      <c r="AA55" s="121">
        <f>+Actuals!X28</f>
        <v>0</v>
      </c>
      <c r="AB55" s="120">
        <f>+Actuals!Y28</f>
        <v>0</v>
      </c>
      <c r="AC55" s="121">
        <f>+Actuals!Z28</f>
        <v>0</v>
      </c>
      <c r="AD55" s="120">
        <f>+Actuals!AA28</f>
        <v>0</v>
      </c>
      <c r="AE55" s="121">
        <f>+Actuals!AB28</f>
        <v>0</v>
      </c>
      <c r="AF55" s="120">
        <f>+Actuals!AC28</f>
        <v>0</v>
      </c>
      <c r="AG55" s="121">
        <f>+Actuals!AD28</f>
        <v>0</v>
      </c>
      <c r="AH55" s="120">
        <f>+Actuals!AE28</f>
        <v>0</v>
      </c>
      <c r="AI55" s="121">
        <f>+Actuals!AF28</f>
        <v>0</v>
      </c>
      <c r="AJ55" s="120">
        <f>+Actuals!AG28</f>
        <v>0</v>
      </c>
      <c r="AK55" s="121">
        <f>+Actuals!AH28</f>
        <v>0</v>
      </c>
      <c r="AL55" s="120">
        <f>+Actuals!AI28</f>
        <v>0</v>
      </c>
      <c r="AM55" s="121">
        <f>+Actuals!AJ28</f>
        <v>0</v>
      </c>
      <c r="AN55" s="120">
        <f>+Actuals!AK28</f>
        <v>0</v>
      </c>
      <c r="AO55" s="121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-114576</v>
      </c>
      <c r="I56" s="39">
        <f t="shared" si="16"/>
        <v>0</v>
      </c>
      <c r="J56" s="61">
        <f t="shared" si="16"/>
        <v>114576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S56" si="17">SUM(N54:N55)</f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20">
        <f>+Actuals!E29</f>
        <v>0</v>
      </c>
      <c r="I59" s="121">
        <f>+Actuals!F29</f>
        <v>0</v>
      </c>
      <c r="J59" s="120">
        <f>+Actuals!G29</f>
        <v>0</v>
      </c>
      <c r="K59" s="121">
        <f>+Actuals!H29</f>
        <v>0</v>
      </c>
      <c r="L59" s="120">
        <f>+Actuals!I29</f>
        <v>0</v>
      </c>
      <c r="M59" s="121">
        <f>+Actuals!J29</f>
        <v>0</v>
      </c>
      <c r="N59" s="120">
        <f>+Actuals!K29</f>
        <v>0</v>
      </c>
      <c r="O59" s="121">
        <f>+Actuals!L29</f>
        <v>0</v>
      </c>
      <c r="P59" s="120">
        <f>+Actuals!M29</f>
        <v>0</v>
      </c>
      <c r="Q59" s="121">
        <f>+Actuals!N29</f>
        <v>0</v>
      </c>
      <c r="R59" s="120">
        <f>+Actuals!O29</f>
        <v>0</v>
      </c>
      <c r="S59" s="121">
        <f>+Actuals!P29</f>
        <v>0</v>
      </c>
      <c r="T59" s="120">
        <f>+Actuals!Q29</f>
        <v>0</v>
      </c>
      <c r="U59" s="121">
        <f>+Actuals!R29</f>
        <v>0</v>
      </c>
      <c r="V59" s="120">
        <f>+Actuals!S29</f>
        <v>0</v>
      </c>
      <c r="W59" s="121">
        <f>+Actuals!T29</f>
        <v>0</v>
      </c>
      <c r="X59" s="120">
        <f>+Actuals!U29</f>
        <v>0</v>
      </c>
      <c r="Y59" s="121">
        <f>+Actuals!V29</f>
        <v>0</v>
      </c>
      <c r="Z59" s="120">
        <f>+Actuals!W29</f>
        <v>0</v>
      </c>
      <c r="AA59" s="121">
        <f>+Actuals!X29</f>
        <v>0</v>
      </c>
      <c r="AB59" s="120">
        <f>+Actuals!Y29</f>
        <v>0</v>
      </c>
      <c r="AC59" s="121">
        <f>+Actuals!Z29</f>
        <v>0</v>
      </c>
      <c r="AD59" s="120">
        <f>+Actuals!AA29</f>
        <v>0</v>
      </c>
      <c r="AE59" s="121">
        <f>+Actuals!AB29</f>
        <v>0</v>
      </c>
      <c r="AF59" s="120">
        <f>+Actuals!AC29</f>
        <v>0</v>
      </c>
      <c r="AG59" s="121">
        <f>+Actuals!AD29</f>
        <v>0</v>
      </c>
      <c r="AH59" s="120">
        <f>+Actuals!AE29</f>
        <v>0</v>
      </c>
      <c r="AI59" s="121">
        <f>+Actuals!AF29</f>
        <v>0</v>
      </c>
      <c r="AJ59" s="120">
        <f>+Actuals!AG29</f>
        <v>0</v>
      </c>
      <c r="AK59" s="121">
        <f>+Actuals!AH29</f>
        <v>0</v>
      </c>
      <c r="AL59" s="120">
        <f>+Actuals!AI29</f>
        <v>0</v>
      </c>
      <c r="AM59" s="121">
        <f>+Actuals!AJ29</f>
        <v>0</v>
      </c>
      <c r="AN59" s="120">
        <f>+Actuals!AK29</f>
        <v>0</v>
      </c>
      <c r="AO59" s="121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20">
        <f>+Actuals!E30</f>
        <v>0</v>
      </c>
      <c r="I60" s="121">
        <f>+Actuals!F30</f>
        <v>0</v>
      </c>
      <c r="J60" s="120">
        <f>+Actuals!G30</f>
        <v>0</v>
      </c>
      <c r="K60" s="121">
        <f>+Actuals!H30</f>
        <v>0</v>
      </c>
      <c r="L60" s="120">
        <f>+Actuals!I30</f>
        <v>0</v>
      </c>
      <c r="M60" s="121">
        <f>+Actuals!J30</f>
        <v>0</v>
      </c>
      <c r="N60" s="120">
        <f>+Actuals!K30</f>
        <v>0</v>
      </c>
      <c r="O60" s="121">
        <f>+Actuals!L30</f>
        <v>0</v>
      </c>
      <c r="P60" s="120">
        <f>+Actuals!M30</f>
        <v>0</v>
      </c>
      <c r="Q60" s="121">
        <f>+Actuals!N30</f>
        <v>0</v>
      </c>
      <c r="R60" s="120">
        <f>+Actuals!O30</f>
        <v>0</v>
      </c>
      <c r="S60" s="121">
        <f>+Actuals!P30</f>
        <v>0</v>
      </c>
      <c r="T60" s="120">
        <f>+Actuals!Q30</f>
        <v>0</v>
      </c>
      <c r="U60" s="121">
        <f>+Actuals!R30</f>
        <v>0</v>
      </c>
      <c r="V60" s="120">
        <f>+Actuals!S30</f>
        <v>0</v>
      </c>
      <c r="W60" s="121">
        <f>+Actuals!T30</f>
        <v>0</v>
      </c>
      <c r="X60" s="120">
        <f>+Actuals!U30</f>
        <v>0</v>
      </c>
      <c r="Y60" s="121">
        <f>+Actuals!V30</f>
        <v>0</v>
      </c>
      <c r="Z60" s="120">
        <f>+Actuals!W30</f>
        <v>0</v>
      </c>
      <c r="AA60" s="121">
        <f>+Actuals!X30</f>
        <v>0</v>
      </c>
      <c r="AB60" s="120">
        <f>+Actuals!Y30</f>
        <v>0</v>
      </c>
      <c r="AC60" s="121">
        <f>+Actuals!Z30</f>
        <v>0</v>
      </c>
      <c r="AD60" s="120">
        <f>+Actuals!AA30</f>
        <v>0</v>
      </c>
      <c r="AE60" s="121">
        <f>+Actuals!AB30</f>
        <v>0</v>
      </c>
      <c r="AF60" s="120">
        <f>+Actuals!AC30</f>
        <v>0</v>
      </c>
      <c r="AG60" s="121">
        <f>+Actuals!AD30</f>
        <v>0</v>
      </c>
      <c r="AH60" s="120">
        <f>+Actuals!AE30</f>
        <v>0</v>
      </c>
      <c r="AI60" s="121">
        <f>+Actuals!AF30</f>
        <v>0</v>
      </c>
      <c r="AJ60" s="120">
        <f>+Actuals!AG30</f>
        <v>0</v>
      </c>
      <c r="AK60" s="121">
        <f>+Actuals!AH30</f>
        <v>0</v>
      </c>
      <c r="AL60" s="120">
        <f>+Actuals!AI30</f>
        <v>0</v>
      </c>
      <c r="AM60" s="121">
        <f>+Actuals!AJ30</f>
        <v>0</v>
      </c>
      <c r="AN60" s="120">
        <f>+Actuals!AK30</f>
        <v>0</v>
      </c>
      <c r="AO60" s="121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20">
        <f>+Actuals!E31</f>
        <v>0</v>
      </c>
      <c r="I64" s="121">
        <f>+Actuals!F31</f>
        <v>0</v>
      </c>
      <c r="J64" s="120">
        <f>+Actuals!G31</f>
        <v>0</v>
      </c>
      <c r="K64" s="121">
        <f>+Actuals!H31</f>
        <v>0</v>
      </c>
      <c r="L64" s="120">
        <f>+Actuals!I31</f>
        <v>0</v>
      </c>
      <c r="M64" s="121">
        <f>+Actuals!J31</f>
        <v>0</v>
      </c>
      <c r="N64" s="120">
        <f>+Actuals!K31</f>
        <v>0</v>
      </c>
      <c r="O64" s="121">
        <f>+Actuals!L31</f>
        <v>0</v>
      </c>
      <c r="P64" s="120">
        <f>+Actuals!M31</f>
        <v>0</v>
      </c>
      <c r="Q64" s="121">
        <f>+Actuals!N31</f>
        <v>0</v>
      </c>
      <c r="R64" s="120">
        <f>+Actuals!O31</f>
        <v>0</v>
      </c>
      <c r="S64" s="121">
        <f>+Actuals!P31</f>
        <v>0</v>
      </c>
      <c r="T64" s="120">
        <f>+Actuals!Q31</f>
        <v>0</v>
      </c>
      <c r="U64" s="121">
        <f>+Actuals!R31</f>
        <v>0</v>
      </c>
      <c r="V64" s="120">
        <f>+Actuals!S31</f>
        <v>0</v>
      </c>
      <c r="W64" s="121">
        <f>+Actuals!T31</f>
        <v>0</v>
      </c>
      <c r="X64" s="120">
        <f>+Actuals!U31</f>
        <v>0</v>
      </c>
      <c r="Y64" s="121">
        <f>+Actuals!V31</f>
        <v>0</v>
      </c>
      <c r="Z64" s="120">
        <f>+Actuals!W31</f>
        <v>0</v>
      </c>
      <c r="AA64" s="121">
        <f>+Actuals!X31</f>
        <v>0</v>
      </c>
      <c r="AB64" s="120">
        <f>+Actuals!Y31</f>
        <v>0</v>
      </c>
      <c r="AC64" s="121">
        <f>+Actuals!Z31</f>
        <v>0</v>
      </c>
      <c r="AD64" s="120">
        <f>+Actuals!AA31</f>
        <v>0</v>
      </c>
      <c r="AE64" s="121">
        <f>+Actuals!AB31</f>
        <v>0</v>
      </c>
      <c r="AF64" s="120">
        <f>+Actuals!AC31</f>
        <v>0</v>
      </c>
      <c r="AG64" s="121">
        <f>+Actuals!AD31</f>
        <v>0</v>
      </c>
      <c r="AH64" s="120">
        <f>+Actuals!AE31</f>
        <v>0</v>
      </c>
      <c r="AI64" s="121">
        <f>+Actuals!AF31</f>
        <v>0</v>
      </c>
      <c r="AJ64" s="120">
        <f>+Actuals!AG31</f>
        <v>0</v>
      </c>
      <c r="AK64" s="121">
        <f>+Actuals!AH31</f>
        <v>0</v>
      </c>
      <c r="AL64" s="120">
        <f>+Actuals!AI31</f>
        <v>0</v>
      </c>
      <c r="AM64" s="121">
        <f>+Actuals!AJ31</f>
        <v>0</v>
      </c>
      <c r="AN64" s="120">
        <f>+Actuals!AK31</f>
        <v>0</v>
      </c>
      <c r="AO64" s="121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20">
        <f>+Actuals!E32</f>
        <v>0</v>
      </c>
      <c r="I65" s="121">
        <f>+Actuals!F32</f>
        <v>0</v>
      </c>
      <c r="J65" s="120">
        <f>+Actuals!G32</f>
        <v>0</v>
      </c>
      <c r="K65" s="121">
        <f>+Actuals!H32</f>
        <v>0</v>
      </c>
      <c r="L65" s="120">
        <f>+Actuals!I32</f>
        <v>0</v>
      </c>
      <c r="M65" s="121">
        <f>+Actuals!J32</f>
        <v>0</v>
      </c>
      <c r="N65" s="120">
        <f>+Actuals!K32</f>
        <v>0</v>
      </c>
      <c r="O65" s="121">
        <f>+Actuals!L32</f>
        <v>0</v>
      </c>
      <c r="P65" s="120">
        <f>+Actuals!M32</f>
        <v>0</v>
      </c>
      <c r="Q65" s="121">
        <f>+Actuals!N32</f>
        <v>0</v>
      </c>
      <c r="R65" s="120">
        <f>+Actuals!O32</f>
        <v>0</v>
      </c>
      <c r="S65" s="121">
        <f>+Actuals!P32</f>
        <v>0</v>
      </c>
      <c r="T65" s="120">
        <f>+Actuals!Q32</f>
        <v>0</v>
      </c>
      <c r="U65" s="121">
        <f>+Actuals!R32</f>
        <v>0</v>
      </c>
      <c r="V65" s="120">
        <f>+Actuals!S32</f>
        <v>0</v>
      </c>
      <c r="W65" s="121">
        <f>+Actuals!T32</f>
        <v>0</v>
      </c>
      <c r="X65" s="120">
        <f>+Actuals!U32</f>
        <v>0</v>
      </c>
      <c r="Y65" s="121">
        <f>+Actuals!V32</f>
        <v>0</v>
      </c>
      <c r="Z65" s="120">
        <f>+Actuals!W32</f>
        <v>0</v>
      </c>
      <c r="AA65" s="121">
        <f>+Actuals!X32</f>
        <v>0</v>
      </c>
      <c r="AB65" s="120">
        <f>+Actuals!Y32</f>
        <v>0</v>
      </c>
      <c r="AC65" s="121">
        <f>+Actuals!Z32</f>
        <v>0</v>
      </c>
      <c r="AD65" s="120">
        <f>+Actuals!AA32</f>
        <v>0</v>
      </c>
      <c r="AE65" s="121">
        <f>+Actuals!AB32</f>
        <v>0</v>
      </c>
      <c r="AF65" s="120">
        <f>+Actuals!AC32</f>
        <v>0</v>
      </c>
      <c r="AG65" s="121">
        <f>+Actuals!AD32</f>
        <v>0</v>
      </c>
      <c r="AH65" s="120">
        <f>+Actuals!AE32</f>
        <v>0</v>
      </c>
      <c r="AI65" s="121">
        <f>+Actuals!AF32</f>
        <v>0</v>
      </c>
      <c r="AJ65" s="120">
        <f>+Actuals!AG32</f>
        <v>0</v>
      </c>
      <c r="AK65" s="121">
        <f>+Actuals!AH32</f>
        <v>0</v>
      </c>
      <c r="AL65" s="120">
        <f>+Actuals!AI32</f>
        <v>0</v>
      </c>
      <c r="AM65" s="121">
        <f>+Actuals!AJ32</f>
        <v>0</v>
      </c>
      <c r="AN65" s="120">
        <f>+Actuals!AK32</f>
        <v>0</v>
      </c>
      <c r="AO65" s="121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20">
        <f>+Actuals!E33</f>
        <v>0</v>
      </c>
      <c r="I70" s="121">
        <f>+Actuals!F33</f>
        <v>0</v>
      </c>
      <c r="J70" s="120">
        <f>+Actuals!G33</f>
        <v>0</v>
      </c>
      <c r="K70" s="121">
        <f>+Actuals!H33</f>
        <v>0</v>
      </c>
      <c r="L70" s="120">
        <f>+Actuals!I33</f>
        <v>0</v>
      </c>
      <c r="M70" s="121">
        <f>+Actuals!J33</f>
        <v>0</v>
      </c>
      <c r="N70" s="120">
        <f>+Actuals!K33</f>
        <v>0</v>
      </c>
      <c r="O70" s="121">
        <f>+Actuals!L33</f>
        <v>0</v>
      </c>
      <c r="P70" s="120">
        <f>+Actuals!M33</f>
        <v>0</v>
      </c>
      <c r="Q70" s="121">
        <f>+Actuals!N33</f>
        <v>0</v>
      </c>
      <c r="R70" s="120">
        <f>+Actuals!O33</f>
        <v>0</v>
      </c>
      <c r="S70" s="121">
        <f>+Actuals!P33</f>
        <v>0</v>
      </c>
      <c r="T70" s="120">
        <f>+Actuals!Q33</f>
        <v>0</v>
      </c>
      <c r="U70" s="121">
        <f>+Actuals!R33</f>
        <v>0</v>
      </c>
      <c r="V70" s="120">
        <f>+Actuals!S33</f>
        <v>0</v>
      </c>
      <c r="W70" s="121">
        <f>+Actuals!T33</f>
        <v>0</v>
      </c>
      <c r="X70" s="120">
        <f>+Actuals!U33</f>
        <v>0</v>
      </c>
      <c r="Y70" s="121">
        <f>+Actuals!V33</f>
        <v>0</v>
      </c>
      <c r="Z70" s="120">
        <f>+Actuals!W33</f>
        <v>0</v>
      </c>
      <c r="AA70" s="121">
        <f>+Actuals!X33</f>
        <v>0</v>
      </c>
      <c r="AB70" s="120">
        <f>+Actuals!Y33</f>
        <v>0</v>
      </c>
      <c r="AC70" s="121">
        <f>+Actuals!Z33</f>
        <v>0</v>
      </c>
      <c r="AD70" s="120">
        <f>+Actuals!AA33</f>
        <v>0</v>
      </c>
      <c r="AE70" s="121">
        <f>+Actuals!AB33</f>
        <v>0</v>
      </c>
      <c r="AF70" s="120">
        <f>+Actuals!AC33</f>
        <v>0</v>
      </c>
      <c r="AG70" s="121">
        <f>+Actuals!AD33</f>
        <v>0</v>
      </c>
      <c r="AH70" s="120">
        <f>+Actuals!AE33</f>
        <v>0</v>
      </c>
      <c r="AI70" s="121">
        <f>+Actuals!AF33</f>
        <v>0</v>
      </c>
      <c r="AJ70" s="120">
        <f>+Actuals!AG33</f>
        <v>0</v>
      </c>
      <c r="AK70" s="121">
        <f>+Actuals!AH33</f>
        <v>0</v>
      </c>
      <c r="AL70" s="120">
        <f>+Actuals!AI33</f>
        <v>0</v>
      </c>
      <c r="AM70" s="121">
        <f>+Actuals!AJ33</f>
        <v>0</v>
      </c>
      <c r="AN70" s="120">
        <f>+Actuals!AK33</f>
        <v>0</v>
      </c>
      <c r="AO70" s="121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20">
        <f>+Actuals!E34</f>
        <v>0</v>
      </c>
      <c r="I71" s="121">
        <f>+Actuals!F34</f>
        <v>0</v>
      </c>
      <c r="J71" s="120">
        <f>+Actuals!G34</f>
        <v>0</v>
      </c>
      <c r="K71" s="121">
        <f>+Actuals!H34</f>
        <v>0</v>
      </c>
      <c r="L71" s="120">
        <f>+Actuals!I34</f>
        <v>0</v>
      </c>
      <c r="M71" s="121">
        <f>+Actuals!J34</f>
        <v>0</v>
      </c>
      <c r="N71" s="120">
        <f>+Actuals!K34</f>
        <v>0</v>
      </c>
      <c r="O71" s="121">
        <f>+Actuals!L34</f>
        <v>0</v>
      </c>
      <c r="P71" s="120">
        <f>+Actuals!M34</f>
        <v>0</v>
      </c>
      <c r="Q71" s="121">
        <f>+Actuals!N34</f>
        <v>0</v>
      </c>
      <c r="R71" s="120">
        <f>+Actuals!O34</f>
        <v>0</v>
      </c>
      <c r="S71" s="121">
        <f>+Actuals!P34</f>
        <v>0</v>
      </c>
      <c r="T71" s="120">
        <f>+Actuals!Q34</f>
        <v>0</v>
      </c>
      <c r="U71" s="121">
        <f>+Actuals!R34</f>
        <v>0</v>
      </c>
      <c r="V71" s="120">
        <f>+Actuals!S34</f>
        <v>0</v>
      </c>
      <c r="W71" s="121">
        <f>+Actuals!T34</f>
        <v>0</v>
      </c>
      <c r="X71" s="120">
        <f>+Actuals!U34</f>
        <v>0</v>
      </c>
      <c r="Y71" s="121">
        <f>+Actuals!V34</f>
        <v>0</v>
      </c>
      <c r="Z71" s="120">
        <f>+Actuals!W34</f>
        <v>0</v>
      </c>
      <c r="AA71" s="121">
        <f>+Actuals!X34</f>
        <v>0</v>
      </c>
      <c r="AB71" s="120">
        <f>+Actuals!Y34</f>
        <v>0</v>
      </c>
      <c r="AC71" s="121">
        <f>+Actuals!Z34</f>
        <v>0</v>
      </c>
      <c r="AD71" s="120">
        <f>+Actuals!AA34</f>
        <v>0</v>
      </c>
      <c r="AE71" s="121">
        <f>+Actuals!AB34</f>
        <v>0</v>
      </c>
      <c r="AF71" s="120">
        <f>+Actuals!AC34</f>
        <v>0</v>
      </c>
      <c r="AG71" s="121">
        <f>+Actuals!AD34</f>
        <v>0</v>
      </c>
      <c r="AH71" s="120">
        <f>+Actuals!AE34</f>
        <v>0</v>
      </c>
      <c r="AI71" s="121">
        <f>+Actuals!AF34</f>
        <v>0</v>
      </c>
      <c r="AJ71" s="120">
        <f>+Actuals!AG34</f>
        <v>0</v>
      </c>
      <c r="AK71" s="121">
        <f>+Actuals!AH34</f>
        <v>0</v>
      </c>
      <c r="AL71" s="120">
        <f>+Actuals!AI34</f>
        <v>0</v>
      </c>
      <c r="AM71" s="121">
        <f>+Actuals!AJ34</f>
        <v>0</v>
      </c>
      <c r="AN71" s="120">
        <f>+Actuals!AK34</f>
        <v>0</v>
      </c>
      <c r="AO71" s="121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'TIE-OUT'!T73+RECLASS!R73</f>
        <v>0</v>
      </c>
      <c r="G73" s="60">
        <f>'TIE-OUT'!U73+RECLASS!S73</f>
        <v>0</v>
      </c>
      <c r="H73" s="120">
        <f>+Actuals!E35</f>
        <v>0</v>
      </c>
      <c r="I73" s="121">
        <f>+Actuals!F35</f>
        <v>0</v>
      </c>
      <c r="J73" s="120">
        <f>+Actuals!G35</f>
        <v>0</v>
      </c>
      <c r="K73" s="121">
        <f>+Actuals!H35</f>
        <v>0</v>
      </c>
      <c r="L73" s="120">
        <f>+Actuals!I35</f>
        <v>0</v>
      </c>
      <c r="M73" s="121">
        <f>+Actuals!J35</f>
        <v>0</v>
      </c>
      <c r="N73" s="120">
        <f>+Actuals!K35</f>
        <v>0</v>
      </c>
      <c r="O73" s="121">
        <f>+Actuals!L35</f>
        <v>0</v>
      </c>
      <c r="P73" s="120">
        <f>+Actuals!M35</f>
        <v>0</v>
      </c>
      <c r="Q73" s="121">
        <f>+Actuals!N35</f>
        <v>0</v>
      </c>
      <c r="R73" s="120">
        <f>+Actuals!O35</f>
        <v>0</v>
      </c>
      <c r="S73" s="121">
        <f>+Actuals!P35</f>
        <v>0</v>
      </c>
      <c r="T73" s="120">
        <f>+Actuals!Q35</f>
        <v>0</v>
      </c>
      <c r="U73" s="121">
        <f>+Actuals!R35</f>
        <v>0</v>
      </c>
      <c r="V73" s="120">
        <f>+Actuals!S35</f>
        <v>0</v>
      </c>
      <c r="W73" s="121">
        <f>+Actuals!T35</f>
        <v>0</v>
      </c>
      <c r="X73" s="120">
        <f>+Actuals!U35</f>
        <v>0</v>
      </c>
      <c r="Y73" s="121">
        <f>+Actuals!V35</f>
        <v>0</v>
      </c>
      <c r="Z73" s="120">
        <f>+Actuals!W35</f>
        <v>0</v>
      </c>
      <c r="AA73" s="121">
        <f>+Actuals!X35</f>
        <v>0</v>
      </c>
      <c r="AB73" s="120">
        <f>+Actuals!Y35</f>
        <v>0</v>
      </c>
      <c r="AC73" s="121">
        <f>+Actuals!Z35</f>
        <v>0</v>
      </c>
      <c r="AD73" s="120">
        <f>+Actuals!AA35</f>
        <v>0</v>
      </c>
      <c r="AE73" s="121">
        <f>+Actuals!AB35</f>
        <v>0</v>
      </c>
      <c r="AF73" s="120">
        <f>+Actuals!AC35</f>
        <v>0</v>
      </c>
      <c r="AG73" s="121">
        <f>+Actuals!AD35</f>
        <v>0</v>
      </c>
      <c r="AH73" s="120">
        <f>+Actuals!AE35</f>
        <v>0</v>
      </c>
      <c r="AI73" s="121">
        <f>+Actuals!AF35</f>
        <v>0</v>
      </c>
      <c r="AJ73" s="120">
        <f>+Actuals!AG35</f>
        <v>0</v>
      </c>
      <c r="AK73" s="121">
        <f>+Actuals!AH35</f>
        <v>0</v>
      </c>
      <c r="AL73" s="120">
        <f>+Actuals!AI35</f>
        <v>0</v>
      </c>
      <c r="AM73" s="121">
        <f>+Actuals!AJ35</f>
        <v>0</v>
      </c>
      <c r="AN73" s="120">
        <f>+Actuals!AK35</f>
        <v>0</v>
      </c>
      <c r="AO73" s="121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-136707.88</v>
      </c>
      <c r="F74" s="60">
        <f>'TIE-OUT'!T74+RECLASS!R74</f>
        <v>0</v>
      </c>
      <c r="G74" s="60">
        <f>'TIE-OUT'!U74+RECLASS!S74</f>
        <v>-136707.88</v>
      </c>
      <c r="H74" s="120">
        <f>+Actuals!E36</f>
        <v>0</v>
      </c>
      <c r="I74" s="121">
        <f>+Actuals!F36</f>
        <v>0</v>
      </c>
      <c r="J74" s="120">
        <f>+Actuals!G36</f>
        <v>0</v>
      </c>
      <c r="K74" s="121">
        <f>+Actuals!H36</f>
        <v>0</v>
      </c>
      <c r="L74" s="120">
        <f>+Actuals!I36</f>
        <v>0</v>
      </c>
      <c r="M74" s="121">
        <f>+Actuals!J36</f>
        <v>0</v>
      </c>
      <c r="N74" s="120">
        <f>+Actuals!K36</f>
        <v>0</v>
      </c>
      <c r="O74" s="121">
        <f>+Actuals!L36</f>
        <v>0</v>
      </c>
      <c r="P74" s="120">
        <f>+Actuals!M36</f>
        <v>0</v>
      </c>
      <c r="Q74" s="121">
        <f>+Actuals!N36</f>
        <v>0</v>
      </c>
      <c r="R74" s="120">
        <f>+Actuals!O36</f>
        <v>0</v>
      </c>
      <c r="S74" s="121">
        <f>+Actuals!P36</f>
        <v>0</v>
      </c>
      <c r="T74" s="120">
        <f>+Actuals!Q36</f>
        <v>0</v>
      </c>
      <c r="U74" s="121">
        <f>+Actuals!R36</f>
        <v>0</v>
      </c>
      <c r="V74" s="120">
        <f>+Actuals!S36</f>
        <v>0</v>
      </c>
      <c r="W74" s="121">
        <f>+Actuals!T36</f>
        <v>0</v>
      </c>
      <c r="X74" s="120">
        <f>+Actuals!U36</f>
        <v>0</v>
      </c>
      <c r="Y74" s="121">
        <f>+Actuals!V36</f>
        <v>0</v>
      </c>
      <c r="Z74" s="120">
        <f>+Actuals!W36</f>
        <v>0</v>
      </c>
      <c r="AA74" s="121">
        <f>+Actuals!X36</f>
        <v>0</v>
      </c>
      <c r="AB74" s="120">
        <f>+Actuals!Y36</f>
        <v>0</v>
      </c>
      <c r="AC74" s="121">
        <f>+Actuals!Z36</f>
        <v>0</v>
      </c>
      <c r="AD74" s="120">
        <f>+Actuals!AA36</f>
        <v>0</v>
      </c>
      <c r="AE74" s="121">
        <f>+Actuals!AB36</f>
        <v>0</v>
      </c>
      <c r="AF74" s="120">
        <f>+Actuals!AC36</f>
        <v>0</v>
      </c>
      <c r="AG74" s="121">
        <f>+Actuals!AD36</f>
        <v>0</v>
      </c>
      <c r="AH74" s="120">
        <f>+Actuals!AE36</f>
        <v>0</v>
      </c>
      <c r="AI74" s="121">
        <f>+Actuals!AF36</f>
        <v>0</v>
      </c>
      <c r="AJ74" s="120">
        <f>+Actuals!AG36</f>
        <v>0</v>
      </c>
      <c r="AK74" s="121">
        <f>+Actuals!AH36</f>
        <v>0</v>
      </c>
      <c r="AL74" s="120">
        <f>+Actuals!AI36</f>
        <v>0</v>
      </c>
      <c r="AM74" s="121">
        <f>+Actuals!AJ36</f>
        <v>0</v>
      </c>
      <c r="AN74" s="120">
        <f>+Actuals!AK36</f>
        <v>0</v>
      </c>
      <c r="AO74" s="121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'TIE-OUT'!T75+RECLASS!R75</f>
        <v>0</v>
      </c>
      <c r="G75" s="60">
        <f>'TIE-OUT'!U75+RECLASS!S75</f>
        <v>0</v>
      </c>
      <c r="H75" s="120">
        <f>+Actuals!E37</f>
        <v>0</v>
      </c>
      <c r="I75" s="121">
        <f>+Actuals!F37</f>
        <v>0</v>
      </c>
      <c r="J75" s="120">
        <f>+Actuals!G37</f>
        <v>0</v>
      </c>
      <c r="K75" s="121">
        <f>+Actuals!H37</f>
        <v>0</v>
      </c>
      <c r="L75" s="120">
        <f>+Actuals!I37</f>
        <v>0</v>
      </c>
      <c r="M75" s="121">
        <f>+Actuals!J37</f>
        <v>0</v>
      </c>
      <c r="N75" s="120">
        <f>+Actuals!K37</f>
        <v>0</v>
      </c>
      <c r="O75" s="121">
        <f>+Actuals!L37</f>
        <v>0</v>
      </c>
      <c r="P75" s="120">
        <f>+Actuals!M37</f>
        <v>0</v>
      </c>
      <c r="Q75" s="121">
        <f>+Actuals!N37</f>
        <v>0</v>
      </c>
      <c r="R75" s="120">
        <f>+Actuals!O37</f>
        <v>0</v>
      </c>
      <c r="S75" s="121">
        <f>+Actuals!P37</f>
        <v>0</v>
      </c>
      <c r="T75" s="120">
        <f>+Actuals!Q37</f>
        <v>0</v>
      </c>
      <c r="U75" s="121">
        <f>+Actuals!R37</f>
        <v>0</v>
      </c>
      <c r="V75" s="120">
        <f>+Actuals!S37</f>
        <v>0</v>
      </c>
      <c r="W75" s="121">
        <f>+Actuals!T37</f>
        <v>0</v>
      </c>
      <c r="X75" s="120">
        <f>+Actuals!U37</f>
        <v>0</v>
      </c>
      <c r="Y75" s="121">
        <f>+Actuals!V37</f>
        <v>0</v>
      </c>
      <c r="Z75" s="120">
        <f>+Actuals!W37</f>
        <v>0</v>
      </c>
      <c r="AA75" s="121">
        <f>+Actuals!X37</f>
        <v>0</v>
      </c>
      <c r="AB75" s="120">
        <f>+Actuals!Y37</f>
        <v>0</v>
      </c>
      <c r="AC75" s="121">
        <f>+Actuals!Z37</f>
        <v>0</v>
      </c>
      <c r="AD75" s="120">
        <f>+Actuals!AA37</f>
        <v>0</v>
      </c>
      <c r="AE75" s="121">
        <f>+Actuals!AB37</f>
        <v>0</v>
      </c>
      <c r="AF75" s="120">
        <f>+Actuals!AC37</f>
        <v>0</v>
      </c>
      <c r="AG75" s="121">
        <f>+Actuals!AD37</f>
        <v>0</v>
      </c>
      <c r="AH75" s="120">
        <f>+Actuals!AE37</f>
        <v>0</v>
      </c>
      <c r="AI75" s="121">
        <f>+Actuals!AF37</f>
        <v>0</v>
      </c>
      <c r="AJ75" s="120">
        <f>+Actuals!AG37</f>
        <v>0</v>
      </c>
      <c r="AK75" s="121">
        <f>+Actuals!AH37</f>
        <v>0</v>
      </c>
      <c r="AL75" s="120">
        <f>+Actuals!AI37</f>
        <v>0</v>
      </c>
      <c r="AM75" s="121">
        <f>+Actuals!AJ37</f>
        <v>0</v>
      </c>
      <c r="AN75" s="120">
        <f>+Actuals!AK37</f>
        <v>0</v>
      </c>
      <c r="AO75" s="121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'TIE-OUT'!T76+RECLASS!R76</f>
        <v>0</v>
      </c>
      <c r="G76" s="60">
        <f>'TIE-OUT'!U76+RECLASS!S76</f>
        <v>0</v>
      </c>
      <c r="H76" s="120">
        <f>+Actuals!E38</f>
        <v>0</v>
      </c>
      <c r="I76" s="121">
        <f>+Actuals!F38</f>
        <v>0</v>
      </c>
      <c r="J76" s="120">
        <f>+Actuals!G38</f>
        <v>0</v>
      </c>
      <c r="K76" s="121">
        <f>+Actuals!H38</f>
        <v>0</v>
      </c>
      <c r="L76" s="120">
        <f>+Actuals!I38</f>
        <v>0</v>
      </c>
      <c r="M76" s="121">
        <f>+Actuals!J38</f>
        <v>0</v>
      </c>
      <c r="N76" s="120">
        <f>+Actuals!K38</f>
        <v>0</v>
      </c>
      <c r="O76" s="121">
        <f>+Actuals!L38</f>
        <v>0</v>
      </c>
      <c r="P76" s="120">
        <f>+Actuals!M38</f>
        <v>0</v>
      </c>
      <c r="Q76" s="121">
        <f>+Actuals!N38</f>
        <v>0</v>
      </c>
      <c r="R76" s="120">
        <f>+Actuals!O38</f>
        <v>0</v>
      </c>
      <c r="S76" s="121">
        <f>+Actuals!P38</f>
        <v>0</v>
      </c>
      <c r="T76" s="120">
        <f>+Actuals!Q38</f>
        <v>0</v>
      </c>
      <c r="U76" s="121">
        <f>+Actuals!R38</f>
        <v>0</v>
      </c>
      <c r="V76" s="120">
        <f>+Actuals!S38</f>
        <v>0</v>
      </c>
      <c r="W76" s="121">
        <f>+Actuals!T38</f>
        <v>0</v>
      </c>
      <c r="X76" s="120">
        <f>+Actuals!U38</f>
        <v>0</v>
      </c>
      <c r="Y76" s="121">
        <f>+Actuals!V38</f>
        <v>0</v>
      </c>
      <c r="Z76" s="120">
        <f>+Actuals!W38</f>
        <v>0</v>
      </c>
      <c r="AA76" s="121">
        <f>+Actuals!X38</f>
        <v>0</v>
      </c>
      <c r="AB76" s="120">
        <f>+Actuals!Y38</f>
        <v>0</v>
      </c>
      <c r="AC76" s="121">
        <f>+Actuals!Z38</f>
        <v>0</v>
      </c>
      <c r="AD76" s="120">
        <f>+Actuals!AA38</f>
        <v>0</v>
      </c>
      <c r="AE76" s="121">
        <f>+Actuals!AB38</f>
        <v>0</v>
      </c>
      <c r="AF76" s="120">
        <f>+Actuals!AC38</f>
        <v>0</v>
      </c>
      <c r="AG76" s="121">
        <f>+Actuals!AD38</f>
        <v>0</v>
      </c>
      <c r="AH76" s="120">
        <f>+Actuals!AE38</f>
        <v>0</v>
      </c>
      <c r="AI76" s="121">
        <f>+Actuals!AF38</f>
        <v>0</v>
      </c>
      <c r="AJ76" s="120">
        <f>+Actuals!AG38</f>
        <v>0</v>
      </c>
      <c r="AK76" s="121">
        <f>+Actuals!AH38</f>
        <v>0</v>
      </c>
      <c r="AL76" s="120">
        <f>+Actuals!AI38</f>
        <v>0</v>
      </c>
      <c r="AM76" s="121">
        <f>+Actuals!AJ38</f>
        <v>0</v>
      </c>
      <c r="AN76" s="120">
        <f>+Actuals!AK38</f>
        <v>0</v>
      </c>
      <c r="AO76" s="121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'TIE-OUT'!T77+RECLASS!R77</f>
        <v>0</v>
      </c>
      <c r="G77" s="60">
        <f>'TIE-OUT'!U77+RECLASS!S77</f>
        <v>0</v>
      </c>
      <c r="H77" s="120">
        <f>+Actuals!E39</f>
        <v>0</v>
      </c>
      <c r="I77" s="121">
        <f>+Actuals!F39</f>
        <v>0</v>
      </c>
      <c r="J77" s="120">
        <f>+Actuals!G39</f>
        <v>0</v>
      </c>
      <c r="K77" s="121">
        <f>+Actuals!H39</f>
        <v>0</v>
      </c>
      <c r="L77" s="120">
        <f>+Actuals!I39</f>
        <v>0</v>
      </c>
      <c r="M77" s="121">
        <f>+Actuals!J39</f>
        <v>0</v>
      </c>
      <c r="N77" s="120">
        <f>+Actuals!K39</f>
        <v>0</v>
      </c>
      <c r="O77" s="121">
        <f>+Actuals!L39</f>
        <v>0</v>
      </c>
      <c r="P77" s="120">
        <f>+Actuals!M39</f>
        <v>0</v>
      </c>
      <c r="Q77" s="121">
        <f>+Actuals!N39</f>
        <v>0</v>
      </c>
      <c r="R77" s="120">
        <f>+Actuals!O39</f>
        <v>0</v>
      </c>
      <c r="S77" s="121">
        <f>+Actuals!P39</f>
        <v>0</v>
      </c>
      <c r="T77" s="120">
        <f>+Actuals!Q39</f>
        <v>0</v>
      </c>
      <c r="U77" s="121">
        <f>+Actuals!R39</f>
        <v>0</v>
      </c>
      <c r="V77" s="120">
        <f>+Actuals!S39</f>
        <v>0</v>
      </c>
      <c r="W77" s="121">
        <f>+Actuals!T39</f>
        <v>0</v>
      </c>
      <c r="X77" s="120">
        <f>+Actuals!U39</f>
        <v>0</v>
      </c>
      <c r="Y77" s="121">
        <f>+Actuals!V39</f>
        <v>0</v>
      </c>
      <c r="Z77" s="120">
        <f>+Actuals!W39</f>
        <v>0</v>
      </c>
      <c r="AA77" s="121">
        <f>+Actuals!X39</f>
        <v>0</v>
      </c>
      <c r="AB77" s="120">
        <f>+Actuals!Y39</f>
        <v>0</v>
      </c>
      <c r="AC77" s="121">
        <f>+Actuals!Z39</f>
        <v>0</v>
      </c>
      <c r="AD77" s="120">
        <f>+Actuals!AA39</f>
        <v>0</v>
      </c>
      <c r="AE77" s="121">
        <f>+Actuals!AB39</f>
        <v>0</v>
      </c>
      <c r="AF77" s="120">
        <f>+Actuals!AC39</f>
        <v>0</v>
      </c>
      <c r="AG77" s="121">
        <f>+Actuals!AD39</f>
        <v>0</v>
      </c>
      <c r="AH77" s="120">
        <f>+Actuals!AE39</f>
        <v>0</v>
      </c>
      <c r="AI77" s="121">
        <f>+Actuals!AF39</f>
        <v>0</v>
      </c>
      <c r="AJ77" s="120">
        <f>+Actuals!AG39</f>
        <v>0</v>
      </c>
      <c r="AK77" s="121">
        <f>+Actuals!AH39</f>
        <v>0</v>
      </c>
      <c r="AL77" s="120">
        <f>+Actuals!AI39</f>
        <v>0</v>
      </c>
      <c r="AM77" s="121">
        <f>+Actuals!AJ39</f>
        <v>0</v>
      </c>
      <c r="AN77" s="120">
        <f>+Actuals!AK39</f>
        <v>0</v>
      </c>
      <c r="AO77" s="121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'TIE-OUT'!T78+RECLASS!R78</f>
        <v>0</v>
      </c>
      <c r="G78" s="60">
        <f>'TIE-OUT'!U78+RECLASS!S78</f>
        <v>0</v>
      </c>
      <c r="H78" s="120">
        <f>+Actuals!E40</f>
        <v>0</v>
      </c>
      <c r="I78" s="121">
        <f>+Actuals!F40</f>
        <v>0</v>
      </c>
      <c r="J78" s="120">
        <f>+Actuals!G40</f>
        <v>0</v>
      </c>
      <c r="K78" s="121">
        <f>+Actuals!H40</f>
        <v>0</v>
      </c>
      <c r="L78" s="120">
        <f>+Actuals!I40</f>
        <v>0</v>
      </c>
      <c r="M78" s="121">
        <f>+Actuals!J40</f>
        <v>0</v>
      </c>
      <c r="N78" s="120">
        <f>+Actuals!K40</f>
        <v>0</v>
      </c>
      <c r="O78" s="121">
        <f>+Actuals!L40</f>
        <v>0</v>
      </c>
      <c r="P78" s="120">
        <f>+Actuals!M40</f>
        <v>0</v>
      </c>
      <c r="Q78" s="121">
        <f>+Actuals!N40</f>
        <v>0</v>
      </c>
      <c r="R78" s="120">
        <f>+Actuals!O40</f>
        <v>0</v>
      </c>
      <c r="S78" s="121">
        <f>+Actuals!P40</f>
        <v>0</v>
      </c>
      <c r="T78" s="120">
        <f>+Actuals!Q40</f>
        <v>0</v>
      </c>
      <c r="U78" s="121">
        <f>+Actuals!R40</f>
        <v>0</v>
      </c>
      <c r="V78" s="120">
        <f>+Actuals!S40</f>
        <v>0</v>
      </c>
      <c r="W78" s="121">
        <f>+Actuals!T40</f>
        <v>0</v>
      </c>
      <c r="X78" s="120">
        <f>+Actuals!U40</f>
        <v>0</v>
      </c>
      <c r="Y78" s="121">
        <f>+Actuals!V40</f>
        <v>0</v>
      </c>
      <c r="Z78" s="120">
        <f>+Actuals!W40</f>
        <v>0</v>
      </c>
      <c r="AA78" s="121">
        <f>+Actuals!X40</f>
        <v>0</v>
      </c>
      <c r="AB78" s="120">
        <f>+Actuals!Y40</f>
        <v>0</v>
      </c>
      <c r="AC78" s="121">
        <f>+Actuals!Z40</f>
        <v>0</v>
      </c>
      <c r="AD78" s="120">
        <f>+Actuals!AA40</f>
        <v>0</v>
      </c>
      <c r="AE78" s="121">
        <f>+Actuals!AB40</f>
        <v>0</v>
      </c>
      <c r="AF78" s="120">
        <f>+Actuals!AC40</f>
        <v>0</v>
      </c>
      <c r="AG78" s="121">
        <f>+Actuals!AD40</f>
        <v>0</v>
      </c>
      <c r="AH78" s="120">
        <f>+Actuals!AE40</f>
        <v>0</v>
      </c>
      <c r="AI78" s="121">
        <f>+Actuals!AF40</f>
        <v>0</v>
      </c>
      <c r="AJ78" s="120">
        <f>+Actuals!AG40</f>
        <v>0</v>
      </c>
      <c r="AK78" s="121">
        <f>+Actuals!AH40</f>
        <v>0</v>
      </c>
      <c r="AL78" s="120">
        <f>+Actuals!AI40</f>
        <v>0</v>
      </c>
      <c r="AM78" s="121">
        <f>+Actuals!AJ40</f>
        <v>0</v>
      </c>
      <c r="AN78" s="120">
        <f>+Actuals!AK40</f>
        <v>0</v>
      </c>
      <c r="AO78" s="121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'TIE-OUT'!T79+RECLASS!R79</f>
        <v>0</v>
      </c>
      <c r="G79" s="60">
        <f>'TIE-OUT'!U79+RECLASS!S79</f>
        <v>0</v>
      </c>
      <c r="H79" s="120">
        <f>+Actuals!E41</f>
        <v>0</v>
      </c>
      <c r="I79" s="121">
        <f>+Actuals!F41</f>
        <v>0</v>
      </c>
      <c r="J79" s="120">
        <f>+Actuals!G41</f>
        <v>0</v>
      </c>
      <c r="K79" s="121">
        <f>+Actuals!H41</f>
        <v>0</v>
      </c>
      <c r="L79" s="120">
        <f>+Actuals!I41</f>
        <v>0</v>
      </c>
      <c r="M79" s="121">
        <f>+Actuals!J41</f>
        <v>0</v>
      </c>
      <c r="N79" s="120">
        <f>+Actuals!K41</f>
        <v>0</v>
      </c>
      <c r="O79" s="121">
        <f>+Actuals!L41</f>
        <v>0</v>
      </c>
      <c r="P79" s="120">
        <f>+Actuals!M41</f>
        <v>0</v>
      </c>
      <c r="Q79" s="121">
        <f>+Actuals!N41</f>
        <v>0</v>
      </c>
      <c r="R79" s="120">
        <f>+Actuals!O41</f>
        <v>0</v>
      </c>
      <c r="S79" s="121">
        <f>+Actuals!P41</f>
        <v>0</v>
      </c>
      <c r="T79" s="120">
        <f>+Actuals!Q41</f>
        <v>0</v>
      </c>
      <c r="U79" s="121">
        <f>+Actuals!R41</f>
        <v>0</v>
      </c>
      <c r="V79" s="120">
        <f>+Actuals!S41</f>
        <v>0</v>
      </c>
      <c r="W79" s="121">
        <f>+Actuals!T41</f>
        <v>0</v>
      </c>
      <c r="X79" s="120">
        <f>+Actuals!U41</f>
        <v>0</v>
      </c>
      <c r="Y79" s="121">
        <f>+Actuals!V41</f>
        <v>0</v>
      </c>
      <c r="Z79" s="120">
        <f>+Actuals!W41</f>
        <v>0</v>
      </c>
      <c r="AA79" s="121">
        <f>+Actuals!X41</f>
        <v>0</v>
      </c>
      <c r="AB79" s="120">
        <f>+Actuals!Y41</f>
        <v>0</v>
      </c>
      <c r="AC79" s="121">
        <f>+Actuals!Z41</f>
        <v>0</v>
      </c>
      <c r="AD79" s="120">
        <f>+Actuals!AA41</f>
        <v>0</v>
      </c>
      <c r="AE79" s="121">
        <f>+Actuals!AB41</f>
        <v>0</v>
      </c>
      <c r="AF79" s="120">
        <f>+Actuals!AC41</f>
        <v>0</v>
      </c>
      <c r="AG79" s="121">
        <f>+Actuals!AD41</f>
        <v>0</v>
      </c>
      <c r="AH79" s="120">
        <f>+Actuals!AE41</f>
        <v>0</v>
      </c>
      <c r="AI79" s="121">
        <f>+Actuals!AF41</f>
        <v>0</v>
      </c>
      <c r="AJ79" s="120">
        <f>+Actuals!AG41</f>
        <v>0</v>
      </c>
      <c r="AK79" s="121">
        <f>+Actuals!AH41</f>
        <v>0</v>
      </c>
      <c r="AL79" s="120">
        <f>+Actuals!AI41</f>
        <v>0</v>
      </c>
      <c r="AM79" s="121">
        <f>+Actuals!AJ41</f>
        <v>0</v>
      </c>
      <c r="AN79" s="120">
        <f>+Actuals!AK41</f>
        <v>0</v>
      </c>
      <c r="AO79" s="121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'TIE-OUT'!T80+RECLASS!R80</f>
        <v>0</v>
      </c>
      <c r="G80" s="60">
        <f>'TIE-OUT'!U80+RECLASS!S80</f>
        <v>0</v>
      </c>
      <c r="H80" s="120">
        <f>+Actuals!E42</f>
        <v>0</v>
      </c>
      <c r="I80" s="121">
        <f>+Actuals!F42</f>
        <v>0</v>
      </c>
      <c r="J80" s="120">
        <f>+Actuals!G42</f>
        <v>0</v>
      </c>
      <c r="K80" s="121">
        <f>+Actuals!H42</f>
        <v>0</v>
      </c>
      <c r="L80" s="120">
        <f>+Actuals!I42</f>
        <v>0</v>
      </c>
      <c r="M80" s="121">
        <f>+Actuals!J42</f>
        <v>0</v>
      </c>
      <c r="N80" s="120">
        <f>+Actuals!K42</f>
        <v>0</v>
      </c>
      <c r="O80" s="121">
        <f>+Actuals!L42</f>
        <v>0</v>
      </c>
      <c r="P80" s="120">
        <f>+Actuals!M42</f>
        <v>0</v>
      </c>
      <c r="Q80" s="121">
        <f>+Actuals!N42</f>
        <v>0</v>
      </c>
      <c r="R80" s="120">
        <f>+Actuals!O42</f>
        <v>0</v>
      </c>
      <c r="S80" s="121">
        <f>+Actuals!P42</f>
        <v>0</v>
      </c>
      <c r="T80" s="120">
        <f>+Actuals!Q42</f>
        <v>0</v>
      </c>
      <c r="U80" s="121">
        <f>+Actuals!R42</f>
        <v>0</v>
      </c>
      <c r="V80" s="120">
        <f>+Actuals!S42</f>
        <v>0</v>
      </c>
      <c r="W80" s="121">
        <f>+Actuals!T42</f>
        <v>0</v>
      </c>
      <c r="X80" s="120">
        <f>+Actuals!U42</f>
        <v>0</v>
      </c>
      <c r="Y80" s="121">
        <f>+Actuals!V42</f>
        <v>0</v>
      </c>
      <c r="Z80" s="120">
        <f>+Actuals!W42</f>
        <v>0</v>
      </c>
      <c r="AA80" s="121">
        <f>+Actuals!X42</f>
        <v>0</v>
      </c>
      <c r="AB80" s="120">
        <f>+Actuals!Y42</f>
        <v>0</v>
      </c>
      <c r="AC80" s="121">
        <f>+Actuals!Z42</f>
        <v>0</v>
      </c>
      <c r="AD80" s="120">
        <f>+Actuals!AA42</f>
        <v>0</v>
      </c>
      <c r="AE80" s="121">
        <f>+Actuals!AB42</f>
        <v>0</v>
      </c>
      <c r="AF80" s="120">
        <f>+Actuals!AC42</f>
        <v>0</v>
      </c>
      <c r="AG80" s="121">
        <f>+Actuals!AD42</f>
        <v>0</v>
      </c>
      <c r="AH80" s="120">
        <f>+Actuals!AE42</f>
        <v>0</v>
      </c>
      <c r="AI80" s="121">
        <f>+Actuals!AF42</f>
        <v>0</v>
      </c>
      <c r="AJ80" s="120">
        <f>+Actuals!AG42</f>
        <v>0</v>
      </c>
      <c r="AK80" s="121">
        <f>+Actuals!AH42</f>
        <v>0</v>
      </c>
      <c r="AL80" s="120">
        <f>+Actuals!AI42</f>
        <v>0</v>
      </c>
      <c r="AM80" s="121">
        <f>+Actuals!AJ42</f>
        <v>0</v>
      </c>
      <c r="AN80" s="120">
        <f>+Actuals!AK42</f>
        <v>0</v>
      </c>
      <c r="AO80" s="121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'TIE-OUT'!T81+RECLASS!R81</f>
        <v>0</v>
      </c>
      <c r="G81" s="60">
        <f>'TIE-OUT'!U81+RECLASS!S81</f>
        <v>0</v>
      </c>
      <c r="H81" s="120">
        <f>+Actuals!E43</f>
        <v>0</v>
      </c>
      <c r="I81" s="141">
        <f>+Actuals!F43</f>
        <v>0</v>
      </c>
      <c r="J81" s="120">
        <f>+Actuals!G43</f>
        <v>0</v>
      </c>
      <c r="K81" s="141">
        <f>+Actuals!H43</f>
        <v>0</v>
      </c>
      <c r="L81" s="120">
        <f>+Actuals!I43</f>
        <v>0</v>
      </c>
      <c r="M81" s="141">
        <f>+Actuals!J43</f>
        <v>0</v>
      </c>
      <c r="N81" s="120">
        <f>+Actuals!K43</f>
        <v>0</v>
      </c>
      <c r="O81" s="141">
        <f>+Actuals!L43</f>
        <v>0</v>
      </c>
      <c r="P81" s="120">
        <f>+Actuals!M43</f>
        <v>0</v>
      </c>
      <c r="Q81" s="141">
        <f>+Actuals!N43</f>
        <v>0</v>
      </c>
      <c r="R81" s="120">
        <f>+Actuals!O43</f>
        <v>0</v>
      </c>
      <c r="S81" s="141">
        <f>+Actuals!P43</f>
        <v>0</v>
      </c>
      <c r="T81" s="120">
        <f>+Actuals!Q43</f>
        <v>0</v>
      </c>
      <c r="U81" s="141">
        <f>+Actuals!R43</f>
        <v>0</v>
      </c>
      <c r="V81" s="120">
        <f>+Actuals!S43</f>
        <v>0</v>
      </c>
      <c r="W81" s="141">
        <f>+Actuals!T43</f>
        <v>0</v>
      </c>
      <c r="X81" s="120">
        <f>+Actuals!U43</f>
        <v>0</v>
      </c>
      <c r="Y81" s="141">
        <f>+Actuals!V43</f>
        <v>0</v>
      </c>
      <c r="Z81" s="120">
        <f>+Actuals!W43</f>
        <v>0</v>
      </c>
      <c r="AA81" s="141">
        <f>+Actuals!X43</f>
        <v>0</v>
      </c>
      <c r="AB81" s="120">
        <f>+Actuals!Y43</f>
        <v>0</v>
      </c>
      <c r="AC81" s="141">
        <f>+Actuals!Z43</f>
        <v>0</v>
      </c>
      <c r="AD81" s="120">
        <f>+Actuals!AA43</f>
        <v>0</v>
      </c>
      <c r="AE81" s="141">
        <f>+Actuals!AB43</f>
        <v>0</v>
      </c>
      <c r="AF81" s="120">
        <f>+Actuals!AC43</f>
        <v>0</v>
      </c>
      <c r="AG81" s="141">
        <f>+Actuals!AD43</f>
        <v>0</v>
      </c>
      <c r="AH81" s="120">
        <f>+Actuals!AE43</f>
        <v>0</v>
      </c>
      <c r="AI81" s="141">
        <f>+Actuals!AF43</f>
        <v>0</v>
      </c>
      <c r="AJ81" s="120">
        <f>+Actuals!AG43</f>
        <v>0</v>
      </c>
      <c r="AK81" s="141">
        <f>+Actuals!AH43</f>
        <v>0</v>
      </c>
      <c r="AL81" s="120">
        <f>+Actuals!AI43</f>
        <v>0</v>
      </c>
      <c r="AM81" s="141">
        <f>+Actuals!AJ43</f>
        <v>0</v>
      </c>
      <c r="AN81" s="120">
        <f>+Actuals!AK43</f>
        <v>0</v>
      </c>
      <c r="AO81" s="141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-116582.93999999983</v>
      </c>
      <c r="F82" s="91">
        <f>F16+F24+F29+F36+F43+F45+F47+F49</f>
        <v>0</v>
      </c>
      <c r="G82" s="92">
        <f>SUM(G72:G81)+G16+G24+G29+G36+G43+G45+G47+G49+G51+G56+G61+G66</f>
        <v>-143701.48000000001</v>
      </c>
      <c r="H82" s="91">
        <f>H16+H24+H29+H36+H43+H45+H47+H49</f>
        <v>0</v>
      </c>
      <c r="I82" s="92">
        <f>SUM(I72:I81)+I16+I24+I29+I36+I43+I45+I47+I49+I51+I56+I61+I66</f>
        <v>-3870.1600000000035</v>
      </c>
      <c r="J82" s="91">
        <f>J16+J24+J29+J36+J43+J45+J47+J49</f>
        <v>0</v>
      </c>
      <c r="K82" s="110">
        <f>SUM(K72:K81)+K16+K24+K29+K36+K43+K45+K47+K49+K51+K56+K61+K66</f>
        <v>6052.3099999999977</v>
      </c>
      <c r="L82" s="91">
        <f>L16+L24+L29+L36+L43+L45+L47+L49</f>
        <v>0</v>
      </c>
      <c r="M82" s="92">
        <f>SUM(M72:M81)+M16+M24+M29+M36+M43+M45+M47+M49+M51+M56+M61+M66</f>
        <v>16109.33</v>
      </c>
      <c r="N82" s="91">
        <f>N16+N24+N29+N36+N43+N45+N47+N49</f>
        <v>0</v>
      </c>
      <c r="O82" s="92">
        <f>SUM(O72:O81)+O16+O24+O29+O36+O43+O45+O47+O49+O51+O56+O61+O66</f>
        <v>135979.72</v>
      </c>
      <c r="P82" s="91">
        <f>P16+P24+P29+P36+P43+P45+P47+P49</f>
        <v>0</v>
      </c>
      <c r="Q82" s="92">
        <f>SUM(Q72:Q81)+Q16+Q24+Q29+Q36+Q43+Q45+Q47+Q49+Q51+Q56+Q61+Q66</f>
        <v>-641467.28</v>
      </c>
      <c r="R82" s="91">
        <f>R16+R24+R29+R36+R43+R45+R47+R49</f>
        <v>0</v>
      </c>
      <c r="S82" s="92">
        <f>SUM(S72:S81)+S16+S24+S29+S36+S43+S45+S47+S49+S51+S56+S61+S66</f>
        <v>505487.22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-6556.98</v>
      </c>
      <c r="X82" s="91">
        <f>X16+X24+X29+X36+X43+X45+X47+X49</f>
        <v>0</v>
      </c>
      <c r="Y82" s="92">
        <f>SUM(Y72:Y81)+Y16+Y24+Y29+Y36+Y43+Y45+Y47+Y49+Y51+Y56+Y61+Y66</f>
        <v>15384.38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V176"/>
  <sheetViews>
    <sheetView zoomScale="75" workbookViewId="0">
      <pane xSplit="3" ySplit="9" topLeftCell="S60" activePane="bottomRight" state="frozen"/>
      <selection activeCell="Z9" sqref="Z9"/>
      <selection pane="topRight" activeCell="Z9" sqref="Z9"/>
      <selection pane="bottomLeft" activeCell="Z9" sqref="Z9"/>
      <selection pane="bottomRight" activeCell="AA89" sqref="AA8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6640625" style="129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39626965</v>
      </c>
      <c r="E11" s="38">
        <f>SUM(G11,I11,K11,M11,O11,Q11,S11,U11,W11,Y11,AA11,AC11,AE11)</f>
        <v>86086097.849999994</v>
      </c>
      <c r="F11" s="60">
        <f>'TIE-OUT'!X11+RECLASS!V11</f>
        <v>0</v>
      </c>
      <c r="G11" s="38">
        <f>'TIE-OUT'!Y11+RECLASS!W11</f>
        <v>0</v>
      </c>
      <c r="H11" s="120">
        <v>38428915</v>
      </c>
      <c r="I11" s="120">
        <v>83882684</v>
      </c>
      <c r="J11" s="120">
        <v>3657776</v>
      </c>
      <c r="K11" s="121">
        <v>7765252</v>
      </c>
      <c r="L11" s="120">
        <v>-3184429</v>
      </c>
      <c r="M11" s="121">
        <v>-7036563</v>
      </c>
      <c r="N11" s="120">
        <v>577857</v>
      </c>
      <c r="O11" s="121">
        <v>-4309</v>
      </c>
      <c r="P11" s="120">
        <v>114095</v>
      </c>
      <c r="Q11" s="121">
        <v>1407107</v>
      </c>
      <c r="R11" s="120">
        <v>10976</v>
      </c>
      <c r="S11" s="121">
        <v>26953</v>
      </c>
      <c r="T11" s="120">
        <v>22606</v>
      </c>
      <c r="U11" s="121">
        <v>47648</v>
      </c>
      <c r="V11" s="120">
        <v>0</v>
      </c>
      <c r="W11" s="121">
        <v>0</v>
      </c>
      <c r="X11" s="120">
        <v>-831</v>
      </c>
      <c r="Y11" s="121">
        <v>-2674.15</v>
      </c>
      <c r="Z11" s="120">
        <v>0</v>
      </c>
      <c r="AA11" s="121">
        <v>0</v>
      </c>
      <c r="AB11" s="120">
        <v>0</v>
      </c>
      <c r="AC11" s="121">
        <v>0</v>
      </c>
      <c r="AD11" s="120">
        <v>0</v>
      </c>
      <c r="AE11" s="121">
        <v>0</v>
      </c>
      <c r="AF11" s="120">
        <v>0</v>
      </c>
      <c r="AG11" s="121">
        <v>0</v>
      </c>
      <c r="AH11" s="120">
        <v>0</v>
      </c>
      <c r="AI11" s="121">
        <v>0</v>
      </c>
      <c r="AJ11" s="120">
        <v>0</v>
      </c>
      <c r="AK11" s="121">
        <v>0</v>
      </c>
      <c r="AL11" s="120">
        <v>0</v>
      </c>
      <c r="AM11" s="121">
        <v>0</v>
      </c>
      <c r="AN11" s="120">
        <v>0</v>
      </c>
      <c r="AO11" s="121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-5210649.5299999993</v>
      </c>
      <c r="F12" s="60">
        <f>'TIE-OUT'!X12+RECLASS!V12</f>
        <v>0</v>
      </c>
      <c r="G12" s="38">
        <f>'TIE-OUT'!Y12+RECLASS!W12</f>
        <v>-4907671.01</v>
      </c>
      <c r="H12" s="120">
        <v>0</v>
      </c>
      <c r="I12" s="120">
        <v>0</v>
      </c>
      <c r="J12" s="120">
        <v>0</v>
      </c>
      <c r="K12" s="219">
        <f>-76043-151280.02-37634-38021.5</f>
        <v>-302978.52</v>
      </c>
      <c r="L12" s="120">
        <v>0</v>
      </c>
      <c r="M12" s="121">
        <v>0</v>
      </c>
      <c r="N12" s="120">
        <v>0</v>
      </c>
      <c r="O12" s="121">
        <v>0</v>
      </c>
      <c r="P12" s="120"/>
      <c r="Q12" s="121"/>
      <c r="R12" s="120"/>
      <c r="S12" s="121"/>
      <c r="T12" s="120">
        <v>0</v>
      </c>
      <c r="U12" s="121">
        <v>0</v>
      </c>
      <c r="V12" s="120">
        <v>0</v>
      </c>
      <c r="W12" s="121">
        <v>0</v>
      </c>
      <c r="X12" s="120">
        <v>0</v>
      </c>
      <c r="Y12" s="121">
        <v>0</v>
      </c>
      <c r="Z12" s="120">
        <v>0</v>
      </c>
      <c r="AA12" s="121">
        <v>0</v>
      </c>
      <c r="AB12" s="120">
        <v>0</v>
      </c>
      <c r="AC12" s="121">
        <v>0</v>
      </c>
      <c r="AD12" s="120">
        <v>0</v>
      </c>
      <c r="AE12" s="121">
        <v>0</v>
      </c>
      <c r="AF12" s="120">
        <v>0</v>
      </c>
      <c r="AG12" s="121">
        <v>0</v>
      </c>
      <c r="AH12" s="120">
        <v>0</v>
      </c>
      <c r="AI12" s="121">
        <v>0</v>
      </c>
      <c r="AJ12" s="120">
        <v>0</v>
      </c>
      <c r="AK12" s="121">
        <v>0</v>
      </c>
      <c r="AL12" s="120">
        <v>0</v>
      </c>
      <c r="AM12" s="121">
        <v>0</v>
      </c>
      <c r="AN12" s="120">
        <v>0</v>
      </c>
      <c r="AO12" s="121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20">
        <v>0</v>
      </c>
      <c r="I13" s="120">
        <v>0</v>
      </c>
      <c r="J13" s="120">
        <v>0</v>
      </c>
      <c r="K13" s="121">
        <v>0</v>
      </c>
      <c r="L13" s="120">
        <v>0</v>
      </c>
      <c r="M13" s="121">
        <v>0</v>
      </c>
      <c r="N13" s="120">
        <v>0</v>
      </c>
      <c r="O13" s="121">
        <v>0</v>
      </c>
      <c r="P13" s="120"/>
      <c r="Q13" s="121"/>
      <c r="R13" s="120"/>
      <c r="S13" s="121"/>
      <c r="T13" s="120">
        <v>0</v>
      </c>
      <c r="U13" s="121">
        <v>0</v>
      </c>
      <c r="V13" s="120">
        <v>0</v>
      </c>
      <c r="W13" s="121">
        <v>0</v>
      </c>
      <c r="X13" s="120">
        <v>0</v>
      </c>
      <c r="Y13" s="121">
        <v>0</v>
      </c>
      <c r="Z13" s="120">
        <v>0</v>
      </c>
      <c r="AA13" s="121">
        <v>0</v>
      </c>
      <c r="AB13" s="120">
        <v>0</v>
      </c>
      <c r="AC13" s="121">
        <v>0</v>
      </c>
      <c r="AD13" s="120">
        <v>0</v>
      </c>
      <c r="AE13" s="121">
        <v>0</v>
      </c>
      <c r="AF13" s="120">
        <v>0</v>
      </c>
      <c r="AG13" s="121">
        <v>0</v>
      </c>
      <c r="AH13" s="120">
        <v>0</v>
      </c>
      <c r="AI13" s="121">
        <v>0</v>
      </c>
      <c r="AJ13" s="120">
        <v>0</v>
      </c>
      <c r="AK13" s="121">
        <v>0</v>
      </c>
      <c r="AL13" s="120">
        <v>0</v>
      </c>
      <c r="AM13" s="121">
        <v>0</v>
      </c>
      <c r="AN13" s="120">
        <v>0</v>
      </c>
      <c r="AO13" s="121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20">
        <v>0</v>
      </c>
      <c r="I14" s="120">
        <v>0</v>
      </c>
      <c r="J14" s="120">
        <v>0</v>
      </c>
      <c r="K14" s="121">
        <v>0</v>
      </c>
      <c r="L14" s="120">
        <v>0</v>
      </c>
      <c r="M14" s="121">
        <v>0</v>
      </c>
      <c r="N14" s="120">
        <v>0</v>
      </c>
      <c r="O14" s="121">
        <v>0</v>
      </c>
      <c r="P14" s="120"/>
      <c r="Q14" s="121"/>
      <c r="R14" s="120"/>
      <c r="S14" s="121"/>
      <c r="T14" s="120">
        <v>0</v>
      </c>
      <c r="U14" s="121">
        <v>0</v>
      </c>
      <c r="V14" s="120">
        <v>0</v>
      </c>
      <c r="W14" s="121">
        <v>0</v>
      </c>
      <c r="X14" s="120">
        <v>0</v>
      </c>
      <c r="Y14" s="121">
        <v>0</v>
      </c>
      <c r="Z14" s="120">
        <v>0</v>
      </c>
      <c r="AA14" s="121">
        <v>0</v>
      </c>
      <c r="AB14" s="120">
        <v>0</v>
      </c>
      <c r="AC14" s="121">
        <v>0</v>
      </c>
      <c r="AD14" s="120">
        <v>0</v>
      </c>
      <c r="AE14" s="121">
        <v>0</v>
      </c>
      <c r="AF14" s="120">
        <v>0</v>
      </c>
      <c r="AG14" s="121">
        <v>0</v>
      </c>
      <c r="AH14" s="120">
        <v>0</v>
      </c>
      <c r="AI14" s="121">
        <v>0</v>
      </c>
      <c r="AJ14" s="120">
        <v>0</v>
      </c>
      <c r="AK14" s="121">
        <v>0</v>
      </c>
      <c r="AL14" s="120">
        <v>0</v>
      </c>
      <c r="AM14" s="121">
        <v>0</v>
      </c>
      <c r="AN14" s="120">
        <v>0</v>
      </c>
      <c r="AO14" s="121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20">
        <v>0</v>
      </c>
      <c r="I15" s="120">
        <v>0</v>
      </c>
      <c r="J15" s="120">
        <v>0</v>
      </c>
      <c r="K15" s="121">
        <v>0</v>
      </c>
      <c r="L15" s="120">
        <v>0</v>
      </c>
      <c r="M15" s="121">
        <v>0</v>
      </c>
      <c r="N15" s="120">
        <v>0</v>
      </c>
      <c r="O15" s="121">
        <v>0</v>
      </c>
      <c r="P15" s="120"/>
      <c r="Q15" s="121"/>
      <c r="R15" s="120"/>
      <c r="S15" s="121"/>
      <c r="T15" s="120">
        <v>0</v>
      </c>
      <c r="U15" s="121">
        <v>0</v>
      </c>
      <c r="V15" s="120">
        <v>0</v>
      </c>
      <c r="W15" s="121">
        <v>0</v>
      </c>
      <c r="X15" s="120">
        <v>0</v>
      </c>
      <c r="Y15" s="121">
        <v>0</v>
      </c>
      <c r="Z15" s="120">
        <v>0</v>
      </c>
      <c r="AA15" s="121">
        <v>0</v>
      </c>
      <c r="AB15" s="120">
        <v>0</v>
      </c>
      <c r="AC15" s="121">
        <v>0</v>
      </c>
      <c r="AD15" s="120">
        <v>0</v>
      </c>
      <c r="AE15" s="121">
        <v>0</v>
      </c>
      <c r="AF15" s="120">
        <v>0</v>
      </c>
      <c r="AG15" s="121">
        <v>0</v>
      </c>
      <c r="AH15" s="120">
        <v>0</v>
      </c>
      <c r="AI15" s="121">
        <v>0</v>
      </c>
      <c r="AJ15" s="120">
        <v>0</v>
      </c>
      <c r="AK15" s="121">
        <v>0</v>
      </c>
      <c r="AL15" s="120">
        <v>0</v>
      </c>
      <c r="AM15" s="121">
        <v>0</v>
      </c>
      <c r="AN15" s="120">
        <v>0</v>
      </c>
      <c r="AO15" s="121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39626965</v>
      </c>
      <c r="E16" s="39">
        <f t="shared" si="1"/>
        <v>80875448.319999993</v>
      </c>
      <c r="F16" s="61">
        <f t="shared" si="1"/>
        <v>0</v>
      </c>
      <c r="G16" s="39">
        <f t="shared" si="1"/>
        <v>-4907671.01</v>
      </c>
      <c r="H16" s="61">
        <f t="shared" si="1"/>
        <v>38428915</v>
      </c>
      <c r="I16" s="61">
        <f t="shared" si="1"/>
        <v>83882684</v>
      </c>
      <c r="J16" s="61">
        <f t="shared" si="1"/>
        <v>3657776</v>
      </c>
      <c r="K16" s="39">
        <f t="shared" si="1"/>
        <v>7462273.4800000004</v>
      </c>
      <c r="L16" s="61">
        <f t="shared" si="1"/>
        <v>-3184429</v>
      </c>
      <c r="M16" s="39">
        <f t="shared" si="1"/>
        <v>-7036563</v>
      </c>
      <c r="N16" s="61">
        <f t="shared" ref="N16:S16" si="2">SUM(N11:N15)</f>
        <v>577857</v>
      </c>
      <c r="O16" s="39">
        <f t="shared" si="2"/>
        <v>-4309</v>
      </c>
      <c r="P16" s="61">
        <f t="shared" si="2"/>
        <v>114095</v>
      </c>
      <c r="Q16" s="39">
        <f t="shared" si="2"/>
        <v>1407107</v>
      </c>
      <c r="R16" s="61">
        <f t="shared" si="2"/>
        <v>10976</v>
      </c>
      <c r="S16" s="39">
        <f t="shared" si="2"/>
        <v>26953</v>
      </c>
      <c r="T16" s="61">
        <f t="shared" si="1"/>
        <v>22606</v>
      </c>
      <c r="U16" s="39">
        <f t="shared" si="1"/>
        <v>47648</v>
      </c>
      <c r="V16" s="61">
        <f t="shared" si="1"/>
        <v>0</v>
      </c>
      <c r="W16" s="39">
        <f t="shared" si="1"/>
        <v>0</v>
      </c>
      <c r="X16" s="61">
        <f t="shared" si="1"/>
        <v>-831</v>
      </c>
      <c r="Y16" s="39">
        <f t="shared" si="1"/>
        <v>-2674.15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-47016326</v>
      </c>
      <c r="E19" s="38">
        <f t="shared" si="3"/>
        <v>-97425991.489999995</v>
      </c>
      <c r="F19" s="64">
        <f>'TIE-OUT'!X19+RECLASS!V19</f>
        <v>0</v>
      </c>
      <c r="G19" s="68">
        <f>'TIE-OUT'!Y19+RECLASS!W19</f>
        <v>0</v>
      </c>
      <c r="H19" s="120">
        <v>-46505201</v>
      </c>
      <c r="I19" s="120">
        <v>-96559094</v>
      </c>
      <c r="J19" s="120">
        <v>-3040350</v>
      </c>
      <c r="K19" s="121">
        <v>-5989223</v>
      </c>
      <c r="L19" s="120">
        <v>3205027</v>
      </c>
      <c r="M19" s="121">
        <v>6475455</v>
      </c>
      <c r="N19" s="120">
        <v>-580617</v>
      </c>
      <c r="O19" s="121">
        <v>14049</v>
      </c>
      <c r="P19" s="120">
        <v>-402314</v>
      </c>
      <c r="Q19" s="121">
        <v>-1977182</v>
      </c>
      <c r="R19" s="120">
        <v>217059</v>
      </c>
      <c r="S19" s="121">
        <v>422817</v>
      </c>
      <c r="T19" s="120">
        <v>21410</v>
      </c>
      <c r="U19" s="121">
        <v>46041</v>
      </c>
      <c r="V19" s="120">
        <v>0</v>
      </c>
      <c r="W19" s="121">
        <v>-4114.8</v>
      </c>
      <c r="X19" s="120">
        <v>4634</v>
      </c>
      <c r="Y19" s="121">
        <v>10818</v>
      </c>
      <c r="Z19" s="120">
        <v>64026</v>
      </c>
      <c r="AA19" s="121">
        <v>134442.31</v>
      </c>
      <c r="AB19" s="120">
        <v>0</v>
      </c>
      <c r="AC19" s="121">
        <v>0</v>
      </c>
      <c r="AD19" s="120">
        <v>0</v>
      </c>
      <c r="AE19" s="121">
        <v>0</v>
      </c>
      <c r="AF19" s="120">
        <v>0</v>
      </c>
      <c r="AG19" s="121">
        <v>0</v>
      </c>
      <c r="AH19" s="120">
        <v>0</v>
      </c>
      <c r="AI19" s="121">
        <v>0</v>
      </c>
      <c r="AJ19" s="120">
        <v>0</v>
      </c>
      <c r="AK19" s="121">
        <v>0</v>
      </c>
      <c r="AL19" s="120">
        <v>0</v>
      </c>
      <c r="AM19" s="121">
        <v>0</v>
      </c>
      <c r="AN19" s="120">
        <v>0</v>
      </c>
      <c r="AO19" s="121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31148.62</v>
      </c>
      <c r="F20" s="60">
        <f>'TIE-OUT'!X20+RECLASS!V20</f>
        <v>0</v>
      </c>
      <c r="G20" s="38">
        <f>'TIE-OUT'!Y20+RECLASS!W20</f>
        <v>31148.62</v>
      </c>
      <c r="H20" s="120">
        <v>0</v>
      </c>
      <c r="I20" s="120">
        <v>0</v>
      </c>
      <c r="J20" s="120">
        <v>0</v>
      </c>
      <c r="K20" s="121">
        <v>0</v>
      </c>
      <c r="L20" s="120">
        <v>0</v>
      </c>
      <c r="M20" s="121">
        <v>0</v>
      </c>
      <c r="N20" s="120">
        <v>0</v>
      </c>
      <c r="O20" s="121">
        <v>0</v>
      </c>
      <c r="P20" s="120"/>
      <c r="Q20" s="121"/>
      <c r="R20" s="120"/>
      <c r="S20" s="121"/>
      <c r="T20" s="120">
        <v>0</v>
      </c>
      <c r="U20" s="121">
        <v>0</v>
      </c>
      <c r="V20" s="120">
        <v>0</v>
      </c>
      <c r="W20" s="121">
        <v>0</v>
      </c>
      <c r="X20" s="120">
        <v>0</v>
      </c>
      <c r="Y20" s="121">
        <v>0</v>
      </c>
      <c r="Z20" s="120">
        <v>0</v>
      </c>
      <c r="AA20" s="121">
        <v>0</v>
      </c>
      <c r="AB20" s="120">
        <v>0</v>
      </c>
      <c r="AC20" s="121">
        <v>0</v>
      </c>
      <c r="AD20" s="120">
        <v>0</v>
      </c>
      <c r="AE20" s="121">
        <v>0</v>
      </c>
      <c r="AF20" s="120">
        <v>0</v>
      </c>
      <c r="AG20" s="121">
        <v>0</v>
      </c>
      <c r="AH20" s="120">
        <v>0</v>
      </c>
      <c r="AI20" s="121">
        <v>0</v>
      </c>
      <c r="AJ20" s="120">
        <v>0</v>
      </c>
      <c r="AK20" s="121">
        <v>0</v>
      </c>
      <c r="AL20" s="120">
        <v>0</v>
      </c>
      <c r="AM20" s="121">
        <v>0</v>
      </c>
      <c r="AN20" s="120">
        <v>0</v>
      </c>
      <c r="AO20" s="121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'TIE-OUT'!X21+RECLASS!V21</f>
        <v>0</v>
      </c>
      <c r="G21" s="38">
        <f>'TIE-OUT'!Y21+RECLASS!W21</f>
        <v>0</v>
      </c>
      <c r="H21" s="120">
        <v>0</v>
      </c>
      <c r="I21" s="120">
        <v>0</v>
      </c>
      <c r="J21" s="120">
        <v>0</v>
      </c>
      <c r="K21" s="121">
        <v>0</v>
      </c>
      <c r="L21" s="120">
        <v>0</v>
      </c>
      <c r="M21" s="121">
        <v>0</v>
      </c>
      <c r="N21" s="120">
        <v>0</v>
      </c>
      <c r="O21" s="121">
        <v>0</v>
      </c>
      <c r="P21" s="120"/>
      <c r="Q21" s="121"/>
      <c r="R21" s="120"/>
      <c r="S21" s="121"/>
      <c r="T21" s="120">
        <v>0</v>
      </c>
      <c r="U21" s="121">
        <v>0</v>
      </c>
      <c r="V21" s="120">
        <v>0</v>
      </c>
      <c r="W21" s="121">
        <v>0</v>
      </c>
      <c r="X21" s="120">
        <v>0</v>
      </c>
      <c r="Y21" s="121">
        <v>0</v>
      </c>
      <c r="Z21" s="120">
        <v>0</v>
      </c>
      <c r="AA21" s="121">
        <v>0</v>
      </c>
      <c r="AB21" s="120">
        <v>0</v>
      </c>
      <c r="AC21" s="121">
        <v>0</v>
      </c>
      <c r="AD21" s="120">
        <v>0</v>
      </c>
      <c r="AE21" s="121">
        <v>0</v>
      </c>
      <c r="AF21" s="120">
        <v>0</v>
      </c>
      <c r="AG21" s="121">
        <v>0</v>
      </c>
      <c r="AH21" s="120">
        <v>0</v>
      </c>
      <c r="AI21" s="121">
        <v>0</v>
      </c>
      <c r="AJ21" s="120">
        <v>0</v>
      </c>
      <c r="AK21" s="121">
        <v>0</v>
      </c>
      <c r="AL21" s="120">
        <v>0</v>
      </c>
      <c r="AM21" s="121">
        <v>0</v>
      </c>
      <c r="AN21" s="120">
        <v>0</v>
      </c>
      <c r="AO21" s="121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'TIE-OUT'!X22+RECLASS!V22</f>
        <v>0</v>
      </c>
      <c r="G22" s="38">
        <f>'TIE-OUT'!Y22+RECLASS!W22</f>
        <v>0</v>
      </c>
      <c r="H22" s="120">
        <v>0</v>
      </c>
      <c r="I22" s="120">
        <v>0</v>
      </c>
      <c r="J22" s="120">
        <v>0</v>
      </c>
      <c r="K22" s="121">
        <v>0</v>
      </c>
      <c r="L22" s="120">
        <v>0</v>
      </c>
      <c r="M22" s="121">
        <v>0</v>
      </c>
      <c r="N22" s="120">
        <v>0</v>
      </c>
      <c r="O22" s="121">
        <v>0</v>
      </c>
      <c r="P22" s="120"/>
      <c r="Q22" s="121"/>
      <c r="R22" s="120"/>
      <c r="S22" s="121"/>
      <c r="T22" s="120">
        <v>0</v>
      </c>
      <c r="U22" s="121">
        <v>0</v>
      </c>
      <c r="V22" s="120">
        <v>0</v>
      </c>
      <c r="W22" s="121">
        <v>0</v>
      </c>
      <c r="X22" s="120">
        <v>0</v>
      </c>
      <c r="Y22" s="121">
        <v>0</v>
      </c>
      <c r="Z22" s="120">
        <v>0</v>
      </c>
      <c r="AA22" s="121">
        <v>0</v>
      </c>
      <c r="AB22" s="120">
        <v>0</v>
      </c>
      <c r="AC22" s="121">
        <v>0</v>
      </c>
      <c r="AD22" s="120">
        <v>0</v>
      </c>
      <c r="AE22" s="121">
        <v>0</v>
      </c>
      <c r="AF22" s="120">
        <v>0</v>
      </c>
      <c r="AG22" s="121">
        <v>0</v>
      </c>
      <c r="AH22" s="120">
        <v>0</v>
      </c>
      <c r="AI22" s="121">
        <v>0</v>
      </c>
      <c r="AJ22" s="120">
        <v>0</v>
      </c>
      <c r="AK22" s="121">
        <v>0</v>
      </c>
      <c r="AL22" s="120">
        <v>0</v>
      </c>
      <c r="AM22" s="121">
        <v>0</v>
      </c>
      <c r="AN22" s="120">
        <v>0</v>
      </c>
      <c r="AO22" s="121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'TIE-OUT'!X23+RECLASS!V23</f>
        <v>0</v>
      </c>
      <c r="G23" s="82">
        <f>'TIE-OUT'!Y23+RECLASS!W23</f>
        <v>0</v>
      </c>
      <c r="H23" s="120">
        <v>0</v>
      </c>
      <c r="I23" s="120">
        <v>0</v>
      </c>
      <c r="J23" s="120">
        <v>0</v>
      </c>
      <c r="K23" s="121">
        <v>0</v>
      </c>
      <c r="L23" s="120">
        <v>0</v>
      </c>
      <c r="M23" s="121">
        <v>0</v>
      </c>
      <c r="N23" s="120">
        <v>0</v>
      </c>
      <c r="O23" s="121">
        <v>0</v>
      </c>
      <c r="P23" s="120"/>
      <c r="Q23" s="121"/>
      <c r="R23" s="120"/>
      <c r="S23" s="121"/>
      <c r="T23" s="120">
        <v>0</v>
      </c>
      <c r="U23" s="121">
        <v>0</v>
      </c>
      <c r="V23" s="120">
        <v>0</v>
      </c>
      <c r="W23" s="121">
        <v>0</v>
      </c>
      <c r="X23" s="120">
        <v>0</v>
      </c>
      <c r="Y23" s="121">
        <v>0</v>
      </c>
      <c r="Z23" s="120">
        <v>0</v>
      </c>
      <c r="AA23" s="121">
        <v>0</v>
      </c>
      <c r="AB23" s="120">
        <v>0</v>
      </c>
      <c r="AC23" s="121">
        <v>0</v>
      </c>
      <c r="AD23" s="120">
        <v>0</v>
      </c>
      <c r="AE23" s="121">
        <v>0</v>
      </c>
      <c r="AF23" s="120">
        <v>0</v>
      </c>
      <c r="AG23" s="121">
        <v>0</v>
      </c>
      <c r="AH23" s="120">
        <v>0</v>
      </c>
      <c r="AI23" s="121">
        <v>0</v>
      </c>
      <c r="AJ23" s="120">
        <v>0</v>
      </c>
      <c r="AK23" s="121">
        <v>0</v>
      </c>
      <c r="AL23" s="120">
        <v>0</v>
      </c>
      <c r="AM23" s="121">
        <v>0</v>
      </c>
      <c r="AN23" s="120">
        <v>0</v>
      </c>
      <c r="AO23" s="121">
        <v>0</v>
      </c>
    </row>
    <row r="24" spans="1:41" x14ac:dyDescent="0.25">
      <c r="A24" s="9"/>
      <c r="B24" s="7" t="s">
        <v>33</v>
      </c>
      <c r="C24" s="6"/>
      <c r="D24" s="61">
        <f t="shared" ref="D24:AO24" si="4">SUM(D19:D23)</f>
        <v>-47016326</v>
      </c>
      <c r="E24" s="39">
        <f t="shared" si="4"/>
        <v>-97394842.86999999</v>
      </c>
      <c r="F24" s="61">
        <f t="shared" si="4"/>
        <v>0</v>
      </c>
      <c r="G24" s="39">
        <f t="shared" si="4"/>
        <v>31148.62</v>
      </c>
      <c r="H24" s="61">
        <f t="shared" si="4"/>
        <v>-46505201</v>
      </c>
      <c r="I24" s="61">
        <f t="shared" si="4"/>
        <v>-96559094</v>
      </c>
      <c r="J24" s="61">
        <f t="shared" si="4"/>
        <v>-3040350</v>
      </c>
      <c r="K24" s="39">
        <f t="shared" si="4"/>
        <v>-5989223</v>
      </c>
      <c r="L24" s="61">
        <f t="shared" si="4"/>
        <v>3205027</v>
      </c>
      <c r="M24" s="39">
        <f t="shared" si="4"/>
        <v>6475455</v>
      </c>
      <c r="N24" s="61">
        <f t="shared" ref="N24:S24" si="5">SUM(N19:N23)</f>
        <v>-580617</v>
      </c>
      <c r="O24" s="39">
        <f t="shared" si="5"/>
        <v>14049</v>
      </c>
      <c r="P24" s="61">
        <f t="shared" si="5"/>
        <v>-402314</v>
      </c>
      <c r="Q24" s="39">
        <f t="shared" si="5"/>
        <v>-1977182</v>
      </c>
      <c r="R24" s="61">
        <f t="shared" si="5"/>
        <v>217059</v>
      </c>
      <c r="S24" s="39">
        <f t="shared" si="5"/>
        <v>422817</v>
      </c>
      <c r="T24" s="61">
        <f t="shared" si="4"/>
        <v>21410</v>
      </c>
      <c r="U24" s="39">
        <f t="shared" si="4"/>
        <v>46041</v>
      </c>
      <c r="V24" s="61">
        <f t="shared" si="4"/>
        <v>0</v>
      </c>
      <c r="W24" s="39">
        <f t="shared" si="4"/>
        <v>-4114.8</v>
      </c>
      <c r="X24" s="61">
        <f t="shared" si="4"/>
        <v>4634</v>
      </c>
      <c r="Y24" s="39">
        <f t="shared" si="4"/>
        <v>10818</v>
      </c>
      <c r="Z24" s="61">
        <f t="shared" si="4"/>
        <v>64026</v>
      </c>
      <c r="AA24" s="39">
        <f t="shared" si="4"/>
        <v>134442.31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16893894</v>
      </c>
      <c r="E27" s="38">
        <f>SUM(G27,I27,K27,M27,O27,Q27,S27,U27,W27,Y27,AA27,AC27,AE27)</f>
        <v>38624023.059999995</v>
      </c>
      <c r="F27" s="64">
        <f>'TIE-OUT'!X27+RECLASS!V27</f>
        <v>0</v>
      </c>
      <c r="G27" s="68">
        <f>'TIE-OUT'!Y27+RECLASS!W27</f>
        <v>0</v>
      </c>
      <c r="H27" s="120">
        <f>8074957+283278</f>
        <v>8358235</v>
      </c>
      <c r="I27" s="120">
        <f>17961376+643334</f>
        <v>18604710</v>
      </c>
      <c r="J27" s="120">
        <f>8569266-159429</f>
        <v>8409837</v>
      </c>
      <c r="K27" s="121">
        <f>20108569-377010</f>
        <v>19731559</v>
      </c>
      <c r="L27" s="120">
        <f>289014+14319</f>
        <v>303333</v>
      </c>
      <c r="M27" s="121">
        <f>683787+35189</f>
        <v>718976</v>
      </c>
      <c r="N27" s="120">
        <f>-215732+260063</f>
        <v>44331</v>
      </c>
      <c r="O27" s="121">
        <f>-505562+611614</f>
        <v>106052</v>
      </c>
      <c r="P27" s="120">
        <v>-23409</v>
      </c>
      <c r="Q27" s="121">
        <v>-54272</v>
      </c>
      <c r="R27" s="120">
        <f>11299-131990</f>
        <v>-120691</v>
      </c>
      <c r="S27" s="121">
        <f>27683-310624</f>
        <v>-282941</v>
      </c>
      <c r="T27" s="120">
        <f>79968-162329</f>
        <v>-82361</v>
      </c>
      <c r="U27" s="121">
        <f>172455-383249</f>
        <v>-210794</v>
      </c>
      <c r="V27" s="120">
        <v>68488</v>
      </c>
      <c r="W27" s="121">
        <v>144506.54999999999</v>
      </c>
      <c r="X27" s="120">
        <v>-63989</v>
      </c>
      <c r="Y27" s="121">
        <v>-134005</v>
      </c>
      <c r="Z27" s="120">
        <v>120</v>
      </c>
      <c r="AA27" s="121">
        <v>231.51</v>
      </c>
      <c r="AB27" s="120">
        <v>0</v>
      </c>
      <c r="AC27" s="121">
        <v>0</v>
      </c>
      <c r="AD27" s="120">
        <v>0</v>
      </c>
      <c r="AE27" s="121">
        <v>0</v>
      </c>
      <c r="AF27" s="120">
        <v>0</v>
      </c>
      <c r="AG27" s="121">
        <v>0</v>
      </c>
      <c r="AH27" s="120">
        <v>0</v>
      </c>
      <c r="AI27" s="121">
        <v>0</v>
      </c>
      <c r="AJ27" s="120">
        <v>0</v>
      </c>
      <c r="AK27" s="121">
        <v>0</v>
      </c>
      <c r="AL27" s="120">
        <v>0</v>
      </c>
      <c r="AM27" s="121">
        <v>0</v>
      </c>
      <c r="AN27" s="120">
        <v>0</v>
      </c>
      <c r="AO27" s="121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-3553694</v>
      </c>
      <c r="E28" s="38">
        <f>SUM(G28,I28,K28,M28,O28,Q28,S28,U28,W28,Y28,AA28,AC28,AE28)</f>
        <v>-8073416</v>
      </c>
      <c r="F28" s="81">
        <f>'TIE-OUT'!X28+RECLASS!V28</f>
        <v>0</v>
      </c>
      <c r="G28" s="82">
        <f>'TIE-OUT'!Y28+RECLASS!W28</f>
        <v>0</v>
      </c>
      <c r="H28" s="120">
        <f>-3547312-29568</f>
        <v>-3576880</v>
      </c>
      <c r="I28" s="120">
        <f>-8051969-69688</f>
        <v>-8121657</v>
      </c>
      <c r="J28" s="120">
        <f>-23427-107184</f>
        <v>-130611</v>
      </c>
      <c r="K28" s="121">
        <f>-55257-251439</f>
        <v>-306696</v>
      </c>
      <c r="L28" s="120">
        <f>-12999+80831</f>
        <v>67832</v>
      </c>
      <c r="M28" s="121">
        <f>-34968+191519</f>
        <v>156551</v>
      </c>
      <c r="N28" s="120">
        <v>20</v>
      </c>
      <c r="O28" s="121">
        <v>44</v>
      </c>
      <c r="P28" s="120">
        <f>24+33745</f>
        <v>33769</v>
      </c>
      <c r="Q28" s="121">
        <f>55+77198</f>
        <v>77253</v>
      </c>
      <c r="R28" s="120">
        <v>-24</v>
      </c>
      <c r="S28" s="121">
        <v>-55</v>
      </c>
      <c r="T28" s="120">
        <f>24+22176</f>
        <v>22200</v>
      </c>
      <c r="U28" s="121">
        <f>55+52409</f>
        <v>52464</v>
      </c>
      <c r="V28" s="120">
        <v>0</v>
      </c>
      <c r="W28" s="121">
        <v>0</v>
      </c>
      <c r="X28" s="120">
        <v>0</v>
      </c>
      <c r="Y28" s="121">
        <v>-2270</v>
      </c>
      <c r="Z28" s="120">
        <v>30000</v>
      </c>
      <c r="AA28" s="121">
        <v>70950</v>
      </c>
      <c r="AB28" s="120">
        <v>0</v>
      </c>
      <c r="AC28" s="121">
        <v>0</v>
      </c>
      <c r="AD28" s="120">
        <v>0</v>
      </c>
      <c r="AE28" s="121">
        <v>0</v>
      </c>
      <c r="AF28" s="120">
        <v>0</v>
      </c>
      <c r="AG28" s="121">
        <v>0</v>
      </c>
      <c r="AH28" s="120">
        <v>0</v>
      </c>
      <c r="AI28" s="121">
        <v>0</v>
      </c>
      <c r="AJ28" s="120">
        <v>0</v>
      </c>
      <c r="AK28" s="121">
        <v>0</v>
      </c>
      <c r="AL28" s="120">
        <v>0</v>
      </c>
      <c r="AM28" s="121">
        <v>0</v>
      </c>
      <c r="AN28" s="120">
        <v>0</v>
      </c>
      <c r="AO28" s="121"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13340200</v>
      </c>
      <c r="E29" s="39">
        <f t="shared" si="6"/>
        <v>30550607.059999995</v>
      </c>
      <c r="F29" s="61">
        <f t="shared" si="6"/>
        <v>0</v>
      </c>
      <c r="G29" s="39">
        <f t="shared" si="6"/>
        <v>0</v>
      </c>
      <c r="H29" s="61">
        <f t="shared" si="6"/>
        <v>4781355</v>
      </c>
      <c r="I29" s="61">
        <f t="shared" si="6"/>
        <v>10483053</v>
      </c>
      <c r="J29" s="61">
        <f t="shared" si="6"/>
        <v>8279226</v>
      </c>
      <c r="K29" s="39">
        <f t="shared" si="6"/>
        <v>19424863</v>
      </c>
      <c r="L29" s="61">
        <f t="shared" si="6"/>
        <v>371165</v>
      </c>
      <c r="M29" s="39">
        <f t="shared" si="6"/>
        <v>875527</v>
      </c>
      <c r="N29" s="61">
        <f t="shared" ref="N29:S29" si="7">SUM(N27:N28)</f>
        <v>44351</v>
      </c>
      <c r="O29" s="39">
        <f t="shared" si="7"/>
        <v>106096</v>
      </c>
      <c r="P29" s="61">
        <f t="shared" si="7"/>
        <v>10360</v>
      </c>
      <c r="Q29" s="39">
        <f t="shared" si="7"/>
        <v>22981</v>
      </c>
      <c r="R29" s="61">
        <f t="shared" si="7"/>
        <v>-120715</v>
      </c>
      <c r="S29" s="39">
        <f t="shared" si="7"/>
        <v>-282996</v>
      </c>
      <c r="T29" s="61">
        <f t="shared" si="6"/>
        <v>-60161</v>
      </c>
      <c r="U29" s="39">
        <f t="shared" si="6"/>
        <v>-158330</v>
      </c>
      <c r="V29" s="61">
        <f t="shared" si="6"/>
        <v>68488</v>
      </c>
      <c r="W29" s="39">
        <f t="shared" si="6"/>
        <v>144506.54999999999</v>
      </c>
      <c r="X29" s="61">
        <f t="shared" si="6"/>
        <v>-63989</v>
      </c>
      <c r="Y29" s="39">
        <f t="shared" si="6"/>
        <v>-136275</v>
      </c>
      <c r="Z29" s="61">
        <f t="shared" si="6"/>
        <v>30120</v>
      </c>
      <c r="AA29" s="39">
        <f t="shared" si="6"/>
        <v>71181.509999999995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-612427</v>
      </c>
      <c r="E32" s="38">
        <f t="shared" si="8"/>
        <v>-1253639.6300000001</v>
      </c>
      <c r="F32" s="64">
        <f>'TIE-OUT'!X32+RECLASS!V32</f>
        <v>0</v>
      </c>
      <c r="G32" s="68">
        <f>'TIE-OUT'!Y32+RECLASS!W32</f>
        <v>0</v>
      </c>
      <c r="H32" s="120">
        <v>0</v>
      </c>
      <c r="I32" s="120">
        <v>0</v>
      </c>
      <c r="J32" s="120">
        <v>50724</v>
      </c>
      <c r="K32" s="121">
        <v>103832</v>
      </c>
      <c r="L32" s="120">
        <v>-180054</v>
      </c>
      <c r="M32" s="121">
        <v>-368571</v>
      </c>
      <c r="N32" s="120">
        <v>-353962</v>
      </c>
      <c r="O32" s="121">
        <v>-724560</v>
      </c>
      <c r="P32" s="120">
        <v>-55656</v>
      </c>
      <c r="Q32" s="121">
        <v>-113928</v>
      </c>
      <c r="R32" s="120">
        <v>141645</v>
      </c>
      <c r="S32" s="121">
        <v>289947</v>
      </c>
      <c r="T32" s="120">
        <v>-215184</v>
      </c>
      <c r="U32" s="121">
        <v>-440482</v>
      </c>
      <c r="V32" s="120">
        <v>-57943</v>
      </c>
      <c r="W32" s="121">
        <v>-118609.32</v>
      </c>
      <c r="X32" s="120">
        <v>65116</v>
      </c>
      <c r="Y32" s="121">
        <v>133292</v>
      </c>
      <c r="Z32" s="120">
        <v>-7113</v>
      </c>
      <c r="AA32" s="121">
        <v>-14560.31</v>
      </c>
      <c r="AB32" s="120">
        <v>0</v>
      </c>
      <c r="AC32" s="121">
        <v>0</v>
      </c>
      <c r="AD32" s="120">
        <v>0</v>
      </c>
      <c r="AE32" s="121">
        <v>0</v>
      </c>
      <c r="AF32" s="120">
        <v>0</v>
      </c>
      <c r="AG32" s="121">
        <v>0</v>
      </c>
      <c r="AH32" s="120">
        <v>0</v>
      </c>
      <c r="AI32" s="121">
        <v>0</v>
      </c>
      <c r="AJ32" s="120">
        <v>0</v>
      </c>
      <c r="AK32" s="121">
        <v>0</v>
      </c>
      <c r="AL32" s="120">
        <v>0</v>
      </c>
      <c r="AM32" s="121">
        <v>0</v>
      </c>
      <c r="AN32" s="120">
        <v>0</v>
      </c>
      <c r="AO32" s="121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'TIE-OUT'!X33+RECLASS!V33</f>
        <v>0</v>
      </c>
      <c r="G33" s="38">
        <f>'TIE-OUT'!Y33+RECLASS!W33</f>
        <v>0</v>
      </c>
      <c r="H33" s="120">
        <v>0</v>
      </c>
      <c r="I33" s="120">
        <v>0</v>
      </c>
      <c r="J33" s="120">
        <v>0</v>
      </c>
      <c r="K33" s="121">
        <v>0</v>
      </c>
      <c r="L33" s="120">
        <v>0</v>
      </c>
      <c r="M33" s="121">
        <v>0</v>
      </c>
      <c r="N33" s="120">
        <v>0</v>
      </c>
      <c r="O33" s="121">
        <v>0</v>
      </c>
      <c r="P33" s="120"/>
      <c r="Q33" s="121"/>
      <c r="R33" s="120"/>
      <c r="S33" s="121"/>
      <c r="T33" s="120">
        <v>0</v>
      </c>
      <c r="U33" s="121">
        <v>0</v>
      </c>
      <c r="V33" s="120">
        <v>0</v>
      </c>
      <c r="W33" s="121">
        <v>0</v>
      </c>
      <c r="X33" s="120">
        <v>0</v>
      </c>
      <c r="Y33" s="121">
        <v>0</v>
      </c>
      <c r="Z33" s="120">
        <v>0</v>
      </c>
      <c r="AA33" s="121">
        <v>0</v>
      </c>
      <c r="AB33" s="120">
        <v>0</v>
      </c>
      <c r="AC33" s="121">
        <v>0</v>
      </c>
      <c r="AD33" s="120">
        <v>0</v>
      </c>
      <c r="AE33" s="121">
        <v>0</v>
      </c>
      <c r="AF33" s="120">
        <v>0</v>
      </c>
      <c r="AG33" s="121">
        <v>0</v>
      </c>
      <c r="AH33" s="120">
        <v>0</v>
      </c>
      <c r="AI33" s="121">
        <v>0</v>
      </c>
      <c r="AJ33" s="120">
        <v>0</v>
      </c>
      <c r="AK33" s="121">
        <v>0</v>
      </c>
      <c r="AL33" s="120">
        <v>0</v>
      </c>
      <c r="AM33" s="121">
        <v>0</v>
      </c>
      <c r="AN33" s="120">
        <v>0</v>
      </c>
      <c r="AO33" s="121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'TIE-OUT'!X34+RECLASS!V34</f>
        <v>0</v>
      </c>
      <c r="G34" s="38">
        <f>'TIE-OUT'!Y34+RECLASS!W34</f>
        <v>0</v>
      </c>
      <c r="H34" s="120">
        <v>0</v>
      </c>
      <c r="I34" s="120">
        <v>0</v>
      </c>
      <c r="J34" s="120">
        <v>0</v>
      </c>
      <c r="K34" s="121">
        <v>0</v>
      </c>
      <c r="L34" s="120">
        <v>0</v>
      </c>
      <c r="M34" s="121">
        <v>0</v>
      </c>
      <c r="N34" s="120">
        <v>0</v>
      </c>
      <c r="O34" s="121">
        <v>0</v>
      </c>
      <c r="P34" s="120"/>
      <c r="Q34" s="121"/>
      <c r="R34" s="120"/>
      <c r="S34" s="121"/>
      <c r="T34" s="120">
        <v>0</v>
      </c>
      <c r="U34" s="121">
        <v>0</v>
      </c>
      <c r="V34" s="120">
        <v>0</v>
      </c>
      <c r="W34" s="121">
        <v>0</v>
      </c>
      <c r="X34" s="120">
        <v>0</v>
      </c>
      <c r="Y34" s="121">
        <v>0</v>
      </c>
      <c r="Z34" s="120">
        <v>0</v>
      </c>
      <c r="AA34" s="121">
        <v>0</v>
      </c>
      <c r="AB34" s="120">
        <v>0</v>
      </c>
      <c r="AC34" s="121">
        <v>0</v>
      </c>
      <c r="AD34" s="120">
        <v>0</v>
      </c>
      <c r="AE34" s="121">
        <v>0</v>
      </c>
      <c r="AF34" s="120">
        <v>0</v>
      </c>
      <c r="AG34" s="121">
        <v>0</v>
      </c>
      <c r="AH34" s="120">
        <v>0</v>
      </c>
      <c r="AI34" s="121">
        <v>0</v>
      </c>
      <c r="AJ34" s="120">
        <v>0</v>
      </c>
      <c r="AK34" s="121">
        <v>0</v>
      </c>
      <c r="AL34" s="120">
        <v>0</v>
      </c>
      <c r="AM34" s="121">
        <v>0</v>
      </c>
      <c r="AN34" s="120">
        <v>0</v>
      </c>
      <c r="AO34" s="121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'TIE-OUT'!X35+RECLASS!V35</f>
        <v>0</v>
      </c>
      <c r="G35" s="82">
        <f>'TIE-OUT'!Y35+RECLASS!W35</f>
        <v>0</v>
      </c>
      <c r="H35" s="120">
        <v>0</v>
      </c>
      <c r="I35" s="120">
        <v>0</v>
      </c>
      <c r="J35" s="120">
        <v>0</v>
      </c>
      <c r="K35" s="121">
        <v>0</v>
      </c>
      <c r="L35" s="120">
        <v>0</v>
      </c>
      <c r="M35" s="121">
        <v>0</v>
      </c>
      <c r="N35" s="120">
        <v>0</v>
      </c>
      <c r="O35" s="121">
        <v>0</v>
      </c>
      <c r="P35" s="120">
        <v>0</v>
      </c>
      <c r="Q35" s="121">
        <v>0</v>
      </c>
      <c r="R35" s="120">
        <v>0</v>
      </c>
      <c r="S35" s="121">
        <v>0</v>
      </c>
      <c r="T35" s="120">
        <v>0</v>
      </c>
      <c r="U35" s="121">
        <v>0</v>
      </c>
      <c r="V35" s="120">
        <v>0</v>
      </c>
      <c r="W35" s="121">
        <v>0</v>
      </c>
      <c r="X35" s="120">
        <v>0</v>
      </c>
      <c r="Y35" s="121">
        <v>0</v>
      </c>
      <c r="Z35" s="120">
        <v>0</v>
      </c>
      <c r="AA35" s="121">
        <v>0</v>
      </c>
      <c r="AB35" s="120">
        <v>0</v>
      </c>
      <c r="AC35" s="121">
        <v>0</v>
      </c>
      <c r="AD35" s="120">
        <v>0</v>
      </c>
      <c r="AE35" s="121">
        <v>0</v>
      </c>
      <c r="AF35" s="120">
        <v>0</v>
      </c>
      <c r="AG35" s="121">
        <v>0</v>
      </c>
      <c r="AH35" s="120">
        <v>0</v>
      </c>
      <c r="AI35" s="121">
        <v>0</v>
      </c>
      <c r="AJ35" s="120">
        <v>0</v>
      </c>
      <c r="AK35" s="121">
        <v>0</v>
      </c>
      <c r="AL35" s="120">
        <v>0</v>
      </c>
      <c r="AM35" s="121">
        <v>0</v>
      </c>
      <c r="AN35" s="120">
        <v>0</v>
      </c>
      <c r="AO35" s="121">
        <v>0</v>
      </c>
    </row>
    <row r="36" spans="1:41" x14ac:dyDescent="0.25">
      <c r="A36" s="9"/>
      <c r="B36" s="7" t="s">
        <v>43</v>
      </c>
      <c r="C36" s="6"/>
      <c r="D36" s="61">
        <f t="shared" ref="D36:AO36" si="9">SUM(D32:D35)</f>
        <v>-612427</v>
      </c>
      <c r="E36" s="39">
        <f t="shared" si="9"/>
        <v>-1253639.6300000001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si="9"/>
        <v>50724</v>
      </c>
      <c r="K36" s="39">
        <f t="shared" si="9"/>
        <v>103832</v>
      </c>
      <c r="L36" s="61">
        <f t="shared" si="9"/>
        <v>-180054</v>
      </c>
      <c r="M36" s="39">
        <f t="shared" si="9"/>
        <v>-368571</v>
      </c>
      <c r="N36" s="61">
        <f t="shared" ref="N36:S36" si="10">SUM(N32:N35)</f>
        <v>-353962</v>
      </c>
      <c r="O36" s="39">
        <f t="shared" si="10"/>
        <v>-724560</v>
      </c>
      <c r="P36" s="61">
        <f t="shared" si="10"/>
        <v>-55656</v>
      </c>
      <c r="Q36" s="39">
        <f t="shared" si="10"/>
        <v>-113928</v>
      </c>
      <c r="R36" s="61">
        <f t="shared" si="10"/>
        <v>141645</v>
      </c>
      <c r="S36" s="39">
        <f t="shared" si="10"/>
        <v>289947</v>
      </c>
      <c r="T36" s="61">
        <f t="shared" si="9"/>
        <v>-215184</v>
      </c>
      <c r="U36" s="39">
        <f t="shared" si="9"/>
        <v>-440482</v>
      </c>
      <c r="V36" s="61">
        <f t="shared" si="9"/>
        <v>-57943</v>
      </c>
      <c r="W36" s="39">
        <f t="shared" si="9"/>
        <v>-118609.32</v>
      </c>
      <c r="X36" s="61">
        <f t="shared" si="9"/>
        <v>65116</v>
      </c>
      <c r="Y36" s="39">
        <f t="shared" si="9"/>
        <v>133292</v>
      </c>
      <c r="Z36" s="61">
        <f t="shared" si="9"/>
        <v>-7113</v>
      </c>
      <c r="AA36" s="39">
        <f t="shared" si="9"/>
        <v>-14560.31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'TIE-OUT'!X39+RECLASS!V39</f>
        <v>0</v>
      </c>
      <c r="G39" s="68">
        <f>'TIE-OUT'!Y39+RECLASS!W39</f>
        <v>0</v>
      </c>
      <c r="H39" s="120">
        <v>0</v>
      </c>
      <c r="I39" s="120">
        <v>0</v>
      </c>
      <c r="J39" s="120">
        <v>0</v>
      </c>
      <c r="K39" s="121">
        <v>0</v>
      </c>
      <c r="L39" s="120">
        <v>0</v>
      </c>
      <c r="M39" s="121">
        <v>0</v>
      </c>
      <c r="N39" s="120">
        <v>0</v>
      </c>
      <c r="O39" s="121">
        <v>0</v>
      </c>
      <c r="P39" s="120">
        <v>0</v>
      </c>
      <c r="Q39" s="121">
        <v>0</v>
      </c>
      <c r="R39" s="120">
        <v>0</v>
      </c>
      <c r="S39" s="121">
        <v>0</v>
      </c>
      <c r="T39" s="120">
        <v>0</v>
      </c>
      <c r="U39" s="121">
        <v>0</v>
      </c>
      <c r="V39" s="120">
        <v>0</v>
      </c>
      <c r="W39" s="121">
        <v>0</v>
      </c>
      <c r="X39" s="120">
        <v>0</v>
      </c>
      <c r="Y39" s="121">
        <v>0</v>
      </c>
      <c r="Z39" s="120">
        <v>0</v>
      </c>
      <c r="AA39" s="121">
        <v>0</v>
      </c>
      <c r="AB39" s="120">
        <v>0</v>
      </c>
      <c r="AC39" s="121">
        <v>0</v>
      </c>
      <c r="AD39" s="120">
        <v>0</v>
      </c>
      <c r="AE39" s="121">
        <v>0</v>
      </c>
      <c r="AF39" s="120">
        <v>0</v>
      </c>
      <c r="AG39" s="121">
        <v>0</v>
      </c>
      <c r="AH39" s="120">
        <v>0</v>
      </c>
      <c r="AI39" s="121">
        <v>0</v>
      </c>
      <c r="AJ39" s="120">
        <v>0</v>
      </c>
      <c r="AK39" s="121">
        <v>0</v>
      </c>
      <c r="AL39" s="120">
        <v>0</v>
      </c>
      <c r="AM39" s="121">
        <v>0</v>
      </c>
      <c r="AN39" s="120">
        <v>0</v>
      </c>
      <c r="AO39" s="121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-5864327</v>
      </c>
      <c r="E40" s="38">
        <f t="shared" si="11"/>
        <v>-13212562.77</v>
      </c>
      <c r="F40" s="60">
        <f>'TIE-OUT'!X40+RECLASS!V40</f>
        <v>0</v>
      </c>
      <c r="G40" s="38">
        <f>'TIE-OUT'!Y40+RECLASS!W40</f>
        <v>0</v>
      </c>
      <c r="H40" s="120">
        <v>0</v>
      </c>
      <c r="I40" s="120">
        <v>0</v>
      </c>
      <c r="J40" s="120">
        <v>-5850267</v>
      </c>
      <c r="K40" s="121">
        <v>-13220784</v>
      </c>
      <c r="L40" s="120">
        <v>0</v>
      </c>
      <c r="M40" s="121">
        <v>0</v>
      </c>
      <c r="N40" s="120">
        <v>-10228</v>
      </c>
      <c r="O40" s="121">
        <v>-23641</v>
      </c>
      <c r="P40" s="120">
        <v>-3832</v>
      </c>
      <c r="Q40" s="121">
        <v>-8719</v>
      </c>
      <c r="R40" s="120">
        <v>0</v>
      </c>
      <c r="S40" s="121">
        <v>39467</v>
      </c>
      <c r="T40" s="120">
        <v>0</v>
      </c>
      <c r="U40" s="121">
        <v>0</v>
      </c>
      <c r="V40" s="120">
        <v>0</v>
      </c>
      <c r="W40" s="121">
        <v>1114.23</v>
      </c>
      <c r="X40" s="120">
        <v>0</v>
      </c>
      <c r="Y40" s="121">
        <v>0</v>
      </c>
      <c r="Z40" s="120">
        <v>0</v>
      </c>
      <c r="AA40" s="121">
        <v>0</v>
      </c>
      <c r="AB40" s="120">
        <v>0</v>
      </c>
      <c r="AC40" s="121">
        <v>0</v>
      </c>
      <c r="AD40" s="120">
        <v>0</v>
      </c>
      <c r="AE40" s="121">
        <v>0</v>
      </c>
      <c r="AF40" s="120">
        <v>0</v>
      </c>
      <c r="AG40" s="121">
        <v>0</v>
      </c>
      <c r="AH40" s="120">
        <v>0</v>
      </c>
      <c r="AI40" s="121">
        <v>0</v>
      </c>
      <c r="AJ40" s="120">
        <v>0</v>
      </c>
      <c r="AK40" s="121">
        <v>0</v>
      </c>
      <c r="AL40" s="120">
        <v>0</v>
      </c>
      <c r="AM40" s="121">
        <v>0</v>
      </c>
      <c r="AN40" s="120">
        <v>0</v>
      </c>
      <c r="AO40" s="121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-601620</v>
      </c>
      <c r="F41" s="81">
        <f>'TIE-OUT'!X41+RECLASS!V41</f>
        <v>0</v>
      </c>
      <c r="G41" s="82">
        <f>'TIE-OUT'!Y41+RECLASS!W41</f>
        <v>-601620</v>
      </c>
      <c r="H41" s="120">
        <v>0</v>
      </c>
      <c r="I41" s="120">
        <v>0</v>
      </c>
      <c r="J41" s="120">
        <v>0</v>
      </c>
      <c r="K41" s="121">
        <v>0</v>
      </c>
      <c r="L41" s="120">
        <v>0</v>
      </c>
      <c r="M41" s="121">
        <v>0</v>
      </c>
      <c r="N41" s="120">
        <v>0</v>
      </c>
      <c r="O41" s="121">
        <v>0</v>
      </c>
      <c r="P41" s="120">
        <v>0</v>
      </c>
      <c r="Q41" s="121">
        <v>0</v>
      </c>
      <c r="R41" s="120">
        <v>0</v>
      </c>
      <c r="S41" s="121">
        <v>0</v>
      </c>
      <c r="T41" s="120">
        <v>0</v>
      </c>
      <c r="U41" s="121">
        <v>0</v>
      </c>
      <c r="V41" s="120">
        <v>0</v>
      </c>
      <c r="W41" s="121">
        <v>0</v>
      </c>
      <c r="X41" s="120">
        <v>0</v>
      </c>
      <c r="Y41" s="121">
        <v>0</v>
      </c>
      <c r="Z41" s="120">
        <v>0</v>
      </c>
      <c r="AA41" s="121">
        <v>0</v>
      </c>
      <c r="AB41" s="120">
        <v>0</v>
      </c>
      <c r="AC41" s="121">
        <v>0</v>
      </c>
      <c r="AD41" s="120">
        <v>0</v>
      </c>
      <c r="AE41" s="121">
        <v>0</v>
      </c>
      <c r="AF41" s="120">
        <v>0</v>
      </c>
      <c r="AG41" s="121">
        <v>0</v>
      </c>
      <c r="AH41" s="120">
        <v>0</v>
      </c>
      <c r="AI41" s="121">
        <v>0</v>
      </c>
      <c r="AJ41" s="120">
        <v>0</v>
      </c>
      <c r="AK41" s="121">
        <v>0</v>
      </c>
      <c r="AL41" s="120">
        <v>0</v>
      </c>
      <c r="AM41" s="121">
        <v>0</v>
      </c>
      <c r="AN41" s="120">
        <v>0</v>
      </c>
      <c r="AO41" s="121">
        <v>0</v>
      </c>
    </row>
    <row r="42" spans="1:41" x14ac:dyDescent="0.25">
      <c r="A42" s="9"/>
      <c r="B42" s="7"/>
      <c r="C42" s="53" t="s">
        <v>48</v>
      </c>
      <c r="D42" s="61">
        <f t="shared" ref="D42:AO42" si="12">SUM(D40:D41)</f>
        <v>-5864327</v>
      </c>
      <c r="E42" s="39">
        <f t="shared" si="12"/>
        <v>-13814182.77</v>
      </c>
      <c r="F42" s="61">
        <f t="shared" si="12"/>
        <v>0</v>
      </c>
      <c r="G42" s="39">
        <f t="shared" si="12"/>
        <v>-601620</v>
      </c>
      <c r="H42" s="61">
        <f t="shared" si="12"/>
        <v>0</v>
      </c>
      <c r="I42" s="61">
        <f t="shared" si="12"/>
        <v>0</v>
      </c>
      <c r="J42" s="61">
        <f t="shared" si="12"/>
        <v>-5850267</v>
      </c>
      <c r="K42" s="39">
        <f t="shared" si="12"/>
        <v>-13220784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-10228</v>
      </c>
      <c r="O42" s="39">
        <f t="shared" si="13"/>
        <v>-23641</v>
      </c>
      <c r="P42" s="61">
        <f t="shared" si="13"/>
        <v>-3832</v>
      </c>
      <c r="Q42" s="39">
        <f t="shared" si="13"/>
        <v>-8719</v>
      </c>
      <c r="R42" s="61">
        <f t="shared" si="13"/>
        <v>0</v>
      </c>
      <c r="S42" s="39">
        <f t="shared" si="13"/>
        <v>39467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1114.23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14">D42+D39</f>
        <v>-5864327</v>
      </c>
      <c r="E43" s="39">
        <f t="shared" si="14"/>
        <v>-13814182.77</v>
      </c>
      <c r="F43" s="61">
        <f t="shared" si="14"/>
        <v>0</v>
      </c>
      <c r="G43" s="39">
        <f t="shared" si="14"/>
        <v>-601620</v>
      </c>
      <c r="H43" s="61">
        <f t="shared" si="14"/>
        <v>0</v>
      </c>
      <c r="I43" s="61">
        <f t="shared" si="14"/>
        <v>0</v>
      </c>
      <c r="J43" s="61">
        <f t="shared" si="14"/>
        <v>-5850267</v>
      </c>
      <c r="K43" s="39">
        <f t="shared" si="14"/>
        <v>-13220784</v>
      </c>
      <c r="L43" s="61">
        <f t="shared" si="14"/>
        <v>0</v>
      </c>
      <c r="M43" s="39">
        <f t="shared" si="14"/>
        <v>0</v>
      </c>
      <c r="N43" s="61">
        <f t="shared" ref="N43:S43" si="15">N42+N39</f>
        <v>-10228</v>
      </c>
      <c r="O43" s="39">
        <f t="shared" si="15"/>
        <v>-23641</v>
      </c>
      <c r="P43" s="61">
        <f t="shared" si="15"/>
        <v>-3832</v>
      </c>
      <c r="Q43" s="39">
        <f t="shared" si="15"/>
        <v>-8719</v>
      </c>
      <c r="R43" s="61">
        <f t="shared" si="15"/>
        <v>0</v>
      </c>
      <c r="S43" s="39">
        <f t="shared" si="15"/>
        <v>39467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1114.23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20">
        <v>0</v>
      </c>
      <c r="I45" s="120">
        <v>0</v>
      </c>
      <c r="J45" s="120">
        <v>0</v>
      </c>
      <c r="K45" s="121">
        <v>0</v>
      </c>
      <c r="L45" s="120">
        <v>0</v>
      </c>
      <c r="M45" s="121">
        <v>0</v>
      </c>
      <c r="N45" s="120">
        <v>0</v>
      </c>
      <c r="O45" s="121">
        <v>0</v>
      </c>
      <c r="P45" s="120">
        <v>0</v>
      </c>
      <c r="Q45" s="121">
        <v>0</v>
      </c>
      <c r="R45" s="120">
        <v>0</v>
      </c>
      <c r="S45" s="121">
        <v>0</v>
      </c>
      <c r="T45" s="120">
        <v>0</v>
      </c>
      <c r="U45" s="121">
        <v>0</v>
      </c>
      <c r="V45" s="120">
        <v>0</v>
      </c>
      <c r="W45" s="121">
        <v>0</v>
      </c>
      <c r="X45" s="120">
        <v>0</v>
      </c>
      <c r="Y45" s="121">
        <v>0</v>
      </c>
      <c r="Z45" s="120">
        <v>0</v>
      </c>
      <c r="AA45" s="121">
        <v>0</v>
      </c>
      <c r="AB45" s="120">
        <v>0</v>
      </c>
      <c r="AC45" s="121">
        <v>0</v>
      </c>
      <c r="AD45" s="120">
        <v>0</v>
      </c>
      <c r="AE45" s="121">
        <v>0</v>
      </c>
      <c r="AF45" s="120">
        <v>0</v>
      </c>
      <c r="AG45" s="121">
        <v>0</v>
      </c>
      <c r="AH45" s="120">
        <v>0</v>
      </c>
      <c r="AI45" s="121">
        <v>0</v>
      </c>
      <c r="AJ45" s="120">
        <v>0</v>
      </c>
      <c r="AK45" s="121">
        <v>0</v>
      </c>
      <c r="AL45" s="120">
        <v>0</v>
      </c>
      <c r="AM45" s="121">
        <v>0</v>
      </c>
      <c r="AN45" s="120">
        <v>0</v>
      </c>
      <c r="AO45" s="121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20">
        <v>0</v>
      </c>
      <c r="I47" s="120">
        <v>0</v>
      </c>
      <c r="J47" s="120">
        <v>0</v>
      </c>
      <c r="K47" s="121">
        <v>0</v>
      </c>
      <c r="L47" s="120">
        <v>0</v>
      </c>
      <c r="M47" s="121">
        <v>0</v>
      </c>
      <c r="N47" s="120">
        <v>0</v>
      </c>
      <c r="O47" s="121">
        <v>0</v>
      </c>
      <c r="P47" s="120">
        <v>0</v>
      </c>
      <c r="Q47" s="121">
        <v>0</v>
      </c>
      <c r="R47" s="120">
        <v>0</v>
      </c>
      <c r="S47" s="121">
        <v>0</v>
      </c>
      <c r="T47" s="120">
        <v>0</v>
      </c>
      <c r="U47" s="121">
        <v>0</v>
      </c>
      <c r="V47" s="120">
        <v>0</v>
      </c>
      <c r="W47" s="121">
        <v>0</v>
      </c>
      <c r="X47" s="120">
        <v>0</v>
      </c>
      <c r="Y47" s="121">
        <v>0</v>
      </c>
      <c r="Z47" s="120">
        <v>0</v>
      </c>
      <c r="AA47" s="121">
        <v>0</v>
      </c>
      <c r="AB47" s="120">
        <v>0</v>
      </c>
      <c r="AC47" s="121">
        <v>0</v>
      </c>
      <c r="AD47" s="120">
        <v>0</v>
      </c>
      <c r="AE47" s="121">
        <v>0</v>
      </c>
      <c r="AF47" s="120">
        <v>0</v>
      </c>
      <c r="AG47" s="121">
        <v>0</v>
      </c>
      <c r="AH47" s="120">
        <v>0</v>
      </c>
      <c r="AI47" s="121">
        <v>0</v>
      </c>
      <c r="AJ47" s="120">
        <v>0</v>
      </c>
      <c r="AK47" s="121">
        <v>0</v>
      </c>
      <c r="AL47" s="120">
        <v>0</v>
      </c>
      <c r="AM47" s="121">
        <v>0</v>
      </c>
      <c r="AN47" s="120">
        <v>0</v>
      </c>
      <c r="AO47" s="121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525915</v>
      </c>
      <c r="E49" s="38">
        <f>SUM(G49,I49,K49,M49,O49,Q49,S49,U49,W49,Y49,AA49,AC49,AE49)</f>
        <v>1076548.1199999999</v>
      </c>
      <c r="F49" s="60">
        <f>'TIE-OUT'!X49+RECLASS!V49</f>
        <v>0</v>
      </c>
      <c r="G49" s="38">
        <f>'TIE-OUT'!Y49+RECLASS!W49</f>
        <v>0</v>
      </c>
      <c r="H49" s="120">
        <v>3294931</v>
      </c>
      <c r="I49" s="120">
        <v>6744724</v>
      </c>
      <c r="J49" s="120">
        <v>-3097109</v>
      </c>
      <c r="K49" s="121">
        <v>-6339782</v>
      </c>
      <c r="L49" s="120">
        <v>-211709</v>
      </c>
      <c r="M49" s="121">
        <v>-433368</v>
      </c>
      <c r="N49" s="120">
        <v>322599</v>
      </c>
      <c r="O49" s="121">
        <v>660360</v>
      </c>
      <c r="P49" s="120">
        <v>337347</v>
      </c>
      <c r="Q49" s="121">
        <v>690549</v>
      </c>
      <c r="R49" s="120">
        <v>-248965</v>
      </c>
      <c r="S49" s="121">
        <v>-509631</v>
      </c>
      <c r="T49" s="120">
        <v>231329</v>
      </c>
      <c r="U49" s="121">
        <v>473530</v>
      </c>
      <c r="V49" s="120">
        <v>-10545</v>
      </c>
      <c r="W49" s="121">
        <v>-21585.62</v>
      </c>
      <c r="X49" s="120">
        <v>-4930</v>
      </c>
      <c r="Y49" s="121">
        <v>-10091.709999999999</v>
      </c>
      <c r="Z49" s="120">
        <v>-87033</v>
      </c>
      <c r="AA49" s="121">
        <v>-178156.55</v>
      </c>
      <c r="AB49" s="120">
        <v>0</v>
      </c>
      <c r="AC49" s="121">
        <v>0</v>
      </c>
      <c r="AD49" s="120">
        <v>0</v>
      </c>
      <c r="AE49" s="121">
        <v>0</v>
      </c>
      <c r="AF49" s="120">
        <v>0</v>
      </c>
      <c r="AG49" s="121">
        <v>0</v>
      </c>
      <c r="AH49" s="120">
        <v>0</v>
      </c>
      <c r="AI49" s="121">
        <v>0</v>
      </c>
      <c r="AJ49" s="120">
        <v>0</v>
      </c>
      <c r="AK49" s="121">
        <v>0</v>
      </c>
      <c r="AL49" s="120">
        <v>0</v>
      </c>
      <c r="AM49" s="121">
        <v>0</v>
      </c>
      <c r="AN49" s="120">
        <v>0</v>
      </c>
      <c r="AO49" s="121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20">
        <v>0</v>
      </c>
      <c r="I51" s="120">
        <v>0</v>
      </c>
      <c r="J51" s="120">
        <v>0</v>
      </c>
      <c r="K51" s="121">
        <v>0</v>
      </c>
      <c r="L51" s="120">
        <v>0</v>
      </c>
      <c r="M51" s="121">
        <v>0</v>
      </c>
      <c r="N51" s="120">
        <v>0</v>
      </c>
      <c r="O51" s="121">
        <v>0</v>
      </c>
      <c r="P51" s="120">
        <v>0</v>
      </c>
      <c r="Q51" s="121">
        <v>0</v>
      </c>
      <c r="R51" s="120">
        <v>0</v>
      </c>
      <c r="S51" s="121">
        <v>0</v>
      </c>
      <c r="T51" s="120">
        <v>0</v>
      </c>
      <c r="U51" s="121">
        <v>0</v>
      </c>
      <c r="V51" s="120">
        <v>0</v>
      </c>
      <c r="W51" s="121">
        <v>0</v>
      </c>
      <c r="X51" s="120">
        <v>0</v>
      </c>
      <c r="Y51" s="121">
        <v>0</v>
      </c>
      <c r="Z51" s="120">
        <v>0</v>
      </c>
      <c r="AA51" s="121">
        <v>0</v>
      </c>
      <c r="AB51" s="120">
        <v>0</v>
      </c>
      <c r="AC51" s="121">
        <v>0</v>
      </c>
      <c r="AD51" s="120">
        <v>0</v>
      </c>
      <c r="AE51" s="121">
        <v>0</v>
      </c>
      <c r="AF51" s="120">
        <v>0</v>
      </c>
      <c r="AG51" s="121">
        <v>0</v>
      </c>
      <c r="AH51" s="120">
        <v>0</v>
      </c>
      <c r="AI51" s="121">
        <v>0</v>
      </c>
      <c r="AJ51" s="120">
        <v>0</v>
      </c>
      <c r="AK51" s="121">
        <v>0</v>
      </c>
      <c r="AL51" s="120">
        <v>0</v>
      </c>
      <c r="AM51" s="121">
        <v>0</v>
      </c>
      <c r="AN51" s="120">
        <v>0</v>
      </c>
      <c r="AO51" s="121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-412116</v>
      </c>
      <c r="E54" s="38">
        <f>SUM(G54,I54,K54,M54,O54,Q54,S54,U54,W54,Y54,AA54,AC54,AE54)</f>
        <v>-1991415.8800000001</v>
      </c>
      <c r="F54" s="64">
        <f>'TIE-OUT'!X54+RECLASS!V54</f>
        <v>0</v>
      </c>
      <c r="G54" s="68">
        <f>'TIE-OUT'!Y54+RECLASS!W54</f>
        <v>-2044404</v>
      </c>
      <c r="H54" s="120">
        <v>0</v>
      </c>
      <c r="I54" s="120">
        <v>60000</v>
      </c>
      <c r="J54" s="120">
        <v>0</v>
      </c>
      <c r="K54" s="121">
        <v>0</v>
      </c>
      <c r="L54" s="120">
        <v>0</v>
      </c>
      <c r="M54" s="121">
        <v>0</v>
      </c>
      <c r="N54" s="120">
        <v>0</v>
      </c>
      <c r="O54" s="121">
        <v>0</v>
      </c>
      <c r="P54" s="120">
        <v>0</v>
      </c>
      <c r="Q54" s="121">
        <v>0</v>
      </c>
      <c r="R54" s="120">
        <v>0</v>
      </c>
      <c r="S54" s="219">
        <v>1015</v>
      </c>
      <c r="T54" s="120">
        <v>0</v>
      </c>
      <c r="U54" s="121">
        <v>0</v>
      </c>
      <c r="V54" s="120">
        <v>525261</v>
      </c>
      <c r="W54" s="121">
        <v>597.98</v>
      </c>
      <c r="X54" s="120">
        <v>-907754</v>
      </c>
      <c r="Y54" s="121">
        <v>-8587.81</v>
      </c>
      <c r="Z54" s="120">
        <v>-29623</v>
      </c>
      <c r="AA54" s="121">
        <v>-37.049999999999997</v>
      </c>
      <c r="AB54" s="120">
        <v>0</v>
      </c>
      <c r="AC54" s="121">
        <v>0</v>
      </c>
      <c r="AD54" s="120">
        <v>0</v>
      </c>
      <c r="AE54" s="121">
        <v>0</v>
      </c>
      <c r="AF54" s="120">
        <v>0</v>
      </c>
      <c r="AG54" s="121">
        <v>0</v>
      </c>
      <c r="AH54" s="120">
        <v>0</v>
      </c>
      <c r="AI54" s="121">
        <v>0</v>
      </c>
      <c r="AJ54" s="120">
        <v>0</v>
      </c>
      <c r="AK54" s="121">
        <v>0</v>
      </c>
      <c r="AL54" s="120">
        <v>0</v>
      </c>
      <c r="AM54" s="121">
        <v>0</v>
      </c>
      <c r="AN54" s="120">
        <v>0</v>
      </c>
      <c r="AO54" s="121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2998.89</v>
      </c>
      <c r="F55" s="81">
        <f>'TIE-OUT'!X55+RECLASS!V55</f>
        <v>0</v>
      </c>
      <c r="G55" s="82">
        <f>'TIE-OUT'!Y55+RECLASS!W55</f>
        <v>0</v>
      </c>
      <c r="H55" s="120">
        <v>0</v>
      </c>
      <c r="I55" s="120">
        <v>0</v>
      </c>
      <c r="J55" s="120">
        <v>0</v>
      </c>
      <c r="K55" s="121">
        <v>0</v>
      </c>
      <c r="L55" s="120">
        <v>0</v>
      </c>
      <c r="M55" s="121">
        <v>0</v>
      </c>
      <c r="N55" s="120">
        <v>0</v>
      </c>
      <c r="O55" s="121">
        <v>0</v>
      </c>
      <c r="P55" s="120">
        <v>0</v>
      </c>
      <c r="Q55" s="121">
        <v>0</v>
      </c>
      <c r="R55" s="120">
        <v>0</v>
      </c>
      <c r="S55" s="121">
        <v>0</v>
      </c>
      <c r="T55" s="120">
        <v>0</v>
      </c>
      <c r="U55" s="121">
        <v>0</v>
      </c>
      <c r="V55" s="120">
        <v>0</v>
      </c>
      <c r="W55" s="121">
        <v>2998.89</v>
      </c>
      <c r="X55" s="120">
        <v>0</v>
      </c>
      <c r="Y55" s="121">
        <v>0</v>
      </c>
      <c r="Z55" s="120">
        <v>0</v>
      </c>
      <c r="AA55" s="121">
        <v>0</v>
      </c>
      <c r="AB55" s="120">
        <v>0</v>
      </c>
      <c r="AC55" s="121">
        <v>0</v>
      </c>
      <c r="AD55" s="120">
        <v>0</v>
      </c>
      <c r="AE55" s="121">
        <v>0</v>
      </c>
      <c r="AF55" s="120">
        <v>0</v>
      </c>
      <c r="AG55" s="121">
        <v>0</v>
      </c>
      <c r="AH55" s="120">
        <v>0</v>
      </c>
      <c r="AI55" s="121">
        <v>0</v>
      </c>
      <c r="AJ55" s="120">
        <v>0</v>
      </c>
      <c r="AK55" s="121">
        <v>0</v>
      </c>
      <c r="AL55" s="120">
        <v>0</v>
      </c>
      <c r="AM55" s="121">
        <v>0</v>
      </c>
      <c r="AN55" s="120">
        <v>0</v>
      </c>
      <c r="AO55" s="121">
        <v>0</v>
      </c>
    </row>
    <row r="56" spans="1:41" x14ac:dyDescent="0.25">
      <c r="A56" s="9"/>
      <c r="B56" s="7" t="s">
        <v>57</v>
      </c>
      <c r="C56" s="6"/>
      <c r="D56" s="61">
        <f t="shared" ref="D56:AO56" si="16">SUM(D54:D55)</f>
        <v>-412116</v>
      </c>
      <c r="E56" s="39">
        <f t="shared" si="16"/>
        <v>-1988416.9900000002</v>
      </c>
      <c r="F56" s="61">
        <f t="shared" si="16"/>
        <v>0</v>
      </c>
      <c r="G56" s="39">
        <f t="shared" si="16"/>
        <v>-2044404</v>
      </c>
      <c r="H56" s="61">
        <f t="shared" si="16"/>
        <v>0</v>
      </c>
      <c r="I56" s="61">
        <f t="shared" si="16"/>
        <v>60000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S56" si="17">SUM(N54:N55)</f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1015</v>
      </c>
      <c r="T56" s="61">
        <f t="shared" si="16"/>
        <v>0</v>
      </c>
      <c r="U56" s="39">
        <f t="shared" si="16"/>
        <v>0</v>
      </c>
      <c r="V56" s="61">
        <f t="shared" si="16"/>
        <v>525261</v>
      </c>
      <c r="W56" s="39">
        <f t="shared" si="16"/>
        <v>3596.87</v>
      </c>
      <c r="X56" s="61">
        <f t="shared" si="16"/>
        <v>-907754</v>
      </c>
      <c r="Y56" s="39">
        <f t="shared" si="16"/>
        <v>-8587.81</v>
      </c>
      <c r="Z56" s="61">
        <f t="shared" si="16"/>
        <v>-29623</v>
      </c>
      <c r="AA56" s="39">
        <f t="shared" si="16"/>
        <v>-37.049999999999997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20">
        <v>0</v>
      </c>
      <c r="I59" s="120">
        <v>0</v>
      </c>
      <c r="J59" s="120">
        <v>0</v>
      </c>
      <c r="K59" s="121">
        <v>0</v>
      </c>
      <c r="L59" s="120">
        <v>0</v>
      </c>
      <c r="M59" s="121">
        <v>0</v>
      </c>
      <c r="N59" s="120">
        <v>0</v>
      </c>
      <c r="O59" s="121">
        <v>0</v>
      </c>
      <c r="P59" s="120">
        <v>0</v>
      </c>
      <c r="Q59" s="121">
        <v>0</v>
      </c>
      <c r="R59" s="120">
        <v>0</v>
      </c>
      <c r="S59" s="121">
        <v>0</v>
      </c>
      <c r="T59" s="120">
        <v>0</v>
      </c>
      <c r="U59" s="121">
        <v>0</v>
      </c>
      <c r="V59" s="120">
        <v>0</v>
      </c>
      <c r="W59" s="121">
        <v>0</v>
      </c>
      <c r="X59" s="120">
        <v>0</v>
      </c>
      <c r="Y59" s="121">
        <v>0</v>
      </c>
      <c r="Z59" s="120">
        <v>0</v>
      </c>
      <c r="AA59" s="121">
        <v>0</v>
      </c>
      <c r="AB59" s="120">
        <v>0</v>
      </c>
      <c r="AC59" s="121">
        <v>0</v>
      </c>
      <c r="AD59" s="120">
        <v>0</v>
      </c>
      <c r="AE59" s="121">
        <v>0</v>
      </c>
      <c r="AF59" s="120">
        <v>0</v>
      </c>
      <c r="AG59" s="121">
        <v>0</v>
      </c>
      <c r="AH59" s="120">
        <v>0</v>
      </c>
      <c r="AI59" s="121">
        <v>0</v>
      </c>
      <c r="AJ59" s="120">
        <v>0</v>
      </c>
      <c r="AK59" s="121">
        <v>0</v>
      </c>
      <c r="AL59" s="120">
        <v>0</v>
      </c>
      <c r="AM59" s="121">
        <v>0</v>
      </c>
      <c r="AN59" s="120">
        <v>0</v>
      </c>
      <c r="AO59" s="121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'TIE-OUT'!X60+RECLASS!V60</f>
        <v>0</v>
      </c>
      <c r="G60" s="82">
        <f>'TIE-OUT'!Y60+RECLASS!W60</f>
        <v>0</v>
      </c>
      <c r="H60" s="120">
        <v>0</v>
      </c>
      <c r="I60" s="120">
        <f>123262-123262</f>
        <v>0</v>
      </c>
      <c r="J60" s="120">
        <v>0</v>
      </c>
      <c r="K60" s="121">
        <v>0</v>
      </c>
      <c r="L60" s="120">
        <v>0</v>
      </c>
      <c r="M60" s="121">
        <v>0</v>
      </c>
      <c r="N60" s="120">
        <v>0</v>
      </c>
      <c r="O60" s="121">
        <v>0</v>
      </c>
      <c r="P60" s="120">
        <v>0</v>
      </c>
      <c r="Q60" s="141">
        <f>270249-26458</f>
        <v>243791</v>
      </c>
      <c r="R60" s="120">
        <v>0</v>
      </c>
      <c r="S60" s="141"/>
      <c r="T60" s="120">
        <v>0</v>
      </c>
      <c r="U60" s="121">
        <v>0</v>
      </c>
      <c r="V60" s="120">
        <v>0</v>
      </c>
      <c r="W60" s="121">
        <v>0</v>
      </c>
      <c r="X60" s="120">
        <v>0</v>
      </c>
      <c r="Y60" s="121">
        <v>0</v>
      </c>
      <c r="Z60" s="120">
        <v>0</v>
      </c>
      <c r="AA60" s="121">
        <v>0</v>
      </c>
      <c r="AB60" s="120">
        <v>0</v>
      </c>
      <c r="AC60" s="121">
        <v>0</v>
      </c>
      <c r="AD60" s="120">
        <v>0</v>
      </c>
      <c r="AE60" s="121">
        <v>0</v>
      </c>
      <c r="AF60" s="120">
        <v>0</v>
      </c>
      <c r="AG60" s="121">
        <v>0</v>
      </c>
      <c r="AH60" s="120">
        <v>0</v>
      </c>
      <c r="AI60" s="121">
        <v>0</v>
      </c>
      <c r="AJ60" s="120">
        <v>0</v>
      </c>
      <c r="AK60" s="121">
        <v>0</v>
      </c>
      <c r="AL60" s="120">
        <v>0</v>
      </c>
      <c r="AM60" s="121">
        <v>0</v>
      </c>
      <c r="AN60" s="120">
        <v>0</v>
      </c>
      <c r="AO60" s="121">
        <v>0</v>
      </c>
    </row>
    <row r="61" spans="1:41" x14ac:dyDescent="0.25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243791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243791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10000</v>
      </c>
      <c r="F64" s="64">
        <f>'TIE-OUT'!X64+RECLASS!V64</f>
        <v>0</v>
      </c>
      <c r="G64" s="68">
        <f>'TIE-OUT'!Y64+RECLASS!W64</f>
        <v>10000</v>
      </c>
      <c r="H64" s="120">
        <v>0</v>
      </c>
      <c r="I64" s="120">
        <v>0</v>
      </c>
      <c r="J64" s="120">
        <v>0</v>
      </c>
      <c r="K64" s="121">
        <v>0</v>
      </c>
      <c r="L64" s="120">
        <v>0</v>
      </c>
      <c r="M64" s="121">
        <v>0</v>
      </c>
      <c r="N64" s="120">
        <v>0</v>
      </c>
      <c r="O64" s="121">
        <v>0</v>
      </c>
      <c r="P64" s="120">
        <v>0</v>
      </c>
      <c r="Q64" s="121">
        <v>0</v>
      </c>
      <c r="R64" s="120">
        <v>0</v>
      </c>
      <c r="S64" s="121">
        <v>0</v>
      </c>
      <c r="T64" s="120">
        <v>0</v>
      </c>
      <c r="U64" s="121">
        <v>0</v>
      </c>
      <c r="V64" s="120">
        <v>0</v>
      </c>
      <c r="W64" s="121">
        <v>0</v>
      </c>
      <c r="X64" s="120">
        <v>0</v>
      </c>
      <c r="Y64" s="121">
        <v>0</v>
      </c>
      <c r="Z64" s="120">
        <v>0</v>
      </c>
      <c r="AA64" s="121">
        <v>0</v>
      </c>
      <c r="AB64" s="120">
        <v>0</v>
      </c>
      <c r="AC64" s="121">
        <v>0</v>
      </c>
      <c r="AD64" s="120">
        <v>0</v>
      </c>
      <c r="AE64" s="121">
        <v>0</v>
      </c>
      <c r="AF64" s="120">
        <v>0</v>
      </c>
      <c r="AG64" s="121">
        <v>0</v>
      </c>
      <c r="AH64" s="120">
        <v>0</v>
      </c>
      <c r="AI64" s="121">
        <v>0</v>
      </c>
      <c r="AJ64" s="120">
        <v>0</v>
      </c>
      <c r="AK64" s="121">
        <v>0</v>
      </c>
      <c r="AL64" s="120">
        <v>0</v>
      </c>
      <c r="AM64" s="121">
        <v>0</v>
      </c>
      <c r="AN64" s="120">
        <v>0</v>
      </c>
      <c r="AO64" s="121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20">
        <v>0</v>
      </c>
      <c r="I65" s="120">
        <v>0</v>
      </c>
      <c r="J65" s="120">
        <v>0</v>
      </c>
      <c r="K65" s="121">
        <v>0</v>
      </c>
      <c r="L65" s="120">
        <v>0</v>
      </c>
      <c r="M65" s="121">
        <v>0</v>
      </c>
      <c r="N65" s="120">
        <v>0</v>
      </c>
      <c r="O65" s="121">
        <v>0</v>
      </c>
      <c r="P65" s="120">
        <v>0</v>
      </c>
      <c r="Q65" s="121">
        <v>0</v>
      </c>
      <c r="R65" s="120">
        <v>0</v>
      </c>
      <c r="S65" s="121">
        <v>0</v>
      </c>
      <c r="T65" s="120">
        <v>0</v>
      </c>
      <c r="U65" s="121">
        <v>0</v>
      </c>
      <c r="V65" s="120">
        <v>0</v>
      </c>
      <c r="W65" s="121">
        <v>0</v>
      </c>
      <c r="X65" s="120">
        <v>0</v>
      </c>
      <c r="Y65" s="121">
        <v>0</v>
      </c>
      <c r="Z65" s="120">
        <v>0</v>
      </c>
      <c r="AA65" s="121">
        <v>0</v>
      </c>
      <c r="AB65" s="120">
        <v>0</v>
      </c>
      <c r="AC65" s="121">
        <v>0</v>
      </c>
      <c r="AD65" s="120">
        <v>0</v>
      </c>
      <c r="AE65" s="121">
        <v>0</v>
      </c>
      <c r="AF65" s="120">
        <v>0</v>
      </c>
      <c r="AG65" s="121">
        <v>0</v>
      </c>
      <c r="AH65" s="120">
        <v>0</v>
      </c>
      <c r="AI65" s="121">
        <v>0</v>
      </c>
      <c r="AJ65" s="120">
        <v>0</v>
      </c>
      <c r="AK65" s="121">
        <v>0</v>
      </c>
      <c r="AL65" s="120">
        <v>0</v>
      </c>
      <c r="AM65" s="121">
        <v>0</v>
      </c>
      <c r="AN65" s="120">
        <v>0</v>
      </c>
      <c r="AO65" s="121">
        <v>0</v>
      </c>
    </row>
    <row r="66" spans="1:41" x14ac:dyDescent="0.25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10000</v>
      </c>
      <c r="F66" s="61">
        <f t="shared" si="20"/>
        <v>0</v>
      </c>
      <c r="G66" s="39">
        <f t="shared" si="20"/>
        <v>10000</v>
      </c>
      <c r="H66" s="61">
        <f t="shared" si="20"/>
        <v>0</v>
      </c>
      <c r="I66" s="61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20">
        <v>0</v>
      </c>
      <c r="I70" s="120">
        <v>0</v>
      </c>
      <c r="J70" s="120">
        <v>0</v>
      </c>
      <c r="K70" s="121">
        <v>0</v>
      </c>
      <c r="L70" s="120">
        <v>0</v>
      </c>
      <c r="M70" s="121">
        <v>0</v>
      </c>
      <c r="N70" s="120">
        <v>0</v>
      </c>
      <c r="O70" s="121">
        <v>0</v>
      </c>
      <c r="P70" s="120">
        <v>0</v>
      </c>
      <c r="Q70" s="121">
        <v>0</v>
      </c>
      <c r="R70" s="120">
        <v>0</v>
      </c>
      <c r="S70" s="121">
        <v>0</v>
      </c>
      <c r="T70" s="120">
        <v>0</v>
      </c>
      <c r="U70" s="121">
        <v>0</v>
      </c>
      <c r="V70" s="120">
        <v>0</v>
      </c>
      <c r="W70" s="121">
        <v>0</v>
      </c>
      <c r="X70" s="120">
        <v>0</v>
      </c>
      <c r="Y70" s="121">
        <v>0</v>
      </c>
      <c r="Z70" s="120">
        <v>0</v>
      </c>
      <c r="AA70" s="121">
        <v>0</v>
      </c>
      <c r="AB70" s="120">
        <v>0</v>
      </c>
      <c r="AC70" s="121">
        <v>0</v>
      </c>
      <c r="AD70" s="120">
        <v>0</v>
      </c>
      <c r="AE70" s="121">
        <v>0</v>
      </c>
      <c r="AF70" s="120">
        <v>0</v>
      </c>
      <c r="AG70" s="121">
        <v>0</v>
      </c>
      <c r="AH70" s="120">
        <v>0</v>
      </c>
      <c r="AI70" s="121">
        <v>0</v>
      </c>
      <c r="AJ70" s="120">
        <v>0</v>
      </c>
      <c r="AK70" s="121">
        <v>0</v>
      </c>
      <c r="AL70" s="120">
        <v>0</v>
      </c>
      <c r="AM70" s="121">
        <v>0</v>
      </c>
      <c r="AN70" s="120">
        <v>0</v>
      </c>
      <c r="AO70" s="121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20">
        <v>0</v>
      </c>
      <c r="I71" s="120">
        <v>0</v>
      </c>
      <c r="J71" s="120">
        <v>0</v>
      </c>
      <c r="K71" s="121">
        <v>0</v>
      </c>
      <c r="L71" s="120">
        <v>0</v>
      </c>
      <c r="M71" s="121">
        <v>0</v>
      </c>
      <c r="N71" s="120">
        <v>0</v>
      </c>
      <c r="O71" s="121">
        <v>0</v>
      </c>
      <c r="P71" s="120">
        <v>0</v>
      </c>
      <c r="Q71" s="121">
        <v>0</v>
      </c>
      <c r="R71" s="120">
        <v>0</v>
      </c>
      <c r="S71" s="121">
        <v>0</v>
      </c>
      <c r="T71" s="120">
        <v>0</v>
      </c>
      <c r="U71" s="121">
        <v>0</v>
      </c>
      <c r="V71" s="120">
        <v>0</v>
      </c>
      <c r="W71" s="121">
        <v>0</v>
      </c>
      <c r="X71" s="120">
        <v>0</v>
      </c>
      <c r="Y71" s="121">
        <v>0</v>
      </c>
      <c r="Z71" s="120">
        <v>0</v>
      </c>
      <c r="AA71" s="121">
        <v>0</v>
      </c>
      <c r="AB71" s="120">
        <v>0</v>
      </c>
      <c r="AC71" s="121">
        <v>0</v>
      </c>
      <c r="AD71" s="120">
        <v>0</v>
      </c>
      <c r="AE71" s="121">
        <v>0</v>
      </c>
      <c r="AF71" s="120">
        <v>0</v>
      </c>
      <c r="AG71" s="121">
        <v>0</v>
      </c>
      <c r="AH71" s="120">
        <v>0</v>
      </c>
      <c r="AI71" s="121">
        <v>0</v>
      </c>
      <c r="AJ71" s="120">
        <v>0</v>
      </c>
      <c r="AK71" s="121">
        <v>0</v>
      </c>
      <c r="AL71" s="120">
        <v>0</v>
      </c>
      <c r="AM71" s="121">
        <v>0</v>
      </c>
      <c r="AN71" s="120">
        <v>0</v>
      </c>
      <c r="AO71" s="121">
        <v>0</v>
      </c>
    </row>
    <row r="72" spans="1:41" x14ac:dyDescent="0.25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'TIE-OUT'!X73+RECLASS!V73</f>
        <v>0</v>
      </c>
      <c r="G73" s="60">
        <f>'TIE-OUT'!Y73+RECLASS!W73</f>
        <v>0</v>
      </c>
      <c r="H73" s="120">
        <v>0</v>
      </c>
      <c r="I73" s="120">
        <v>0</v>
      </c>
      <c r="J73" s="120">
        <v>0</v>
      </c>
      <c r="K73" s="121">
        <v>0</v>
      </c>
      <c r="L73" s="120">
        <v>0</v>
      </c>
      <c r="M73" s="121">
        <v>0</v>
      </c>
      <c r="N73" s="120">
        <v>0</v>
      </c>
      <c r="O73" s="121">
        <v>0</v>
      </c>
      <c r="P73" s="120">
        <v>0</v>
      </c>
      <c r="Q73" s="121">
        <v>0</v>
      </c>
      <c r="R73" s="120">
        <v>0</v>
      </c>
      <c r="S73" s="121">
        <v>0</v>
      </c>
      <c r="T73" s="120">
        <v>0</v>
      </c>
      <c r="U73" s="121">
        <v>0</v>
      </c>
      <c r="V73" s="120">
        <v>0</v>
      </c>
      <c r="W73" s="121">
        <v>0</v>
      </c>
      <c r="X73" s="120">
        <v>0</v>
      </c>
      <c r="Y73" s="121">
        <v>0</v>
      </c>
      <c r="Z73" s="120">
        <v>0</v>
      </c>
      <c r="AA73" s="121">
        <v>0</v>
      </c>
      <c r="AB73" s="120">
        <v>0</v>
      </c>
      <c r="AC73" s="121">
        <v>0</v>
      </c>
      <c r="AD73" s="120">
        <v>0</v>
      </c>
      <c r="AE73" s="121">
        <v>0</v>
      </c>
      <c r="AF73" s="120">
        <v>0</v>
      </c>
      <c r="AG73" s="121">
        <v>0</v>
      </c>
      <c r="AH73" s="120">
        <v>0</v>
      </c>
      <c r="AI73" s="121">
        <v>0</v>
      </c>
      <c r="AJ73" s="120">
        <v>0</v>
      </c>
      <c r="AK73" s="121">
        <v>0</v>
      </c>
      <c r="AL73" s="120">
        <v>0</v>
      </c>
      <c r="AM73" s="121">
        <v>0</v>
      </c>
      <c r="AN73" s="120">
        <v>0</v>
      </c>
      <c r="AO73" s="121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1714139</v>
      </c>
      <c r="F74" s="60">
        <f>'TIE-OUT'!X74+RECLASS!V74</f>
        <v>0</v>
      </c>
      <c r="G74" s="60">
        <f>'TIE-OUT'!Y74+RECLASS!W74</f>
        <v>1214212</v>
      </c>
      <c r="H74" s="120">
        <v>0</v>
      </c>
      <c r="I74" s="120">
        <v>0</v>
      </c>
      <c r="J74" s="120">
        <v>0</v>
      </c>
      <c r="K74" s="121">
        <v>0</v>
      </c>
      <c r="L74" s="120">
        <v>0</v>
      </c>
      <c r="M74" s="121">
        <v>0</v>
      </c>
      <c r="N74" s="120">
        <v>0</v>
      </c>
      <c r="O74" s="121">
        <v>0</v>
      </c>
      <c r="P74" s="120">
        <v>0</v>
      </c>
      <c r="Q74" s="141">
        <v>499927</v>
      </c>
      <c r="R74" s="120">
        <v>0</v>
      </c>
      <c r="S74" s="141"/>
      <c r="T74" s="120">
        <v>0</v>
      </c>
      <c r="U74" s="121">
        <v>0</v>
      </c>
      <c r="V74" s="120">
        <v>0</v>
      </c>
      <c r="W74" s="121">
        <v>0</v>
      </c>
      <c r="X74" s="120">
        <v>0</v>
      </c>
      <c r="Y74" s="121">
        <v>0</v>
      </c>
      <c r="Z74" s="120">
        <v>0</v>
      </c>
      <c r="AA74" s="121">
        <v>0</v>
      </c>
      <c r="AB74" s="120">
        <v>0</v>
      </c>
      <c r="AC74" s="121">
        <v>0</v>
      </c>
      <c r="AD74" s="120">
        <v>0</v>
      </c>
      <c r="AE74" s="121">
        <v>0</v>
      </c>
      <c r="AF74" s="120">
        <v>0</v>
      </c>
      <c r="AG74" s="121">
        <v>0</v>
      </c>
      <c r="AH74" s="120">
        <v>0</v>
      </c>
      <c r="AI74" s="121">
        <v>0</v>
      </c>
      <c r="AJ74" s="120">
        <v>0</v>
      </c>
      <c r="AK74" s="121">
        <v>0</v>
      </c>
      <c r="AL74" s="120">
        <v>0</v>
      </c>
      <c r="AM74" s="121">
        <v>0</v>
      </c>
      <c r="AN74" s="120">
        <v>0</v>
      </c>
      <c r="AO74" s="121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'TIE-OUT'!X75+RECLASS!V75</f>
        <v>0</v>
      </c>
      <c r="G75" s="60">
        <f>'TIE-OUT'!Y75+RECLASS!W75</f>
        <v>0</v>
      </c>
      <c r="H75" s="120">
        <v>0</v>
      </c>
      <c r="I75" s="120">
        <v>0</v>
      </c>
      <c r="J75" s="120">
        <v>0</v>
      </c>
      <c r="K75" s="121">
        <v>0</v>
      </c>
      <c r="L75" s="120">
        <v>0</v>
      </c>
      <c r="M75" s="121">
        <v>0</v>
      </c>
      <c r="N75" s="120">
        <v>0</v>
      </c>
      <c r="O75" s="121">
        <v>0</v>
      </c>
      <c r="P75" s="120">
        <v>0</v>
      </c>
      <c r="Q75" s="121">
        <v>0</v>
      </c>
      <c r="R75" s="120">
        <v>0</v>
      </c>
      <c r="S75" s="121">
        <v>0</v>
      </c>
      <c r="T75" s="120">
        <v>0</v>
      </c>
      <c r="U75" s="121">
        <v>0</v>
      </c>
      <c r="V75" s="120">
        <v>0</v>
      </c>
      <c r="W75" s="121">
        <v>0</v>
      </c>
      <c r="X75" s="120">
        <v>0</v>
      </c>
      <c r="Y75" s="121">
        <v>0</v>
      </c>
      <c r="Z75" s="120">
        <v>0</v>
      </c>
      <c r="AA75" s="121">
        <v>0</v>
      </c>
      <c r="AB75" s="120">
        <v>0</v>
      </c>
      <c r="AC75" s="121">
        <v>0</v>
      </c>
      <c r="AD75" s="120">
        <v>0</v>
      </c>
      <c r="AE75" s="121">
        <v>0</v>
      </c>
      <c r="AF75" s="120">
        <v>0</v>
      </c>
      <c r="AG75" s="121">
        <v>0</v>
      </c>
      <c r="AH75" s="120">
        <v>0</v>
      </c>
      <c r="AI75" s="121">
        <v>0</v>
      </c>
      <c r="AJ75" s="120">
        <v>0</v>
      </c>
      <c r="AK75" s="121">
        <v>0</v>
      </c>
      <c r="AL75" s="120">
        <v>0</v>
      </c>
      <c r="AM75" s="121">
        <v>0</v>
      </c>
      <c r="AN75" s="120">
        <v>0</v>
      </c>
      <c r="AO75" s="121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'TIE-OUT'!X76+RECLASS!V76</f>
        <v>0</v>
      </c>
      <c r="G76" s="60">
        <f>'TIE-OUT'!Y76+RECLASS!W76</f>
        <v>0</v>
      </c>
      <c r="H76" s="120">
        <v>0</v>
      </c>
      <c r="I76" s="120">
        <v>0</v>
      </c>
      <c r="J76" s="120">
        <v>0</v>
      </c>
      <c r="K76" s="121">
        <v>0</v>
      </c>
      <c r="L76" s="120">
        <v>0</v>
      </c>
      <c r="M76" s="121">
        <v>0</v>
      </c>
      <c r="N76" s="120">
        <v>0</v>
      </c>
      <c r="O76" s="121">
        <v>0</v>
      </c>
      <c r="P76" s="120">
        <v>0</v>
      </c>
      <c r="Q76" s="121">
        <v>0</v>
      </c>
      <c r="R76" s="120">
        <v>0</v>
      </c>
      <c r="S76" s="121">
        <v>0</v>
      </c>
      <c r="T76" s="120">
        <v>0</v>
      </c>
      <c r="U76" s="121">
        <v>0</v>
      </c>
      <c r="V76" s="120">
        <v>0</v>
      </c>
      <c r="W76" s="121">
        <v>0</v>
      </c>
      <c r="X76" s="120">
        <v>0</v>
      </c>
      <c r="Y76" s="121">
        <v>0</v>
      </c>
      <c r="Z76" s="120">
        <v>0</v>
      </c>
      <c r="AA76" s="121">
        <v>0</v>
      </c>
      <c r="AB76" s="120">
        <v>0</v>
      </c>
      <c r="AC76" s="121">
        <v>0</v>
      </c>
      <c r="AD76" s="120">
        <v>0</v>
      </c>
      <c r="AE76" s="121">
        <v>0</v>
      </c>
      <c r="AF76" s="120">
        <v>0</v>
      </c>
      <c r="AG76" s="121">
        <v>0</v>
      </c>
      <c r="AH76" s="120">
        <v>0</v>
      </c>
      <c r="AI76" s="121">
        <v>0</v>
      </c>
      <c r="AJ76" s="120">
        <v>0</v>
      </c>
      <c r="AK76" s="121">
        <v>0</v>
      </c>
      <c r="AL76" s="120">
        <v>0</v>
      </c>
      <c r="AM76" s="121">
        <v>0</v>
      </c>
      <c r="AN76" s="120">
        <v>0</v>
      </c>
      <c r="AO76" s="121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11700</v>
      </c>
      <c r="F77" s="60">
        <f>'TIE-OUT'!X77+RECLASS!V77</f>
        <v>0</v>
      </c>
      <c r="G77" s="60">
        <f>'TIE-OUT'!Y77+RECLASS!W77</f>
        <v>11700</v>
      </c>
      <c r="H77" s="120">
        <v>0</v>
      </c>
      <c r="I77" s="120">
        <v>0</v>
      </c>
      <c r="J77" s="120">
        <v>0</v>
      </c>
      <c r="K77" s="121">
        <v>0</v>
      </c>
      <c r="L77" s="120">
        <v>0</v>
      </c>
      <c r="M77" s="121">
        <v>0</v>
      </c>
      <c r="N77" s="120">
        <v>0</v>
      </c>
      <c r="O77" s="121">
        <v>0</v>
      </c>
      <c r="P77" s="120">
        <v>0</v>
      </c>
      <c r="Q77" s="121">
        <v>0</v>
      </c>
      <c r="R77" s="120">
        <v>0</v>
      </c>
      <c r="S77" s="121">
        <v>0</v>
      </c>
      <c r="T77" s="120">
        <v>0</v>
      </c>
      <c r="U77" s="121">
        <v>0</v>
      </c>
      <c r="V77" s="120">
        <v>0</v>
      </c>
      <c r="W77" s="121">
        <v>0</v>
      </c>
      <c r="X77" s="120">
        <v>0</v>
      </c>
      <c r="Y77" s="121">
        <v>0</v>
      </c>
      <c r="Z77" s="120">
        <v>0</v>
      </c>
      <c r="AA77" s="121">
        <v>0</v>
      </c>
      <c r="AB77" s="120">
        <v>0</v>
      </c>
      <c r="AC77" s="121">
        <v>0</v>
      </c>
      <c r="AD77" s="120">
        <v>0</v>
      </c>
      <c r="AE77" s="121">
        <v>0</v>
      </c>
      <c r="AF77" s="120">
        <v>0</v>
      </c>
      <c r="AG77" s="121">
        <v>0</v>
      </c>
      <c r="AH77" s="120">
        <v>0</v>
      </c>
      <c r="AI77" s="121">
        <v>0</v>
      </c>
      <c r="AJ77" s="120">
        <v>0</v>
      </c>
      <c r="AK77" s="121">
        <v>0</v>
      </c>
      <c r="AL77" s="120">
        <v>0</v>
      </c>
      <c r="AM77" s="121">
        <v>0</v>
      </c>
      <c r="AN77" s="120">
        <v>0</v>
      </c>
      <c r="AO77" s="121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'TIE-OUT'!X78+RECLASS!V78</f>
        <v>0</v>
      </c>
      <c r="G78" s="60">
        <f>'TIE-OUT'!Y78+RECLASS!W78</f>
        <v>0</v>
      </c>
      <c r="H78" s="120">
        <v>0</v>
      </c>
      <c r="I78" s="120">
        <v>0</v>
      </c>
      <c r="J78" s="120">
        <v>0</v>
      </c>
      <c r="K78" s="121">
        <v>0</v>
      </c>
      <c r="L78" s="120">
        <v>0</v>
      </c>
      <c r="M78" s="121">
        <v>0</v>
      </c>
      <c r="N78" s="120">
        <v>0</v>
      </c>
      <c r="O78" s="121">
        <v>0</v>
      </c>
      <c r="P78" s="120">
        <v>0</v>
      </c>
      <c r="Q78" s="121">
        <v>0</v>
      </c>
      <c r="R78" s="120">
        <v>0</v>
      </c>
      <c r="S78" s="121">
        <v>0</v>
      </c>
      <c r="T78" s="120">
        <v>0</v>
      </c>
      <c r="U78" s="121">
        <v>0</v>
      </c>
      <c r="V78" s="120">
        <v>0</v>
      </c>
      <c r="W78" s="121">
        <v>0</v>
      </c>
      <c r="X78" s="120">
        <v>0</v>
      </c>
      <c r="Y78" s="121">
        <v>0</v>
      </c>
      <c r="Z78" s="120">
        <v>0</v>
      </c>
      <c r="AA78" s="121">
        <v>0</v>
      </c>
      <c r="AB78" s="120">
        <v>0</v>
      </c>
      <c r="AC78" s="121">
        <v>0</v>
      </c>
      <c r="AD78" s="120">
        <v>0</v>
      </c>
      <c r="AE78" s="121">
        <v>0</v>
      </c>
      <c r="AF78" s="120">
        <v>0</v>
      </c>
      <c r="AG78" s="121">
        <v>0</v>
      </c>
      <c r="AH78" s="120">
        <v>0</v>
      </c>
      <c r="AI78" s="121">
        <v>0</v>
      </c>
      <c r="AJ78" s="120">
        <v>0</v>
      </c>
      <c r="AK78" s="121">
        <v>0</v>
      </c>
      <c r="AL78" s="120">
        <v>0</v>
      </c>
      <c r="AM78" s="121">
        <v>0</v>
      </c>
      <c r="AN78" s="120">
        <v>0</v>
      </c>
      <c r="AO78" s="121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'TIE-OUT'!X79+RECLASS!V79</f>
        <v>0</v>
      </c>
      <c r="G79" s="60">
        <f>'TIE-OUT'!Y79+RECLASS!W79</f>
        <v>0</v>
      </c>
      <c r="H79" s="120">
        <v>0</v>
      </c>
      <c r="I79" s="120">
        <v>0</v>
      </c>
      <c r="J79" s="120">
        <v>0</v>
      </c>
      <c r="K79" s="121">
        <v>0</v>
      </c>
      <c r="L79" s="120">
        <v>0</v>
      </c>
      <c r="M79" s="121">
        <v>0</v>
      </c>
      <c r="N79" s="120">
        <v>0</v>
      </c>
      <c r="O79" s="121">
        <v>0</v>
      </c>
      <c r="P79" s="120">
        <v>0</v>
      </c>
      <c r="Q79" s="121">
        <v>0</v>
      </c>
      <c r="R79" s="120">
        <v>0</v>
      </c>
      <c r="S79" s="121">
        <v>0</v>
      </c>
      <c r="T79" s="120">
        <v>0</v>
      </c>
      <c r="U79" s="121">
        <v>0</v>
      </c>
      <c r="V79" s="120">
        <v>0</v>
      </c>
      <c r="W79" s="121">
        <v>0</v>
      </c>
      <c r="X79" s="120">
        <v>0</v>
      </c>
      <c r="Y79" s="121">
        <v>0</v>
      </c>
      <c r="Z79" s="120">
        <v>0</v>
      </c>
      <c r="AA79" s="121">
        <v>0</v>
      </c>
      <c r="AB79" s="120">
        <v>0</v>
      </c>
      <c r="AC79" s="121">
        <v>0</v>
      </c>
      <c r="AD79" s="120">
        <v>0</v>
      </c>
      <c r="AE79" s="121">
        <v>0</v>
      </c>
      <c r="AF79" s="120">
        <v>0</v>
      </c>
      <c r="AG79" s="121">
        <v>0</v>
      </c>
      <c r="AH79" s="120">
        <v>0</v>
      </c>
      <c r="AI79" s="121">
        <v>0</v>
      </c>
      <c r="AJ79" s="120">
        <v>0</v>
      </c>
      <c r="AK79" s="121">
        <v>0</v>
      </c>
      <c r="AL79" s="120">
        <v>0</v>
      </c>
      <c r="AM79" s="121">
        <v>0</v>
      </c>
      <c r="AN79" s="120">
        <v>0</v>
      </c>
      <c r="AO79" s="121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'TIE-OUT'!X80+RECLASS!V80</f>
        <v>0</v>
      </c>
      <c r="G80" s="60">
        <f>'TIE-OUT'!Y80+RECLASS!W80</f>
        <v>0</v>
      </c>
      <c r="H80" s="120">
        <v>0</v>
      </c>
      <c r="I80" s="120">
        <v>0</v>
      </c>
      <c r="J80" s="120">
        <v>0</v>
      </c>
      <c r="K80" s="121">
        <v>0</v>
      </c>
      <c r="L80" s="120">
        <v>0</v>
      </c>
      <c r="M80" s="121">
        <v>0</v>
      </c>
      <c r="N80" s="120">
        <v>0</v>
      </c>
      <c r="O80" s="121">
        <v>0</v>
      </c>
      <c r="P80" s="120">
        <v>0</v>
      </c>
      <c r="Q80" s="121">
        <v>0</v>
      </c>
      <c r="R80" s="120">
        <v>0</v>
      </c>
      <c r="S80" s="121">
        <v>0</v>
      </c>
      <c r="T80" s="120">
        <v>0</v>
      </c>
      <c r="U80" s="121">
        <v>0</v>
      </c>
      <c r="V80" s="120">
        <v>0</v>
      </c>
      <c r="W80" s="121">
        <v>0</v>
      </c>
      <c r="X80" s="120">
        <v>0</v>
      </c>
      <c r="Y80" s="121">
        <v>0</v>
      </c>
      <c r="Z80" s="120">
        <v>0</v>
      </c>
      <c r="AA80" s="121">
        <v>0</v>
      </c>
      <c r="AB80" s="120">
        <v>0</v>
      </c>
      <c r="AC80" s="121">
        <v>0</v>
      </c>
      <c r="AD80" s="120">
        <v>0</v>
      </c>
      <c r="AE80" s="121">
        <v>0</v>
      </c>
      <c r="AF80" s="120">
        <v>0</v>
      </c>
      <c r="AG80" s="121">
        <v>0</v>
      </c>
      <c r="AH80" s="120">
        <v>0</v>
      </c>
      <c r="AI80" s="121">
        <v>0</v>
      </c>
      <c r="AJ80" s="120">
        <v>0</v>
      </c>
      <c r="AK80" s="121">
        <v>0</v>
      </c>
      <c r="AL80" s="120">
        <v>0</v>
      </c>
      <c r="AM80" s="121">
        <v>0</v>
      </c>
      <c r="AN80" s="120">
        <v>0</v>
      </c>
      <c r="AO80" s="121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'TIE-OUT'!X81+RECLASS!V81</f>
        <v>0</v>
      </c>
      <c r="G81" s="60">
        <f>'TIE-OUT'!Y81+RECLASS!W81</f>
        <v>0</v>
      </c>
      <c r="H81" s="120">
        <v>0</v>
      </c>
      <c r="I81" s="120">
        <v>0</v>
      </c>
      <c r="J81" s="120">
        <v>0</v>
      </c>
      <c r="K81" s="121">
        <v>0</v>
      </c>
      <c r="L81" s="120">
        <v>0</v>
      </c>
      <c r="M81" s="121">
        <v>0</v>
      </c>
      <c r="N81" s="120">
        <v>0</v>
      </c>
      <c r="O81" s="121">
        <v>0</v>
      </c>
      <c r="P81" s="120">
        <v>0</v>
      </c>
      <c r="Q81" s="121">
        <v>0</v>
      </c>
      <c r="R81" s="120">
        <v>0</v>
      </c>
      <c r="S81" s="121">
        <v>0</v>
      </c>
      <c r="T81" s="120">
        <v>0</v>
      </c>
      <c r="U81" s="121">
        <v>0</v>
      </c>
      <c r="V81" s="120">
        <v>0</v>
      </c>
      <c r="W81" s="121">
        <v>0</v>
      </c>
      <c r="X81" s="120">
        <v>0</v>
      </c>
      <c r="Y81" s="121">
        <v>0</v>
      </c>
      <c r="Z81" s="120">
        <v>0</v>
      </c>
      <c r="AA81" s="121">
        <v>0</v>
      </c>
      <c r="AB81" s="120">
        <v>0</v>
      </c>
      <c r="AC81" s="121">
        <v>0</v>
      </c>
      <c r="AD81" s="120">
        <v>0</v>
      </c>
      <c r="AE81" s="121">
        <v>0</v>
      </c>
      <c r="AF81" s="120">
        <v>0</v>
      </c>
      <c r="AG81" s="121">
        <v>0</v>
      </c>
      <c r="AH81" s="120">
        <v>0</v>
      </c>
      <c r="AI81" s="121">
        <v>0</v>
      </c>
      <c r="AJ81" s="120">
        <v>0</v>
      </c>
      <c r="AK81" s="121">
        <v>0</v>
      </c>
      <c r="AL81" s="120">
        <v>0</v>
      </c>
      <c r="AM81" s="121">
        <v>0</v>
      </c>
      <c r="AN81" s="120">
        <v>0</v>
      </c>
      <c r="AO81" s="121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31151.239999997197</v>
      </c>
      <c r="F82" s="91">
        <f>F16+F24+F29+F36+F43+F45+F47+F49</f>
        <v>0</v>
      </c>
      <c r="G82" s="92">
        <f>SUM(G72:G81)+G16+G24+G29+G36+G43+G45+G47+G49+G51+G56+G61+G66</f>
        <v>-6286634.3899999997</v>
      </c>
      <c r="H82" s="91">
        <f>H16+H24+H29+H36+H43+H45+H47+H49</f>
        <v>0</v>
      </c>
      <c r="I82" s="92">
        <f>SUM(I72:I81)+I16+I24+I29+I36+I43+I45+I47+I49+I51+I56+I61+I66</f>
        <v>4611367</v>
      </c>
      <c r="J82" s="91">
        <f>J16+J24+J29+J36+J43+J45+J47+J49</f>
        <v>0</v>
      </c>
      <c r="K82" s="110">
        <f>SUM(K72:K81)+K16+K24+K29+K36+K43+K45+K47+K49+K51+K56+K61+K66</f>
        <v>1441179.4800000004</v>
      </c>
      <c r="L82" s="91">
        <f>L16+L24+L29+L36+L43+L45+L47+L49</f>
        <v>0</v>
      </c>
      <c r="M82" s="92">
        <f>SUM(M72:M81)+M16+M24+M29+M36+M43+M45+M47+M49+M51+M56+M61+M66</f>
        <v>-487520</v>
      </c>
      <c r="N82" s="91">
        <f>N16+N24+N29+N36+N43+N45+N47+N49</f>
        <v>0</v>
      </c>
      <c r="O82" s="92">
        <f>SUM(O72:O81)+O16+O24+O29+O36+O43+O45+O47+O49+O51+O56+O61+O66</f>
        <v>27995</v>
      </c>
      <c r="P82" s="91">
        <f>P16+P24+P29+P36+P43+P45+P47+P49</f>
        <v>0</v>
      </c>
      <c r="Q82" s="92">
        <f>SUM(Q72:Q81)+Q16+Q24+Q29+Q36+Q43+Q45+Q47+Q49+Q51+Q56+Q61+Q66</f>
        <v>764526</v>
      </c>
      <c r="R82" s="91">
        <f>R16+R24+R29+R36+R43+R45+R47+R49</f>
        <v>0</v>
      </c>
      <c r="S82" s="92">
        <f>SUM(S72:S81)+S16+S24+S29+S36+S43+S45+S47+S49+S51+S56+S61+S66</f>
        <v>-12428</v>
      </c>
      <c r="T82" s="91">
        <f>T16+T24+T29+T36+T43+T45+T47+T49</f>
        <v>0</v>
      </c>
      <c r="U82" s="92">
        <f>SUM(U72:U81)+U16+U24+U29+U36+U43+U45+U47+U49+U51+U56+U61+U66</f>
        <v>-31593</v>
      </c>
      <c r="V82" s="91">
        <f>V16+V24+V29+V36+V43+V45+V47+V49</f>
        <v>0</v>
      </c>
      <c r="W82" s="92">
        <f>SUM(W72:W81)+W16+W24+W29+W36+W43+W45+W47+W49+W51+W56+W61+W66</f>
        <v>4907.9099999999935</v>
      </c>
      <c r="X82" s="91">
        <f>X16+X24+X29+X36+X43+X45+X47+X49</f>
        <v>0</v>
      </c>
      <c r="Y82" s="92">
        <f>SUM(Y72:Y81)+Y16+Y24+Y29+Y36+Y43+Y45+Y47+Y49+Y51+Y56+Y61+Y66</f>
        <v>-13518.669999999993</v>
      </c>
      <c r="Z82" s="91">
        <f>Z16+Z24+Z29+Z36+Z43+Z45+Z47+Z49</f>
        <v>0</v>
      </c>
      <c r="AA82" s="92">
        <f>SUM(AA72:AA81)+AA16+AA24+AA29+AA36+AA43+AA45+AA47+AA49+AA51+AA56+AA61+AA66</f>
        <v>12869.910000000022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170</v>
      </c>
      <c r="B85" s="3"/>
      <c r="F85" s="31"/>
      <c r="G85" s="31"/>
      <c r="H85" s="31"/>
      <c r="I85" s="31"/>
      <c r="K85"/>
    </row>
    <row r="86" spans="1:41" x14ac:dyDescent="0.25">
      <c r="A86" s="146"/>
      <c r="B86" s="3"/>
      <c r="C86" s="10" t="s">
        <v>166</v>
      </c>
      <c r="D86" s="147">
        <f t="shared" ref="D86:E88" si="25">SUM(F86,H86,J86,L86,N86,P86,R86,T86,V86,X86,Z86,AB86,AD86)</f>
        <v>0</v>
      </c>
      <c r="E86" s="148">
        <f t="shared" si="25"/>
        <v>-42360</v>
      </c>
      <c r="F86" s="147">
        <f>'TIE-OUT'!X86+RECLASS!V86</f>
        <v>0</v>
      </c>
      <c r="G86" s="148">
        <f>'TIE-OUT'!Y86+RECLASS!W86</f>
        <v>-153691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111331</v>
      </c>
    </row>
    <row r="87" spans="1:41" x14ac:dyDescent="0.25">
      <c r="A87" s="146"/>
      <c r="B87" s="3"/>
      <c r="C87" s="10" t="s">
        <v>71</v>
      </c>
      <c r="D87" s="148">
        <f t="shared" si="25"/>
        <v>0</v>
      </c>
      <c r="E87" s="148">
        <f t="shared" si="25"/>
        <v>11054860</v>
      </c>
      <c r="F87" s="148">
        <f>'TIE-OUT'!X87+RECLASS!V87</f>
        <v>0</v>
      </c>
      <c r="G87" s="148">
        <f>'TIE-OUT'!Y87+RECLASS!W87</f>
        <v>11054860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</row>
    <row r="88" spans="1:41" x14ac:dyDescent="0.25">
      <c r="A88" s="146"/>
      <c r="B88" s="3"/>
      <c r="C88" s="10" t="s">
        <v>72</v>
      </c>
      <c r="D88" s="149">
        <f t="shared" si="25"/>
        <v>0</v>
      </c>
      <c r="E88" s="149">
        <f t="shared" si="25"/>
        <v>-1845500</v>
      </c>
      <c r="F88" s="149">
        <f>'TIE-OUT'!X88+RECLASS!V88</f>
        <v>0</v>
      </c>
      <c r="G88" s="149">
        <f>'TIE-OUT'!Y88+RECLASS!W88</f>
        <v>-1845500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</row>
    <row r="89" spans="1:41" ht="15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K89" si="26">SUM(E86:E88)</f>
        <v>9167000</v>
      </c>
      <c r="F89" s="157">
        <f t="shared" si="26"/>
        <v>0</v>
      </c>
      <c r="G89" s="157">
        <f t="shared" si="26"/>
        <v>9055669</v>
      </c>
      <c r="H89" s="157">
        <f t="shared" si="26"/>
        <v>0</v>
      </c>
      <c r="I89" s="157">
        <f t="shared" si="26"/>
        <v>0</v>
      </c>
      <c r="J89" s="157">
        <f t="shared" si="26"/>
        <v>0</v>
      </c>
      <c r="K89" s="157">
        <f t="shared" si="26"/>
        <v>0</v>
      </c>
      <c r="L89" s="157">
        <f t="shared" ref="L89:Q89" si="27">SUM(L86:L88)</f>
        <v>0</v>
      </c>
      <c r="M89" s="157">
        <f t="shared" si="27"/>
        <v>0</v>
      </c>
      <c r="N89" s="157">
        <f t="shared" si="27"/>
        <v>0</v>
      </c>
      <c r="O89" s="157">
        <f t="shared" si="27"/>
        <v>0</v>
      </c>
      <c r="P89" s="157">
        <f t="shared" si="27"/>
        <v>0</v>
      </c>
      <c r="Q89" s="157">
        <f t="shared" si="27"/>
        <v>111331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ht="15" x14ac:dyDescent="0.25">
      <c r="A91" s="153"/>
      <c r="B91" s="154"/>
      <c r="C91" s="159" t="s">
        <v>172</v>
      </c>
      <c r="D91" s="157">
        <f>+D82+D89</f>
        <v>0</v>
      </c>
      <c r="E91" s="157">
        <f t="shared" ref="E91:K91" si="28">+E82+E89</f>
        <v>9198151.2399999965</v>
      </c>
      <c r="F91" s="157">
        <f t="shared" si="28"/>
        <v>0</v>
      </c>
      <c r="G91" s="157">
        <f t="shared" si="28"/>
        <v>2769034.6100000003</v>
      </c>
      <c r="H91" s="157">
        <f t="shared" si="28"/>
        <v>0</v>
      </c>
      <c r="I91" s="157">
        <f t="shared" si="28"/>
        <v>4611367</v>
      </c>
      <c r="J91" s="157">
        <f t="shared" si="28"/>
        <v>0</v>
      </c>
      <c r="K91" s="157">
        <f t="shared" si="28"/>
        <v>1441179.4800000004</v>
      </c>
      <c r="L91" s="157">
        <f>+L82+L89</f>
        <v>0</v>
      </c>
      <c r="M91" s="157">
        <f>+M82+M89</f>
        <v>-487520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U79" activePane="bottomRight" state="frozen"/>
      <selection activeCell="Z9" sqref="Z9"/>
      <selection pane="topRight" activeCell="Z9" sqref="Z9"/>
      <selection pane="bottomLeft" activeCell="Z9" sqref="Z9"/>
      <selection pane="bottomRight" activeCell="AY79" sqref="AY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53230102</v>
      </c>
      <c r="E11" s="38">
        <f>SUM(G11,I11,K11,M11,O11,Q11,S11,U11,W11,Y11,AA11,AC11,AE11)</f>
        <v>121883194.15999998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50614135</v>
      </c>
      <c r="I11" s="38">
        <f>'TX-EGM-GL'!I11+'TX-HPLR-GL '!I11+'TX-HPLC-GL'!I11</f>
        <v>115561145.06999999</v>
      </c>
      <c r="J11" s="60">
        <f>'TX-EGM-GL'!J11+'TX-HPLR-GL '!J11+'TX-HPLC-GL'!J11</f>
        <v>4949101</v>
      </c>
      <c r="K11" s="38">
        <f>'TX-EGM-GL'!K11+'TX-HPLR-GL '!K11+'TX-HPLC-GL'!K11</f>
        <v>11549540.640000001</v>
      </c>
      <c r="L11" s="60">
        <f>'TX-EGM-GL'!L11+'TX-HPLR-GL '!L11+'TX-HPLC-GL'!L11</f>
        <v>-3097467</v>
      </c>
      <c r="M11" s="38">
        <f>'TX-EGM-GL'!M11+'TX-HPLR-GL '!M11+'TX-HPLC-GL'!M11</f>
        <v>-7052122.8700000001</v>
      </c>
      <c r="N11" s="60">
        <f>'TX-EGM-GL'!N11+'TX-HPLR-GL '!N11+'TX-HPLC-GL'!N11</f>
        <v>578088</v>
      </c>
      <c r="O11" s="38">
        <f>'TX-EGM-GL'!O11+'TX-HPLR-GL '!O11+'TX-HPLC-GL'!O11</f>
        <v>1310.9700000000003</v>
      </c>
      <c r="P11" s="60">
        <f>'TX-EGM-GL'!P11+'TX-HPLR-GL '!P11+'TX-HPLC-GL'!P11</f>
        <v>85309</v>
      </c>
      <c r="Q11" s="38">
        <f>'TX-EGM-GL'!Q11+'TX-HPLR-GL '!Q11+'TX-HPLC-GL'!Q11</f>
        <v>1323930.56</v>
      </c>
      <c r="R11" s="60">
        <f>'TX-EGM-GL'!R11+'TX-HPLR-GL '!R11+'TX-HPLC-GL'!R11</f>
        <v>29211</v>
      </c>
      <c r="S11" s="38">
        <f>'TX-EGM-GL'!S11+'TX-HPLR-GL '!S11+'TX-HPLC-GL'!S11</f>
        <v>337358.86</v>
      </c>
      <c r="T11" s="60">
        <f>'TX-EGM-GL'!T11+'TX-HPLR-GL '!T11+'TX-HPLC-GL'!T11</f>
        <v>72555</v>
      </c>
      <c r="U11" s="38">
        <f>'TX-EGM-GL'!U11+'TX-HPLR-GL '!U11+'TX-HPLC-GL'!U11</f>
        <v>183327.19</v>
      </c>
      <c r="V11" s="60">
        <f>'TX-EGM-GL'!V11+'TX-HPLR-GL '!V11+'TX-HPLC-GL'!V11</f>
        <v>68496</v>
      </c>
      <c r="W11" s="38">
        <f>'TX-EGM-GL'!W11+'TX-HPLR-GL '!W11+'TX-HPLC-GL'!W11</f>
        <v>145007.88</v>
      </c>
      <c r="X11" s="60">
        <f>'TX-EGM-GL'!X11+'TX-HPLR-GL '!X11+'TX-HPLC-GL'!X11</f>
        <v>-69326</v>
      </c>
      <c r="Y11" s="38">
        <f>'TX-EGM-GL'!Y11+'TX-HPLR-GL '!Y11+'TX-HPLC-GL'!Y11</f>
        <v>-166304.13999999998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-10272491.359999999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-9969512.8399999999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-302978.52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5959904</v>
      </c>
      <c r="E13" s="38">
        <f t="shared" si="0"/>
        <v>13663716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6454820</v>
      </c>
      <c r="I13" s="38">
        <f>'TX-EGM-GL'!I13+'TX-HPLR-GL '!I13+'TX-HPLC-GL'!I13</f>
        <v>14799252</v>
      </c>
      <c r="J13" s="60">
        <f>'TX-EGM-GL'!J13+'TX-HPLR-GL '!J13+'TX-HPLC-GL'!J13</f>
        <v>-5967083</v>
      </c>
      <c r="K13" s="38">
        <f>'TX-EGM-GL'!K13+'TX-HPLR-GL '!K13+'TX-HPLC-GL'!K13</f>
        <v>-13678734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32274</v>
      </c>
      <c r="O13" s="38">
        <f>'TX-EGM-GL'!O13+'TX-HPLR-GL '!O13+'TX-HPLC-GL'!O13</f>
        <v>72679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5439893</v>
      </c>
      <c r="U13" s="38">
        <f>'TX-EGM-GL'!U13+'TX-HPLR-GL '!U13+'TX-HPLC-GL'!U13</f>
        <v>12470519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59190006</v>
      </c>
      <c r="E16" s="39">
        <f t="shared" si="1"/>
        <v>125274418.79999998</v>
      </c>
      <c r="F16" s="61">
        <f t="shared" si="1"/>
        <v>0</v>
      </c>
      <c r="G16" s="39">
        <f t="shared" si="1"/>
        <v>-9969512.8399999999</v>
      </c>
      <c r="H16" s="61">
        <f t="shared" si="1"/>
        <v>57068955</v>
      </c>
      <c r="I16" s="39">
        <f t="shared" si="1"/>
        <v>130360397.06999999</v>
      </c>
      <c r="J16" s="61">
        <f t="shared" si="1"/>
        <v>-1017982</v>
      </c>
      <c r="K16" s="39">
        <f t="shared" si="1"/>
        <v>-2432171.879999999</v>
      </c>
      <c r="L16" s="61">
        <f t="shared" si="1"/>
        <v>-3097467</v>
      </c>
      <c r="M16" s="39">
        <f t="shared" si="1"/>
        <v>-7052122.8700000001</v>
      </c>
      <c r="N16" s="61">
        <f t="shared" ref="N16:S16" si="2">SUM(N11:N15)</f>
        <v>610362</v>
      </c>
      <c r="O16" s="39">
        <f t="shared" si="2"/>
        <v>73989.97</v>
      </c>
      <c r="P16" s="61">
        <f t="shared" si="2"/>
        <v>85309</v>
      </c>
      <c r="Q16" s="39">
        <f t="shared" si="2"/>
        <v>1323930.56</v>
      </c>
      <c r="R16" s="61">
        <f t="shared" si="2"/>
        <v>29211</v>
      </c>
      <c r="S16" s="39">
        <f t="shared" si="2"/>
        <v>337358.86</v>
      </c>
      <c r="T16" s="61">
        <f t="shared" si="1"/>
        <v>5512448</v>
      </c>
      <c r="U16" s="39">
        <f t="shared" si="1"/>
        <v>12653846.189999999</v>
      </c>
      <c r="V16" s="61">
        <f t="shared" si="1"/>
        <v>68496</v>
      </c>
      <c r="W16" s="39">
        <f t="shared" si="1"/>
        <v>145007.88</v>
      </c>
      <c r="X16" s="61">
        <f t="shared" si="1"/>
        <v>-69326</v>
      </c>
      <c r="Y16" s="39">
        <f t="shared" si="1"/>
        <v>-166304.13999999998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-47580737</v>
      </c>
      <c r="E19" s="38">
        <f t="shared" si="3"/>
        <v>-98800160.840000004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-47030006</v>
      </c>
      <c r="I19" s="38">
        <f>'TX-EGM-GL'!I19+'TX-HPLR-GL '!I19+'TX-HPLC-GL'!I19</f>
        <v>-97706315.349999994</v>
      </c>
      <c r="J19" s="60">
        <f>'TX-EGM-GL'!J19+'TX-HPLR-GL '!J19+'TX-HPLC-GL'!J19</f>
        <v>-3391932</v>
      </c>
      <c r="K19" s="38">
        <f>'TX-EGM-GL'!K19+'TX-HPLR-GL '!K19+'TX-HPLC-GL'!K19</f>
        <v>-5605950.9800000004</v>
      </c>
      <c r="L19" s="60">
        <f>'TX-EGM-GL'!L19+'TX-HPLR-GL '!L19+'TX-HPLC-GL'!L19</f>
        <v>3724003</v>
      </c>
      <c r="M19" s="38">
        <f>'TX-EGM-GL'!M19+'TX-HPLR-GL '!M19+'TX-HPLC-GL'!M19</f>
        <v>7530298.8700000001</v>
      </c>
      <c r="N19" s="60">
        <f>'TX-EGM-GL'!N19+'TX-HPLR-GL '!N19+'TX-HPLC-GL'!N19</f>
        <v>-1306593</v>
      </c>
      <c r="O19" s="38">
        <f>'TX-EGM-GL'!O19+'TX-HPLR-GL '!O19+'TX-HPLC-GL'!O19</f>
        <v>-1521594.87</v>
      </c>
      <c r="P19" s="60">
        <f>'TX-EGM-GL'!P19+'TX-HPLR-GL '!P19+'TX-HPLC-GL'!P19</f>
        <v>116662</v>
      </c>
      <c r="Q19" s="38">
        <f>'TX-EGM-GL'!Q19+'TX-HPLR-GL '!Q19+'TX-HPLC-GL'!Q19</f>
        <v>-914838.12999999989</v>
      </c>
      <c r="R19" s="60">
        <f>'TX-EGM-GL'!R19+'TX-HPLR-GL '!R19+'TX-HPLC-GL'!R19</f>
        <v>217059</v>
      </c>
      <c r="S19" s="38">
        <f>'TX-EGM-GL'!S19+'TX-HPLR-GL '!S19+'TX-HPLC-GL'!S19</f>
        <v>-775503.87000000011</v>
      </c>
      <c r="T19" s="60">
        <f>'TX-EGM-GL'!T19+'TX-HPLR-GL '!T19+'TX-HPLC-GL'!T19</f>
        <v>21410</v>
      </c>
      <c r="U19" s="38">
        <f>'TX-EGM-GL'!U19+'TX-HPLR-GL '!U19+'TX-HPLC-GL'!U19</f>
        <v>46041</v>
      </c>
      <c r="V19" s="60">
        <f>'TX-EGM-GL'!V19+'TX-HPLR-GL '!V19+'TX-HPLC-GL'!V19</f>
        <v>0</v>
      </c>
      <c r="W19" s="38">
        <f>'TX-EGM-GL'!W19+'TX-HPLR-GL '!W19+'TX-HPLC-GL'!W19</f>
        <v>-10671.779999999999</v>
      </c>
      <c r="X19" s="60">
        <f>'TX-EGM-GL'!X19+'TX-HPLR-GL '!X19+'TX-HPLC-GL'!X19</f>
        <v>4634</v>
      </c>
      <c r="Y19" s="38">
        <f>'TX-EGM-GL'!Y19+'TX-HPLR-GL '!Y19+'TX-HPLC-GL'!Y19</f>
        <v>23931.96</v>
      </c>
      <c r="Z19" s="60">
        <f>'TX-EGM-GL'!Z19+'TX-HPLR-GL '!Z19+'TX-HPLC-GL'!Z19</f>
        <v>64026</v>
      </c>
      <c r="AA19" s="38">
        <f>'TX-EGM-GL'!AA19+'TX-HPLR-GL '!AA19+'TX-HPLC-GL'!AA19</f>
        <v>134442.31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2185897.73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2184595.73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1302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-5959904</v>
      </c>
      <c r="E21" s="38">
        <f t="shared" si="3"/>
        <v>-13663716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-5979904</v>
      </c>
      <c r="I21" s="38">
        <f>'TX-EGM-GL'!I21+'TX-HPLR-GL '!I21+'TX-HPLC-GL'!I21</f>
        <v>-13705316</v>
      </c>
      <c r="J21" s="60">
        <f>'TX-EGM-GL'!J21+'TX-HPLR-GL '!J21+'TX-HPLC-GL'!J21</f>
        <v>5959267</v>
      </c>
      <c r="K21" s="38">
        <f>'TX-EGM-GL'!K21+'TX-HPLR-GL '!K21+'TX-HPLC-GL'!K21</f>
        <v>13662391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-5939267</v>
      </c>
      <c r="U21" s="38">
        <f>'TX-EGM-GL'!U21+'TX-HPLR-GL '!U21+'TX-HPLC-GL'!U21</f>
        <v>-13620791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4777</v>
      </c>
      <c r="E23" s="38">
        <f t="shared" si="3"/>
        <v>9778.5190000000002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4340</v>
      </c>
      <c r="I23" s="38">
        <f>'TX-EGM-GL'!I23+'TX-HPLR-GL '!I23+'TX-HPLC-GL'!I23</f>
        <v>8883.98</v>
      </c>
      <c r="J23" s="60">
        <f>'TX-EGM-GL'!J23+'TX-HPLR-GL '!J23+'TX-HPLC-GL'!J23</f>
        <v>422</v>
      </c>
      <c r="K23" s="38">
        <f>'TX-EGM-GL'!K23+'TX-HPLR-GL '!K23+'TX-HPLC-GL'!K23</f>
        <v>863.83399999999995</v>
      </c>
      <c r="L23" s="60">
        <f>'TX-EGM-GL'!L23+'TX-HPLR-GL '!L23+'TX-HPLC-GL'!L23</f>
        <v>15</v>
      </c>
      <c r="M23" s="38">
        <f>'TX-EGM-GL'!M23+'TX-HPLR-GL '!M23+'TX-HPLC-GL'!M23</f>
        <v>30.704999999999998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4">SUM(D19:D23)</f>
        <v>-53535864</v>
      </c>
      <c r="E24" s="39">
        <f t="shared" si="4"/>
        <v>-110268200.59100001</v>
      </c>
      <c r="F24" s="61">
        <f t="shared" si="4"/>
        <v>0</v>
      </c>
      <c r="G24" s="39">
        <f t="shared" si="4"/>
        <v>2184595.73</v>
      </c>
      <c r="H24" s="61">
        <f t="shared" si="4"/>
        <v>-53005570</v>
      </c>
      <c r="I24" s="39">
        <f t="shared" si="4"/>
        <v>-111402747.36999999</v>
      </c>
      <c r="J24" s="61">
        <f t="shared" si="4"/>
        <v>2567757</v>
      </c>
      <c r="K24" s="39">
        <f t="shared" si="4"/>
        <v>8058605.8539999994</v>
      </c>
      <c r="L24" s="61">
        <f t="shared" si="4"/>
        <v>3724018</v>
      </c>
      <c r="M24" s="39">
        <f t="shared" si="4"/>
        <v>7530329.5750000002</v>
      </c>
      <c r="N24" s="61">
        <f t="shared" ref="N24:S24" si="5">SUM(N19:N23)</f>
        <v>-1306593</v>
      </c>
      <c r="O24" s="39">
        <f t="shared" si="5"/>
        <v>-1521594.87</v>
      </c>
      <c r="P24" s="61">
        <f t="shared" si="5"/>
        <v>116662</v>
      </c>
      <c r="Q24" s="39">
        <f t="shared" si="5"/>
        <v>-914838.12999999989</v>
      </c>
      <c r="R24" s="61">
        <f t="shared" si="5"/>
        <v>217059</v>
      </c>
      <c r="S24" s="39">
        <f t="shared" si="5"/>
        <v>-775503.87000000011</v>
      </c>
      <c r="T24" s="61">
        <f t="shared" si="4"/>
        <v>-5917857</v>
      </c>
      <c r="U24" s="39">
        <f t="shared" si="4"/>
        <v>-13574750</v>
      </c>
      <c r="V24" s="61">
        <f t="shared" si="4"/>
        <v>0</v>
      </c>
      <c r="W24" s="39">
        <f t="shared" si="4"/>
        <v>-10671.779999999999</v>
      </c>
      <c r="X24" s="61">
        <f t="shared" si="4"/>
        <v>4634</v>
      </c>
      <c r="Y24" s="39">
        <f t="shared" si="4"/>
        <v>23931.96</v>
      </c>
      <c r="Z24" s="61">
        <f t="shared" si="4"/>
        <v>64026</v>
      </c>
      <c r="AA24" s="39">
        <f t="shared" si="4"/>
        <v>134442.31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19893441</v>
      </c>
      <c r="E27" s="38">
        <f>SUM(G27,I27,K27,M27,O27,Q27,S27,U27,W27,Y27,AA27,AC27,AE27)</f>
        <v>45478979.299999997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11459381</v>
      </c>
      <c r="I27" s="38">
        <f>'TX-EGM-GL'!I27+'TX-HPLR-GL '!I27+'TX-HPLC-GL'!I27</f>
        <v>25690195.23</v>
      </c>
      <c r="J27" s="60">
        <f>'TX-EGM-GL'!J27+'TX-HPLR-GL '!J27+'TX-HPLC-GL'!J27</f>
        <v>8430049</v>
      </c>
      <c r="K27" s="38">
        <f>'TX-EGM-GL'!K27+'TX-HPLR-GL '!K27+'TX-HPLC-GL'!K27</f>
        <v>19779963.57</v>
      </c>
      <c r="L27" s="60">
        <f>'TX-EGM-GL'!L27+'TX-HPLR-GL '!L27+'TX-HPLC-GL'!L27</f>
        <v>316334</v>
      </c>
      <c r="M27" s="38">
        <f>'TX-EGM-GL'!M27+'TX-HPLR-GL '!M27+'TX-HPLC-GL'!M27</f>
        <v>753948.14</v>
      </c>
      <c r="N27" s="60">
        <f>'TX-EGM-GL'!N27+'TX-HPLR-GL '!N27+'TX-HPLC-GL'!N27</f>
        <v>61773</v>
      </c>
      <c r="O27" s="38">
        <f>'TX-EGM-GL'!O27+'TX-HPLR-GL '!O27+'TX-HPLC-GL'!O27</f>
        <v>146962.6</v>
      </c>
      <c r="P27" s="60">
        <f>'TX-EGM-GL'!P27+'TX-HPLR-GL '!P27+'TX-HPLC-GL'!P27</f>
        <v>-23409</v>
      </c>
      <c r="Q27" s="38">
        <f>'TX-EGM-GL'!Q27+'TX-HPLR-GL '!Q27+'TX-HPLC-GL'!Q27</f>
        <v>-358949.44</v>
      </c>
      <c r="R27" s="60">
        <f>'TX-EGM-GL'!R27+'TX-HPLR-GL '!R27+'TX-HPLC-GL'!R27</f>
        <v>-250769</v>
      </c>
      <c r="S27" s="38">
        <f>'TX-EGM-GL'!S27+'TX-HPLR-GL '!S27+'TX-HPLC-GL'!S27</f>
        <v>-283341.31</v>
      </c>
      <c r="T27" s="60">
        <f>'TX-EGM-GL'!T27+'TX-HPLR-GL '!T27+'TX-HPLC-GL'!T27</f>
        <v>-104537</v>
      </c>
      <c r="U27" s="38">
        <f>'TX-EGM-GL'!U27+'TX-HPLR-GL '!U27+'TX-HPLC-GL'!U27</f>
        <v>-262802.96999999997</v>
      </c>
      <c r="V27" s="60">
        <f>'TX-EGM-GL'!V27+'TX-HPLR-GL '!V27+'TX-HPLC-GL'!V27</f>
        <v>68488</v>
      </c>
      <c r="W27" s="38">
        <f>'TX-EGM-GL'!W27+'TX-HPLR-GL '!W27+'TX-HPLC-GL'!W27</f>
        <v>144506.54999999999</v>
      </c>
      <c r="X27" s="60">
        <f>'TX-EGM-GL'!X27+'TX-HPLR-GL '!X27+'TX-HPLC-GL'!X27</f>
        <v>-63989</v>
      </c>
      <c r="Y27" s="38">
        <f>'TX-EGM-GL'!Y27+'TX-HPLR-GL '!Y27+'TX-HPLC-GL'!Y27</f>
        <v>-131734.57999999999</v>
      </c>
      <c r="Z27" s="60">
        <f>'TX-EGM-GL'!Z27+'TX-HPLR-GL '!Z27+'TX-HPLC-GL'!Z27</f>
        <v>120</v>
      </c>
      <c r="AA27" s="38">
        <f>'TX-EGM-GL'!AA27+'TX-HPLR-GL '!AA27+'TX-HPLC-GL'!AA27</f>
        <v>231.51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-19499892</v>
      </c>
      <c r="E28" s="38">
        <f>SUM(G28,I28,K28,M28,O28,Q28,S28,U28,W28,Y28,AA28,AC28,AE28)</f>
        <v>-44584864.989999995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-10944235</v>
      </c>
      <c r="I28" s="38">
        <f>'TX-EGM-GL'!I28+'TX-HPLR-GL '!I28+'TX-HPLC-GL'!I28</f>
        <v>-24512903.690000001</v>
      </c>
      <c r="J28" s="60">
        <f>'TX-EGM-GL'!J28+'TX-HPLR-GL '!J28+'TX-HPLC-GL'!J28</f>
        <v>-8688511</v>
      </c>
      <c r="K28" s="38">
        <f>'TX-EGM-GL'!K28+'TX-HPLR-GL '!K28+'TX-HPLC-GL'!K28</f>
        <v>-20386512.040000003</v>
      </c>
      <c r="L28" s="60">
        <f>'TX-EGM-GL'!L28+'TX-HPLR-GL '!L28+'TX-HPLC-GL'!L28</f>
        <v>-235817</v>
      </c>
      <c r="M28" s="38">
        <f>'TX-EGM-GL'!M28+'TX-HPLR-GL '!M28+'TX-HPLC-GL'!M28</f>
        <v>-559757.93000000005</v>
      </c>
      <c r="N28" s="60">
        <f>'TX-EGM-GL'!N28+'TX-HPLR-GL '!N28+'TX-HPLC-GL'!N28</f>
        <v>143215</v>
      </c>
      <c r="O28" s="38">
        <f>'TX-EGM-GL'!O28+'TX-HPLR-GL '!O28+'TX-HPLC-GL'!O28</f>
        <v>338868.08</v>
      </c>
      <c r="P28" s="60">
        <f>'TX-EGM-GL'!P28+'TX-HPLR-GL '!P28+'TX-HPLC-GL'!P28</f>
        <v>64154</v>
      </c>
      <c r="Q28" s="38">
        <f>'TX-EGM-GL'!Q28+'TX-HPLR-GL '!Q28+'TX-HPLC-GL'!Q28</f>
        <v>-188274.37</v>
      </c>
      <c r="R28" s="60">
        <f>'TX-EGM-GL'!R28+'TX-HPLR-GL '!R28+'TX-HPLC-GL'!R28</f>
        <v>111779</v>
      </c>
      <c r="S28" s="38">
        <f>'TX-EGM-GL'!S28+'TX-HPLR-GL '!S28+'TX-HPLC-GL'!S28</f>
        <v>597140.09000000008</v>
      </c>
      <c r="T28" s="60">
        <f>'TX-EGM-GL'!T28+'TX-HPLR-GL '!T28+'TX-HPLC-GL'!T28</f>
        <v>19479</v>
      </c>
      <c r="U28" s="38">
        <f>'TX-EGM-GL'!U28+'TX-HPLR-GL '!U28+'TX-HPLC-GL'!U28</f>
        <v>57790.380000000005</v>
      </c>
      <c r="V28" s="60">
        <f>'TX-EGM-GL'!V28+'TX-HPLR-GL '!V28+'TX-HPLC-GL'!V28</f>
        <v>-68488</v>
      </c>
      <c r="W28" s="38">
        <f>'TX-EGM-GL'!W28+'TX-HPLR-GL '!W28+'TX-HPLC-GL'!W28</f>
        <v>-144506.54999999999</v>
      </c>
      <c r="X28" s="60">
        <f>'TX-EGM-GL'!X28+'TX-HPLR-GL '!X28+'TX-HPLC-GL'!X28</f>
        <v>68518</v>
      </c>
      <c r="Y28" s="38">
        <f>'TX-EGM-GL'!Y28+'TX-HPLR-GL '!Y28+'TX-HPLC-GL'!Y28</f>
        <v>142306.94</v>
      </c>
      <c r="Z28" s="60">
        <f>'TX-EGM-GL'!Z28+'TX-HPLR-GL '!Z28+'TX-HPLC-GL'!Z28</f>
        <v>30014</v>
      </c>
      <c r="AA28" s="38">
        <f>'TX-EGM-GL'!AA28+'TX-HPLR-GL '!AA28+'TX-HPLC-GL'!AA28</f>
        <v>70984.100000000006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393549</v>
      </c>
      <c r="E29" s="39">
        <f t="shared" si="6"/>
        <v>894114.31000000238</v>
      </c>
      <c r="F29" s="61">
        <f t="shared" si="6"/>
        <v>0</v>
      </c>
      <c r="G29" s="39">
        <f t="shared" si="6"/>
        <v>0</v>
      </c>
      <c r="H29" s="61">
        <f t="shared" si="6"/>
        <v>515146</v>
      </c>
      <c r="I29" s="39">
        <f t="shared" si="6"/>
        <v>1177291.5399999991</v>
      </c>
      <c r="J29" s="61">
        <f t="shared" si="6"/>
        <v>-258462</v>
      </c>
      <c r="K29" s="39">
        <f t="shared" si="6"/>
        <v>-606548.47000000253</v>
      </c>
      <c r="L29" s="61">
        <f t="shared" si="6"/>
        <v>80517</v>
      </c>
      <c r="M29" s="39">
        <f t="shared" si="6"/>
        <v>194190.20999999996</v>
      </c>
      <c r="N29" s="61">
        <f t="shared" ref="N29:S29" si="7">SUM(N27:N28)</f>
        <v>204988</v>
      </c>
      <c r="O29" s="39">
        <f t="shared" si="7"/>
        <v>485830.68000000005</v>
      </c>
      <c r="P29" s="61">
        <f t="shared" si="7"/>
        <v>40745</v>
      </c>
      <c r="Q29" s="39">
        <f t="shared" si="7"/>
        <v>-547223.81000000006</v>
      </c>
      <c r="R29" s="61">
        <f t="shared" si="7"/>
        <v>-138990</v>
      </c>
      <c r="S29" s="39">
        <f t="shared" si="7"/>
        <v>313798.78000000009</v>
      </c>
      <c r="T29" s="61">
        <f t="shared" si="6"/>
        <v>-85058</v>
      </c>
      <c r="U29" s="39">
        <f t="shared" si="6"/>
        <v>-205012.58999999997</v>
      </c>
      <c r="V29" s="61">
        <f t="shared" si="6"/>
        <v>0</v>
      </c>
      <c r="W29" s="39">
        <f t="shared" si="6"/>
        <v>0</v>
      </c>
      <c r="X29" s="61">
        <f t="shared" si="6"/>
        <v>4529</v>
      </c>
      <c r="Y29" s="39">
        <f t="shared" si="6"/>
        <v>10572.360000000015</v>
      </c>
      <c r="Z29" s="61">
        <f t="shared" si="6"/>
        <v>30134</v>
      </c>
      <c r="AA29" s="39">
        <f t="shared" si="6"/>
        <v>71215.61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-615234</v>
      </c>
      <c r="E32" s="38">
        <f t="shared" si="8"/>
        <v>-1259385.605999999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-7927979</v>
      </c>
      <c r="I32" s="38">
        <f>'TX-EGM-GL'!I32+'TX-HPLR-GL '!I32+'TX-HPLC-GL'!I32</f>
        <v>-16228573.013</v>
      </c>
      <c r="J32" s="60">
        <f>'TX-EGM-GL'!J32+'TX-HPLR-GL '!J32+'TX-HPLC-GL'!J32</f>
        <v>8292978</v>
      </c>
      <c r="K32" s="38">
        <f>'TX-EGM-GL'!K32+'TX-HPLR-GL '!K32+'TX-HPLC-GL'!K32</f>
        <v>16975725.938000001</v>
      </c>
      <c r="L32" s="60">
        <f>'TX-EGM-GL'!L32+'TX-HPLR-GL '!L32+'TX-HPLC-GL'!L32</f>
        <v>-495359</v>
      </c>
      <c r="M32" s="38">
        <f>'TX-EGM-GL'!M32+'TX-HPLR-GL '!M32+'TX-HPLC-GL'!M32</f>
        <v>-1014000.335</v>
      </c>
      <c r="N32" s="60">
        <f>'TX-EGM-GL'!N32+'TX-HPLR-GL '!N32+'TX-HPLC-GL'!N32</f>
        <v>-354164</v>
      </c>
      <c r="O32" s="38">
        <f>'TX-EGM-GL'!O32+'TX-HPLR-GL '!O32+'TX-HPLC-GL'!O32</f>
        <v>-724973.49399999995</v>
      </c>
      <c r="P32" s="60">
        <f>'TX-EGM-GL'!P32+'TX-HPLR-GL '!P32+'TX-HPLC-GL'!P32</f>
        <v>-57255</v>
      </c>
      <c r="Q32" s="38">
        <f>'TX-EGM-GL'!Q32+'TX-HPLR-GL '!Q32+'TX-HPLC-GL'!Q32</f>
        <v>-117201.15300000001</v>
      </c>
      <c r="R32" s="60">
        <f>'TX-EGM-GL'!R32+'TX-HPLR-GL '!R32+'TX-HPLC-GL'!R32</f>
        <v>141685</v>
      </c>
      <c r="S32" s="38">
        <f>'TX-EGM-GL'!S32+'TX-HPLR-GL '!S32+'TX-HPLC-GL'!S32</f>
        <v>290028.88</v>
      </c>
      <c r="T32" s="60">
        <f>'TX-EGM-GL'!T32+'TX-HPLR-GL '!T32+'TX-HPLC-GL'!T32</f>
        <v>-215141</v>
      </c>
      <c r="U32" s="38">
        <f>'TX-EGM-GL'!U32+'TX-HPLR-GL '!U32+'TX-HPLC-GL'!U32</f>
        <v>-440393.97899999999</v>
      </c>
      <c r="V32" s="60">
        <f>'TX-EGM-GL'!V32+'TX-HPLR-GL '!V32+'TX-HPLC-GL'!V32</f>
        <v>-57975</v>
      </c>
      <c r="W32" s="38">
        <f>'TX-EGM-GL'!W32+'TX-HPLR-GL '!W32+'TX-HPLC-GL'!W32</f>
        <v>-118674.82</v>
      </c>
      <c r="X32" s="60">
        <f>'TX-EGM-GL'!X32+'TX-HPLR-GL '!X32+'TX-HPLC-GL'!X32</f>
        <v>65117</v>
      </c>
      <c r="Y32" s="38">
        <f>'TX-EGM-GL'!Y32+'TX-HPLR-GL '!Y32+'TX-HPLC-GL'!Y32</f>
        <v>133294</v>
      </c>
      <c r="Z32" s="60">
        <f>'TX-EGM-GL'!Z32+'TX-HPLR-GL '!Z32+'TX-HPLC-GL'!Z32</f>
        <v>-7141</v>
      </c>
      <c r="AA32" s="38">
        <f>'TX-EGM-GL'!AA32+'TX-HPLR-GL '!AA32+'TX-HPLC-GL'!AA32</f>
        <v>-14617.63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9">SUM(D32:D35)</f>
        <v>-615234</v>
      </c>
      <c r="E36" s="39">
        <f t="shared" si="9"/>
        <v>-1259385.605999999</v>
      </c>
      <c r="F36" s="61">
        <f t="shared" si="9"/>
        <v>0</v>
      </c>
      <c r="G36" s="39">
        <f t="shared" si="9"/>
        <v>0</v>
      </c>
      <c r="H36" s="61">
        <f t="shared" si="9"/>
        <v>-7927979</v>
      </c>
      <c r="I36" s="39">
        <f t="shared" si="9"/>
        <v>-16228573.013</v>
      </c>
      <c r="J36" s="61">
        <f t="shared" si="9"/>
        <v>8292978</v>
      </c>
      <c r="K36" s="39">
        <f t="shared" si="9"/>
        <v>16975725.938000001</v>
      </c>
      <c r="L36" s="61">
        <f t="shared" si="9"/>
        <v>-495359</v>
      </c>
      <c r="M36" s="39">
        <f t="shared" si="9"/>
        <v>-1014000.335</v>
      </c>
      <c r="N36" s="61">
        <f t="shared" ref="N36:S36" si="10">SUM(N32:N35)</f>
        <v>-354164</v>
      </c>
      <c r="O36" s="39">
        <f t="shared" si="10"/>
        <v>-724973.49399999995</v>
      </c>
      <c r="P36" s="61">
        <f t="shared" si="10"/>
        <v>-57255</v>
      </c>
      <c r="Q36" s="39">
        <f t="shared" si="10"/>
        <v>-117201.15300000001</v>
      </c>
      <c r="R36" s="61">
        <f t="shared" si="10"/>
        <v>141685</v>
      </c>
      <c r="S36" s="39">
        <f t="shared" si="10"/>
        <v>290028.88</v>
      </c>
      <c r="T36" s="61">
        <f t="shared" si="9"/>
        <v>-215141</v>
      </c>
      <c r="U36" s="39">
        <f t="shared" si="9"/>
        <v>-440393.97899999999</v>
      </c>
      <c r="V36" s="61">
        <f t="shared" si="9"/>
        <v>-57975</v>
      </c>
      <c r="W36" s="39">
        <f t="shared" si="9"/>
        <v>-118674.82</v>
      </c>
      <c r="X36" s="61">
        <f t="shared" si="9"/>
        <v>65117</v>
      </c>
      <c r="Y36" s="39">
        <f t="shared" si="9"/>
        <v>133294</v>
      </c>
      <c r="Z36" s="61">
        <f t="shared" si="9"/>
        <v>-7141</v>
      </c>
      <c r="AA36" s="39">
        <f t="shared" si="9"/>
        <v>-14617.63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-6432243</v>
      </c>
      <c r="E40" s="38">
        <f t="shared" si="11"/>
        <v>-14542777.159999998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-63000</v>
      </c>
      <c r="I40" s="38">
        <f>'TX-EGM-GL'!I40+'TX-HPLR-GL '!I40+'TX-HPLC-GL'!I40</f>
        <v>-136177.82999999999</v>
      </c>
      <c r="J40" s="60">
        <f>'TX-EGM-GL'!J40+'TX-HPLR-GL '!J40+'TX-HPLC-GL'!J40</f>
        <v>-6369243</v>
      </c>
      <c r="K40" s="38">
        <f>'TX-EGM-GL'!K40+'TX-HPLR-GL '!K40+'TX-HPLC-GL'!K40</f>
        <v>-15557844.289999999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3832</v>
      </c>
      <c r="O40" s="38">
        <f>'TX-EGM-GL'!O40+'TX-HPLR-GL '!O40+'TX-HPLC-GL'!O40</f>
        <v>39671.18</v>
      </c>
      <c r="P40" s="60">
        <f>'TX-EGM-GL'!P40+'TX-HPLR-GL '!P40+'TX-HPLC-GL'!P40</f>
        <v>-3832</v>
      </c>
      <c r="Q40" s="38">
        <f>'TX-EGM-GL'!Q40+'TX-HPLR-GL '!Q40+'TX-HPLC-GL'!Q40</f>
        <v>-8719</v>
      </c>
      <c r="R40" s="60">
        <f>'TX-EGM-GL'!R40+'TX-HPLR-GL '!R40+'TX-HPLC-GL'!R40</f>
        <v>0</v>
      </c>
      <c r="S40" s="38">
        <f>'TX-EGM-GL'!S40+'TX-HPLR-GL '!S40+'TX-HPLC-GL'!S40</f>
        <v>1119178.55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1114.23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-601620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-601620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12">SUM(D40:D41)</f>
        <v>-6432243</v>
      </c>
      <c r="E42" s="39">
        <f t="shared" si="12"/>
        <v>-15144397.159999998</v>
      </c>
      <c r="F42" s="61">
        <f t="shared" si="12"/>
        <v>0</v>
      </c>
      <c r="G42" s="39">
        <f t="shared" si="12"/>
        <v>-601620</v>
      </c>
      <c r="H42" s="61">
        <f t="shared" si="12"/>
        <v>-63000</v>
      </c>
      <c r="I42" s="39">
        <f t="shared" si="12"/>
        <v>-136177.82999999999</v>
      </c>
      <c r="J42" s="61">
        <f t="shared" si="12"/>
        <v>-6369243</v>
      </c>
      <c r="K42" s="39">
        <f t="shared" si="12"/>
        <v>-15557844.289999999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3832</v>
      </c>
      <c r="O42" s="39">
        <f t="shared" si="13"/>
        <v>39671.18</v>
      </c>
      <c r="P42" s="61">
        <f t="shared" si="13"/>
        <v>-3832</v>
      </c>
      <c r="Q42" s="39">
        <f t="shared" si="13"/>
        <v>-8719</v>
      </c>
      <c r="R42" s="61">
        <f t="shared" si="13"/>
        <v>0</v>
      </c>
      <c r="S42" s="39">
        <f t="shared" si="13"/>
        <v>1119178.55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1114.23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14">D42+D39</f>
        <v>-6432243</v>
      </c>
      <c r="E43" s="39">
        <f t="shared" si="14"/>
        <v>-15144397.159999998</v>
      </c>
      <c r="F43" s="61">
        <f t="shared" si="14"/>
        <v>0</v>
      </c>
      <c r="G43" s="39">
        <f t="shared" si="14"/>
        <v>-601620</v>
      </c>
      <c r="H43" s="61">
        <f t="shared" si="14"/>
        <v>-63000</v>
      </c>
      <c r="I43" s="39">
        <f t="shared" si="14"/>
        <v>-136177.82999999999</v>
      </c>
      <c r="J43" s="61">
        <f t="shared" si="14"/>
        <v>-6369243</v>
      </c>
      <c r="K43" s="39">
        <f t="shared" si="14"/>
        <v>-15557844.289999999</v>
      </c>
      <c r="L43" s="61">
        <f t="shared" si="14"/>
        <v>0</v>
      </c>
      <c r="M43" s="39">
        <f t="shared" si="14"/>
        <v>0</v>
      </c>
      <c r="N43" s="61">
        <f t="shared" ref="N43:S43" si="15">N42+N39</f>
        <v>3832</v>
      </c>
      <c r="O43" s="39">
        <f t="shared" si="15"/>
        <v>39671.18</v>
      </c>
      <c r="P43" s="61">
        <f t="shared" si="15"/>
        <v>-3832</v>
      </c>
      <c r="Q43" s="39">
        <f t="shared" si="15"/>
        <v>-8719</v>
      </c>
      <c r="R43" s="61">
        <f t="shared" si="15"/>
        <v>0</v>
      </c>
      <c r="S43" s="39">
        <f t="shared" si="15"/>
        <v>1119178.55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1114.23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16109.33</v>
      </c>
      <c r="N47" s="60">
        <f>'TX-EGM-GL'!N47+'TX-HPLR-GL '!N47+'TX-HPLC-GL'!N47</f>
        <v>0</v>
      </c>
      <c r="O47" s="38">
        <f>'TX-EGM-GL'!O47+'TX-HPLR-GL '!O47+'TX-HPLC-GL'!O47</f>
        <v>135976.66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999786</v>
      </c>
      <c r="E49" s="38">
        <f>SUM(G49,I49,K49,M49,O49,Q49,S49,U49,W49,Y49,AA49,AC49,AE49)</f>
        <v>2046574.2289999989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3412448</v>
      </c>
      <c r="I49" s="38">
        <f>'TX-EGM-GL'!I49+'TX-HPLR-GL '!I49+'TX-HPLC-GL'!I49</f>
        <v>6985281.2989999996</v>
      </c>
      <c r="J49" s="60">
        <f>'TX-EGM-GL'!J49+'TX-HPLR-GL '!J49+'TX-HPLC-GL'!J49</f>
        <v>-3215048</v>
      </c>
      <c r="K49" s="38">
        <f>'TX-EGM-GL'!K49+'TX-HPLR-GL '!K49+'TX-HPLC-GL'!K49</f>
        <v>-6581203.1330000004</v>
      </c>
      <c r="L49" s="60">
        <f>'TX-EGM-GL'!L49+'TX-HPLR-GL '!L49+'TX-HPLC-GL'!L49</f>
        <v>-211709</v>
      </c>
      <c r="M49" s="38">
        <f>'TX-EGM-GL'!M49+'TX-HPLR-GL '!M49+'TX-HPLC-GL'!M49</f>
        <v>-433368</v>
      </c>
      <c r="N49" s="60">
        <f>'TX-EGM-GL'!N49+'TX-HPLR-GL '!N49+'TX-HPLC-GL'!N49</f>
        <v>841575</v>
      </c>
      <c r="O49" s="38">
        <f>'TX-EGM-GL'!O49+'TX-HPLR-GL '!O49+'TX-HPLC-GL'!O49</f>
        <v>1722703.872</v>
      </c>
      <c r="P49" s="60">
        <f>'TX-EGM-GL'!P49+'TX-HPLR-GL '!P49+'TX-HPLC-GL'!P49</f>
        <v>-181629</v>
      </c>
      <c r="Q49" s="38">
        <f>'TX-EGM-GL'!Q49+'TX-HPLR-GL '!Q49+'TX-HPLC-GL'!Q49</f>
        <v>-371794.87199999997</v>
      </c>
      <c r="R49" s="60">
        <f>'TX-EGM-GL'!R49+'TX-HPLR-GL '!R49+'TX-HPLC-GL'!R49</f>
        <v>-248965</v>
      </c>
      <c r="S49" s="38">
        <f>'TX-EGM-GL'!S49+'TX-HPLR-GL '!S49+'TX-HPLC-GL'!S49</f>
        <v>-509631</v>
      </c>
      <c r="T49" s="60">
        <f>'TX-EGM-GL'!T49+'TX-HPLR-GL '!T49+'TX-HPLC-GL'!T49</f>
        <v>705608</v>
      </c>
      <c r="U49" s="38">
        <f>'TX-EGM-GL'!U49+'TX-HPLR-GL '!U49+'TX-HPLC-GL'!U49</f>
        <v>1444379.1129999999</v>
      </c>
      <c r="V49" s="60">
        <f>'TX-EGM-GL'!V49+'TX-HPLR-GL '!V49+'TX-HPLC-GL'!V49</f>
        <v>-10521</v>
      </c>
      <c r="W49" s="38">
        <f>'TX-EGM-GL'!W49+'TX-HPLR-GL '!W49+'TX-HPLC-GL'!W49</f>
        <v>-21536.489999999998</v>
      </c>
      <c r="X49" s="60">
        <f>'TX-EGM-GL'!X49+'TX-HPLR-GL '!X49+'TX-HPLC-GL'!X49</f>
        <v>-4954</v>
      </c>
      <c r="Y49" s="38">
        <f>'TX-EGM-GL'!Y49+'TX-HPLR-GL '!Y49+'TX-HPLC-GL'!Y49</f>
        <v>-10140.709999999999</v>
      </c>
      <c r="Z49" s="60">
        <f>'TX-EGM-GL'!Z49+'TX-HPLR-GL '!Z49+'TX-HPLC-GL'!Z49</f>
        <v>-87019</v>
      </c>
      <c r="AA49" s="38">
        <f>'TX-EGM-GL'!AA49+'TX-HPLR-GL '!AA49+'TX-HPLC-GL'!AA49</f>
        <v>-178115.84999999998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-4340</v>
      </c>
      <c r="I51" s="38">
        <f>'TX-EGM-GL'!I51+'TX-HPLR-GL '!I51+'TX-HPLC-GL'!I51</f>
        <v>-8883.98</v>
      </c>
      <c r="J51" s="60">
        <f>'TX-EGM-GL'!J51+'TX-HPLR-GL '!J51+'TX-HPLC-GL'!J51</f>
        <v>-422</v>
      </c>
      <c r="K51" s="38">
        <f>'TX-EGM-GL'!K51+'TX-HPLR-GL '!K51+'TX-HPLC-GL'!K51</f>
        <v>-863.83399999999995</v>
      </c>
      <c r="L51" s="60">
        <f>'TX-EGM-GL'!L51+'TX-HPLR-GL '!L51+'TX-HPLC-GL'!L51</f>
        <v>-15</v>
      </c>
      <c r="M51" s="38">
        <f>'TX-EGM-GL'!M51+'TX-HPLR-GL '!M51+'TX-HPLC-GL'!M51</f>
        <v>-30.704999999999998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-15151687</v>
      </c>
      <c r="E54" s="38">
        <f>SUM(G54,I54,K54,M54,O54,Q54,S54,U54,W54,Y54,AA54,AC54,AE54)</f>
        <v>-2513110.6199999996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-2044404</v>
      </c>
      <c r="H54" s="60">
        <f>'TX-EGM-GL'!H54+'TX-HPLR-GL '!H54+'TX-HPLC-GL'!H54</f>
        <v>-5624651</v>
      </c>
      <c r="I54" s="38">
        <f>'TX-EGM-GL'!I54+'TX-HPLR-GL '!I54+'TX-HPLC-GL'!I54</f>
        <v>-202685.16999999998</v>
      </c>
      <c r="J54" s="60">
        <f>'TX-EGM-GL'!J54+'TX-HPLR-GL '!J54+'TX-HPLC-GL'!J54</f>
        <v>-9027895</v>
      </c>
      <c r="K54" s="38">
        <f>'TX-EGM-GL'!K54+'TX-HPLR-GL '!K54+'TX-HPLC-GL'!K54</f>
        <v>-262850.27</v>
      </c>
      <c r="L54" s="60">
        <f>'TX-EGM-GL'!L54+'TX-HPLR-GL '!L54+'TX-HPLC-GL'!L54</f>
        <v>-98996</v>
      </c>
      <c r="M54" s="38">
        <f>'TX-EGM-GL'!M54+'TX-HPLR-GL '!M54+'TX-HPLC-GL'!M54</f>
        <v>2845.21</v>
      </c>
      <c r="N54" s="60">
        <f>'TX-EGM-GL'!N54+'TX-HPLR-GL '!N54+'TX-HPLC-GL'!N54</f>
        <v>24</v>
      </c>
      <c r="O54" s="38">
        <f>'TX-EGM-GL'!O54+'TX-HPLR-GL '!O54+'TX-HPLC-GL'!O54</f>
        <v>-5005.51</v>
      </c>
      <c r="P54" s="60">
        <f>'TX-EGM-GL'!P54+'TX-HPLR-GL '!P54+'TX-HPLC-GL'!P54</f>
        <v>30385</v>
      </c>
      <c r="Q54" s="38">
        <f>'TX-EGM-GL'!Q54+'TX-HPLR-GL '!Q54+'TX-HPLC-GL'!Q54</f>
        <v>7470.81</v>
      </c>
      <c r="R54" s="60">
        <f>'TX-EGM-GL'!R54+'TX-HPLR-GL '!R54+'TX-HPLC-GL'!R54</f>
        <v>-18469</v>
      </c>
      <c r="S54" s="38">
        <f>'TX-EGM-GL'!S54+'TX-HPLR-GL '!S54+'TX-HPLC-GL'!S54</f>
        <v>-439.30999999999995</v>
      </c>
      <c r="T54" s="60">
        <f>'TX-EGM-GL'!T54+'TX-HPLR-GL '!T54+'TX-HPLC-GL'!T54</f>
        <v>0</v>
      </c>
      <c r="U54" s="38">
        <f>'TX-EGM-GL'!U54+'TX-HPLR-GL '!U54+'TX-HPLC-GL'!U54</f>
        <v>3.73</v>
      </c>
      <c r="V54" s="60">
        <f>'TX-EGM-GL'!V54+'TX-HPLR-GL '!V54+'TX-HPLC-GL'!V54</f>
        <v>525292</v>
      </c>
      <c r="W54" s="38">
        <f>'TX-EGM-GL'!W54+'TX-HPLR-GL '!W54+'TX-HPLC-GL'!W54</f>
        <v>599.27</v>
      </c>
      <c r="X54" s="60">
        <f>'TX-EGM-GL'!X54+'TX-HPLR-GL '!X54+'TX-HPLC-GL'!X54</f>
        <v>-907754</v>
      </c>
      <c r="Y54" s="38">
        <f>'TX-EGM-GL'!Y54+'TX-HPLR-GL '!Y54+'TX-HPLC-GL'!Y54</f>
        <v>-8589.2799999999988</v>
      </c>
      <c r="Z54" s="60">
        <f>'TX-EGM-GL'!Z54+'TX-HPLR-GL '!Z54+'TX-HPLC-GL'!Z54</f>
        <v>-29623</v>
      </c>
      <c r="AA54" s="38">
        <f>'TX-EGM-GL'!AA54+'TX-HPLR-GL '!AA54+'TX-HPLC-GL'!AA54</f>
        <v>-56.099999999999994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-1</v>
      </c>
      <c r="E55" s="38">
        <f>SUM(G55,I55,K55,M55,O55,Q55,S55,U55,W55,Y55,AA55,AC55,AE55)</f>
        <v>-140301.10999999999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-236984</v>
      </c>
      <c r="J55" s="60">
        <f>'TX-EGM-GL'!J55+'TX-HPLR-GL '!J55+'TX-HPLC-GL'!J55</f>
        <v>0</v>
      </c>
      <c r="K55" s="38">
        <f>'TX-EGM-GL'!K55+'TX-HPLR-GL '!K55+'TX-HPLC-GL'!K55</f>
        <v>92916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768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2998.89</v>
      </c>
      <c r="X55" s="60">
        <f>'TX-EGM-GL'!X55+'TX-HPLR-GL '!X55+'TX-HPLC-GL'!X55</f>
        <v>-1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6">SUM(D54:D55)</f>
        <v>-15151688</v>
      </c>
      <c r="E56" s="39">
        <f t="shared" si="16"/>
        <v>-2653411.7299999995</v>
      </c>
      <c r="F56" s="61">
        <f t="shared" si="16"/>
        <v>0</v>
      </c>
      <c r="G56" s="39">
        <f t="shared" si="16"/>
        <v>-2044404</v>
      </c>
      <c r="H56" s="61">
        <f t="shared" si="16"/>
        <v>-5624651</v>
      </c>
      <c r="I56" s="39">
        <f t="shared" si="16"/>
        <v>-439669.17</v>
      </c>
      <c r="J56" s="61">
        <f t="shared" si="16"/>
        <v>-9027895</v>
      </c>
      <c r="K56" s="39">
        <f t="shared" si="16"/>
        <v>-169934.27000000002</v>
      </c>
      <c r="L56" s="61">
        <f t="shared" si="16"/>
        <v>-98996</v>
      </c>
      <c r="M56" s="39">
        <f t="shared" si="16"/>
        <v>2845.21</v>
      </c>
      <c r="N56" s="61">
        <f t="shared" ref="N56:S56" si="17">SUM(N54:N55)</f>
        <v>24</v>
      </c>
      <c r="O56" s="39">
        <f t="shared" si="17"/>
        <v>-4237.51</v>
      </c>
      <c r="P56" s="61">
        <f t="shared" si="17"/>
        <v>30385</v>
      </c>
      <c r="Q56" s="39">
        <f t="shared" si="17"/>
        <v>7470.81</v>
      </c>
      <c r="R56" s="61">
        <f t="shared" si="17"/>
        <v>-18469</v>
      </c>
      <c r="S56" s="39">
        <f t="shared" si="17"/>
        <v>-439.30999999999995</v>
      </c>
      <c r="T56" s="61">
        <f t="shared" si="16"/>
        <v>0</v>
      </c>
      <c r="U56" s="39">
        <f t="shared" si="16"/>
        <v>3.73</v>
      </c>
      <c r="V56" s="61">
        <f t="shared" si="16"/>
        <v>525292</v>
      </c>
      <c r="W56" s="39">
        <f t="shared" si="16"/>
        <v>3598.16</v>
      </c>
      <c r="X56" s="61">
        <f t="shared" si="16"/>
        <v>-907755</v>
      </c>
      <c r="Y56" s="39">
        <f t="shared" si="16"/>
        <v>-8589.2799999999988</v>
      </c>
      <c r="Z56" s="61">
        <f t="shared" si="16"/>
        <v>-29623</v>
      </c>
      <c r="AA56" s="39">
        <f t="shared" si="16"/>
        <v>-56.099999999999994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243791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243791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243791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-23642.34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10000</v>
      </c>
      <c r="H64" s="60">
        <f>'TX-EGM-GL'!H64+'TX-HPLR-GL '!H64+'TX-HPLC-GL'!H64</f>
        <v>0</v>
      </c>
      <c r="I64" s="38">
        <f>'TX-EGM-GL'!I64+'TX-HPLR-GL '!I64+'TX-HPLC-GL'!I64</f>
        <v>-10000</v>
      </c>
      <c r="J64" s="60">
        <f>'TX-EGM-GL'!J64+'TX-HPLR-GL '!J64+'TX-HPLC-GL'!J64</f>
        <v>0</v>
      </c>
      <c r="K64" s="38">
        <f>'TX-EGM-GL'!K64+'TX-HPLR-GL '!K64+'TX-HPLC-GL'!K64</f>
        <v>-1870.69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0.23</v>
      </c>
      <c r="T64" s="60">
        <f>'TX-EGM-GL'!T64+'TX-HPLR-GL '!T64+'TX-HPLC-GL'!T64</f>
        <v>0</v>
      </c>
      <c r="U64" s="38">
        <f>'TX-EGM-GL'!U64+'TX-HPLR-GL '!U64+'TX-HPLC-GL'!U64</f>
        <v>-21771.88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-23642.34</v>
      </c>
      <c r="F66" s="61">
        <f t="shared" si="20"/>
        <v>0</v>
      </c>
      <c r="G66" s="39">
        <f t="shared" si="20"/>
        <v>10000</v>
      </c>
      <c r="H66" s="61">
        <f t="shared" si="20"/>
        <v>0</v>
      </c>
      <c r="I66" s="39">
        <f t="shared" si="20"/>
        <v>-10000</v>
      </c>
      <c r="J66" s="61">
        <f t="shared" si="20"/>
        <v>0</v>
      </c>
      <c r="K66" s="39">
        <f t="shared" si="20"/>
        <v>-1870.69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0.23</v>
      </c>
      <c r="T66" s="61">
        <f t="shared" si="20"/>
        <v>0</v>
      </c>
      <c r="U66" s="39">
        <f t="shared" si="20"/>
        <v>-21771.88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-739518.78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1210109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470590.22</v>
      </c>
      <c r="F72" s="61">
        <f t="shared" si="22"/>
        <v>0</v>
      </c>
      <c r="G72" s="39">
        <f t="shared" si="22"/>
        <v>470590.22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1577431.12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1077504.1200000001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499927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-875.02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-837.52</v>
      </c>
      <c r="J76" s="60">
        <f>'TX-EGM-GL'!J76+'TX-HPLR-GL '!J76+'TX-HPLC-GL'!J76</f>
        <v>0</v>
      </c>
      <c r="K76" s="38">
        <f>'TX-EGM-GL'!K76+'TX-HPLR-GL '!K76+'TX-HPLC-GL'!K76</f>
        <v>-37.5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11700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11700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-1000000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-1000000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311014.70299997396</v>
      </c>
      <c r="F82" s="91">
        <f>F16+F24+F29+F36+F43+F45+F47+F49</f>
        <v>0</v>
      </c>
      <c r="G82" s="92">
        <f>SUM(G72:G81)+G16+G24+G29+G36+G43+G45+G47+G49+G51+G56+G61+G66</f>
        <v>-8861146.7699999996</v>
      </c>
      <c r="H82" s="91">
        <f>H16+H24+H29+H36+H43+H45+H47+H49</f>
        <v>0</v>
      </c>
      <c r="I82" s="92">
        <f>SUM(I72:I81)+I16+I24+I29+I36+I43+I45+I47+I49+I51+I56+I61+I66</f>
        <v>9296081.0260000061</v>
      </c>
      <c r="J82" s="91">
        <f>J16+J24+J29+J36+J43+J45+J47+J49</f>
        <v>0</v>
      </c>
      <c r="K82" s="92">
        <f>SUM(K72:K81)+K16+K24+K29+K36+K43+K45+K47+K49+K51+K56+K61+K66</f>
        <v>-316142.27500000159</v>
      </c>
      <c r="L82" s="91">
        <f>L16+L24+L29+L36+L43+L45+L47+L49</f>
        <v>0</v>
      </c>
      <c r="M82" s="92">
        <f>SUM(M72:M81)+M16+M24+M29+M36+M43+M45+M47+M49+M51+M56+M61+M66</f>
        <v>-756047.58499999985</v>
      </c>
      <c r="N82" s="91">
        <f>N16+N24+N29+N36+N43+N45+N47+N49</f>
        <v>0</v>
      </c>
      <c r="O82" s="92">
        <f>SUM(O72:O81)+O16+O24+O29+O36+O43+O45+O47+O49+O51+O56+O61+O66</f>
        <v>207366.48799999966</v>
      </c>
      <c r="P82" s="91">
        <f>P16+P24+P29+P36+P43+P45+P47+P49</f>
        <v>0</v>
      </c>
      <c r="Q82" s="92">
        <f>SUM(Q72:Q81)+Q16+Q24+Q29+Q36+Q43+Q45+Q47+Q49+Q51+Q56+Q61+Q66</f>
        <v>115342.40500000014</v>
      </c>
      <c r="R82" s="91">
        <f>R16+R24+R29+R36+R43+R45+R47+R49</f>
        <v>0</v>
      </c>
      <c r="S82" s="92">
        <f>SUM(S72:S81)+S16+S24+S29+S36+S43+S45+S47+S49+S51+S56+S61+S66</f>
        <v>774791.11999999988</v>
      </c>
      <c r="T82" s="91">
        <f>T16+T24+T29+T36+T43+T45+T47+T49</f>
        <v>0</v>
      </c>
      <c r="U82" s="92">
        <f>SUM(U72:U81)+U16+U24+U29+U36+U43+U45+U47+U49+U51+U56+U61+U66</f>
        <v>-143699.41600000052</v>
      </c>
      <c r="V82" s="91">
        <f>V16+V24+V29+V36+V43+V45+V47+V49</f>
        <v>0</v>
      </c>
      <c r="W82" s="92">
        <f>SUM(W72:W81)+W16+W24+W29+W36+W43+W45+W47+W49+W51+W56+W61+W66</f>
        <v>-1162.8199999999997</v>
      </c>
      <c r="X82" s="91">
        <f>X16+X24+X29+X36+X43+X45+X47+X49</f>
        <v>0</v>
      </c>
      <c r="Y82" s="92">
        <f>SUM(Y72:Y81)+Y16+Y24+Y29+Y36+Y43+Y45+Y47+Y49+Y51+Y56+Y61+Y66</f>
        <v>-17235.809999999976</v>
      </c>
      <c r="Z82" s="91">
        <f>Z16+Z24+Z29+Z36+Z43+Z45+Z47+Z49</f>
        <v>0</v>
      </c>
      <c r="AA82" s="92">
        <f>SUM(AA72:AA81)+AA16+AA24+AA29+AA36+AA43+AA45+AA47+AA49+AA51+AA56+AA61+AA66</f>
        <v>12868.340000000002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-153691</v>
      </c>
      <c r="F86" s="147">
        <f>('TIE-OUT'!T86+'TIE-OUT'!V86+'TIE-OUT'!X86)+(RECLASS!R86+RECLASS!T86+RECLASS!V86)</f>
        <v>0</v>
      </c>
      <c r="G86" s="147">
        <f>('TIE-OUT'!U86+'TIE-OUT'!W86+'TIE-OUT'!Y86)+(RECLASS!S86+RECLASS!U86+RECLASS!W86)</f>
        <v>-153691</v>
      </c>
      <c r="H86" s="147">
        <f>'TX-EGM-GL'!H86+'TX-HPLR-GL '!H86+'TX-HPLC-GL'!H86</f>
        <v>0</v>
      </c>
      <c r="I86" s="147">
        <f>'TX-EGM-GL'!I86+'TX-HPLR-GL '!I86+'TX-HPLC-GL'!I86</f>
        <v>0</v>
      </c>
      <c r="J86" s="147">
        <f>'TX-EGM-GL'!J86+'TX-HPLR-GL '!J86+'TX-HPLC-GL'!J86</f>
        <v>0</v>
      </c>
      <c r="K86" s="147">
        <f>'TX-EGM-GL'!K86+'TX-HPLR-GL '!K86+'TX-HPLC-GL'!K86</f>
        <v>0</v>
      </c>
      <c r="L86" s="147">
        <f>'TX-EGM-GL'!L86+'TX-HPLR-GL '!L86</f>
        <v>0</v>
      </c>
      <c r="M86" s="147">
        <f>'TX-EGM-GL'!M86+'TX-HPLR-GL '!M86</f>
        <v>0</v>
      </c>
      <c r="N86" s="147">
        <f>'TX-EGM-GL'!N86+'TX-HPLR-GL '!N86</f>
        <v>0</v>
      </c>
      <c r="O86" s="147">
        <f>'TX-EGM-GL'!O86+'TX-HPLR-GL '!O86</f>
        <v>0</v>
      </c>
      <c r="P86" s="147">
        <f>'TX-EGM-GL'!P86+'TX-HPLR-GL '!P86</f>
        <v>0</v>
      </c>
      <c r="Q86" s="147">
        <f>'TX-EGM-GL'!Q86+'TX-HPLR-GL '!Q86</f>
        <v>0</v>
      </c>
      <c r="R86" s="147">
        <f>'TX-EGM-GL'!R86+'TX-HPLR-GL '!R86</f>
        <v>0</v>
      </c>
      <c r="S86" s="147">
        <f>'TX-EGM-GL'!S86+'TX-HPLR-GL '!S86</f>
        <v>0</v>
      </c>
      <c r="T86" s="147">
        <f>'TX-EGM-GL'!T86+'TX-HPLR-GL '!T86</f>
        <v>0</v>
      </c>
      <c r="U86" s="147">
        <f>'TX-EGM-GL'!U86+'TX-HPLR-GL '!U86</f>
        <v>0</v>
      </c>
      <c r="V86" s="147">
        <f>'TX-EGM-GL'!V86+'TX-HPLR-GL '!V86</f>
        <v>0</v>
      </c>
      <c r="W86" s="147">
        <f>'TX-EGM-GL'!W86+'TX-HPLR-GL '!W86</f>
        <v>0</v>
      </c>
      <c r="X86" s="147">
        <f>'TX-EGM-GL'!X86+'TX-HPLR-GL '!X86</f>
        <v>0</v>
      </c>
      <c r="Y86" s="147">
        <f>'TX-EGM-GL'!Y86+'TX-HPLR-GL '!Y86</f>
        <v>0</v>
      </c>
      <c r="Z86" s="147">
        <f>'TX-EGM-GL'!Z86+'TX-HPLR-GL '!Z86</f>
        <v>0</v>
      </c>
      <c r="AA86" s="147">
        <f>'TX-EGM-GL'!AA86+'TX-HPLR-GL '!AA86</f>
        <v>0</v>
      </c>
      <c r="AB86" s="147">
        <f>'TX-EGM-GL'!AB86+'TX-HPLR-GL '!AB86</f>
        <v>0</v>
      </c>
      <c r="AC86" s="147">
        <f>'TX-EGM-GL'!AC86+'TX-HPLR-GL '!AC86</f>
        <v>0</v>
      </c>
      <c r="AD86" s="147">
        <f>'TX-EGM-GL'!AD86+'TX-HPLR-GL '!AD86</f>
        <v>0</v>
      </c>
      <c r="AE86" s="147">
        <f>'TX-EGM-GL'!AE86+'TX-HPLR-GL '!AE86</f>
        <v>0</v>
      </c>
      <c r="AF86" s="147">
        <f>'TX-EGM-GL'!AP86+'TX-HPLR-GL '!AP86</f>
        <v>0</v>
      </c>
      <c r="AG86" s="147">
        <f>'TX-EGM-GL'!AQ86+'TX-HPLR-GL '!AQ86</f>
        <v>0</v>
      </c>
      <c r="AH86" s="147">
        <f>'TX-EGM-GL'!AR86+'TX-HPLR-GL '!AR86</f>
        <v>0</v>
      </c>
      <c r="AI86" s="147">
        <f>'TX-EGM-GL'!AS86+'TX-HPLR-GL '!AS86</f>
        <v>0</v>
      </c>
      <c r="AJ86" s="147">
        <f>'TX-EGM-GL'!AT86+'TX-HPLR-GL '!AT86</f>
        <v>0</v>
      </c>
      <c r="AK86" s="147">
        <f>'TX-EGM-GL'!AU86+'TX-HPLR-GL '!AU86</f>
        <v>0</v>
      </c>
      <c r="AL86" s="147">
        <f>'TX-EGM-GL'!AV86+'TX-HPLR-GL '!AV86</f>
        <v>0</v>
      </c>
      <c r="AM86" s="147">
        <f>'TX-EGM-GL'!AW86+'TX-HPLR-GL '!AW86</f>
        <v>0</v>
      </c>
      <c r="AN86" s="147">
        <f>'TX-EGM-GL'!AX86+'TX-HPLR-GL '!AX86</f>
        <v>0</v>
      </c>
      <c r="AO86" s="147">
        <f>'TX-EGM-GL'!AY86+'TX-HPLR-GL '!AY86</f>
        <v>0</v>
      </c>
    </row>
    <row r="87" spans="1:77" s="3" customFormat="1" x14ac:dyDescent="0.25">
      <c r="A87" s="146"/>
      <c r="C87" s="10" t="s">
        <v>71</v>
      </c>
      <c r="D87" s="148">
        <f t="shared" si="25"/>
        <v>0</v>
      </c>
      <c r="E87" s="148">
        <f t="shared" si="25"/>
        <v>11054860</v>
      </c>
      <c r="F87" s="148">
        <f>('TIE-OUT'!T87+'TIE-OUT'!V87+'TIE-OUT'!X87)+(RECLASS!R87+RECLASS!T87+RECLASS!V87)</f>
        <v>0</v>
      </c>
      <c r="G87" s="148">
        <f>('TIE-OUT'!U87+'TIE-OUT'!W87+'TIE-OUT'!Y87)+(RECLASS!S87+RECLASS!U87+RECLASS!W87)</f>
        <v>11054860</v>
      </c>
      <c r="H87" s="148">
        <f>'TX-EGM-GL'!H87+'TX-HPLR-GL '!H87+'TX-HPLC-GL'!H87</f>
        <v>0</v>
      </c>
      <c r="I87" s="148">
        <f>'TX-EGM-GL'!I87+'TX-HPLR-GL '!I87+'TX-HPLC-GL'!I87</f>
        <v>0</v>
      </c>
      <c r="J87" s="148">
        <f>'TX-EGM-GL'!J87+'TX-HPLR-GL '!J87+'TX-HPLC-GL'!J87</f>
        <v>0</v>
      </c>
      <c r="K87" s="148">
        <f>'TX-EGM-GL'!K87+'TX-HPLR-GL '!K87+'TX-HPLC-GL'!K87</f>
        <v>0</v>
      </c>
      <c r="L87" s="148">
        <f>'TX-EGM-GL'!L87+'TX-HPLR-GL '!L87</f>
        <v>0</v>
      </c>
      <c r="M87" s="148">
        <f>'TX-EGM-GL'!M87+'TX-HPLR-GL '!M87</f>
        <v>0</v>
      </c>
      <c r="N87" s="148">
        <f>'TX-EGM-GL'!N87+'TX-HPLR-GL '!N87</f>
        <v>0</v>
      </c>
      <c r="O87" s="148">
        <f>'TX-EGM-GL'!O87+'TX-HPLR-GL '!O87</f>
        <v>0</v>
      </c>
      <c r="P87" s="148">
        <f>'TX-EGM-GL'!P87+'TX-HPLR-GL '!P87</f>
        <v>0</v>
      </c>
      <c r="Q87" s="148">
        <f>'TX-EGM-GL'!Q87+'TX-HPLR-GL '!Q87</f>
        <v>0</v>
      </c>
      <c r="R87" s="148">
        <f>'TX-EGM-GL'!R87+'TX-HPLR-GL '!R87</f>
        <v>0</v>
      </c>
      <c r="S87" s="148">
        <f>'TX-EGM-GL'!S87+'TX-HPLR-GL '!S87</f>
        <v>0</v>
      </c>
      <c r="T87" s="148">
        <f>'TX-EGM-GL'!T87+'TX-HPLR-GL '!T87</f>
        <v>0</v>
      </c>
      <c r="U87" s="148">
        <f>'TX-EGM-GL'!U87+'TX-HPLR-GL '!U87</f>
        <v>0</v>
      </c>
      <c r="V87" s="148">
        <f>'TX-EGM-GL'!V87+'TX-HPLR-GL '!V87</f>
        <v>0</v>
      </c>
      <c r="W87" s="148">
        <f>'TX-EGM-GL'!W87+'TX-HPLR-GL '!W87</f>
        <v>0</v>
      </c>
      <c r="X87" s="148">
        <f>'TX-EGM-GL'!X87+'TX-HPLR-GL '!X87</f>
        <v>0</v>
      </c>
      <c r="Y87" s="148">
        <f>'TX-EGM-GL'!Y87+'TX-HPLR-GL '!Y87</f>
        <v>0</v>
      </c>
      <c r="Z87" s="148">
        <f>'TX-EGM-GL'!Z87+'TX-HPLR-GL '!Z87</f>
        <v>0</v>
      </c>
      <c r="AA87" s="148">
        <f>'TX-EGM-GL'!AA87+'TX-HPLR-GL '!AA87</f>
        <v>0</v>
      </c>
      <c r="AB87" s="148">
        <f>'TX-EGM-GL'!AB87+'TX-HPLR-GL '!AB87</f>
        <v>0</v>
      </c>
      <c r="AC87" s="148">
        <f>'TX-EGM-GL'!AC87+'TX-HPLR-GL '!AC87</f>
        <v>0</v>
      </c>
      <c r="AD87" s="148">
        <f>'TX-EGM-GL'!AD87+'TX-HPLR-GL '!AD87</f>
        <v>0</v>
      </c>
      <c r="AE87" s="148">
        <f>'TX-EGM-GL'!AE87+'TX-HPLR-GL '!AE87</f>
        <v>0</v>
      </c>
      <c r="AF87" s="148">
        <f>'TX-EGM-GL'!AP87+'TX-HPLR-GL '!AP87</f>
        <v>0</v>
      </c>
      <c r="AG87" s="148">
        <f>'TX-EGM-GL'!AQ87+'TX-HPLR-GL '!AQ87</f>
        <v>0</v>
      </c>
      <c r="AH87" s="148">
        <f>'TX-EGM-GL'!AR87+'TX-HPLR-GL '!AR87</f>
        <v>0</v>
      </c>
      <c r="AI87" s="148">
        <f>'TX-EGM-GL'!AS87+'TX-HPLR-GL '!AS87</f>
        <v>0</v>
      </c>
      <c r="AJ87" s="148">
        <f>'TX-EGM-GL'!AT87+'TX-HPLR-GL '!AT87</f>
        <v>0</v>
      </c>
      <c r="AK87" s="148">
        <f>'TX-EGM-GL'!AU87+'TX-HPLR-GL '!AU87</f>
        <v>0</v>
      </c>
      <c r="AL87" s="148">
        <f>'TX-EGM-GL'!AV87+'TX-HPLR-GL '!AV87</f>
        <v>0</v>
      </c>
      <c r="AM87" s="148">
        <f>'TX-EGM-GL'!AW87+'TX-HPLR-GL '!AW87</f>
        <v>0</v>
      </c>
      <c r="AN87" s="148">
        <f>'TX-EGM-GL'!AX87+'TX-HPLR-GL '!AX87</f>
        <v>0</v>
      </c>
      <c r="AO87" s="148">
        <f>'TX-EGM-GL'!AY87+'TX-HPLR-GL '!AY87</f>
        <v>0</v>
      </c>
    </row>
    <row r="88" spans="1:77" s="3" customFormat="1" x14ac:dyDescent="0.25">
      <c r="A88" s="146"/>
      <c r="C88" s="10" t="s">
        <v>72</v>
      </c>
      <c r="D88" s="149">
        <f t="shared" si="25"/>
        <v>0</v>
      </c>
      <c r="E88" s="149">
        <f t="shared" si="25"/>
        <v>-1845500</v>
      </c>
      <c r="F88" s="149">
        <f>('TIE-OUT'!T88+'TIE-OUT'!V88+'TIE-OUT'!X88)+(RECLASS!R88+RECLASS!T88+RECLASS!V88)</f>
        <v>0</v>
      </c>
      <c r="G88" s="149">
        <f>('TIE-OUT'!U88+'TIE-OUT'!W88+'TIE-OUT'!Y88)+(RECLASS!S88+RECLASS!U88+RECLASS!W88)</f>
        <v>-1845500</v>
      </c>
      <c r="H88" s="149">
        <f>'TX-EGM-GL'!H88+'TX-HPLR-GL '!H88+'TX-HPLC-GL'!H88</f>
        <v>0</v>
      </c>
      <c r="I88" s="149">
        <f>'TX-EGM-GL'!I88+'TX-HPLR-GL '!I88+'TX-HPLC-GL'!I88</f>
        <v>0</v>
      </c>
      <c r="J88" s="149">
        <f>'TX-EGM-GL'!J88+'TX-HPLR-GL '!J88+'TX-HPLC-GL'!J88</f>
        <v>0</v>
      </c>
      <c r="K88" s="149">
        <f>'TX-EGM-GL'!K88+'TX-HPLR-GL '!K88+'TX-HPLC-GL'!K88</f>
        <v>0</v>
      </c>
      <c r="L88" s="149">
        <f>'TX-EGM-GL'!L88+'TX-HPLR-GL '!L88</f>
        <v>0</v>
      </c>
      <c r="M88" s="149">
        <f>'TX-EGM-GL'!M88+'TX-HPLR-GL '!M88</f>
        <v>0</v>
      </c>
      <c r="N88" s="149">
        <f>'TX-EGM-GL'!N88+'TX-HPLR-GL '!N88</f>
        <v>0</v>
      </c>
      <c r="O88" s="149">
        <f>'TX-EGM-GL'!O88+'TX-HPLR-GL '!O88</f>
        <v>0</v>
      </c>
      <c r="P88" s="149">
        <f>'TX-EGM-GL'!P88+'TX-HPLR-GL '!P88</f>
        <v>0</v>
      </c>
      <c r="Q88" s="149">
        <f>'TX-EGM-GL'!Q88+'TX-HPLR-GL '!Q88</f>
        <v>0</v>
      </c>
      <c r="R88" s="149">
        <f>'TX-EGM-GL'!R88+'TX-HPLR-GL '!R88</f>
        <v>0</v>
      </c>
      <c r="S88" s="149">
        <f>'TX-EGM-GL'!S88+'TX-HPLR-GL '!S88</f>
        <v>0</v>
      </c>
      <c r="T88" s="149">
        <f>'TX-EGM-GL'!T88+'TX-HPLR-GL '!T88</f>
        <v>0</v>
      </c>
      <c r="U88" s="149">
        <f>'TX-EGM-GL'!U88+'TX-HPLR-GL '!U88</f>
        <v>0</v>
      </c>
      <c r="V88" s="149">
        <f>'TX-EGM-GL'!V88+'TX-HPLR-GL '!V88</f>
        <v>0</v>
      </c>
      <c r="W88" s="149">
        <f>'TX-EGM-GL'!W88+'TX-HPLR-GL '!W88</f>
        <v>0</v>
      </c>
      <c r="X88" s="149">
        <f>'TX-EGM-GL'!X88+'TX-HPLR-GL '!X88</f>
        <v>0</v>
      </c>
      <c r="Y88" s="149">
        <f>'TX-EGM-GL'!Y88+'TX-HPLR-GL '!Y88</f>
        <v>0</v>
      </c>
      <c r="Z88" s="149">
        <f>'TX-EGM-GL'!Z88+'TX-HPLR-GL '!Z88</f>
        <v>0</v>
      </c>
      <c r="AA88" s="149">
        <f>'TX-EGM-GL'!AA88+'TX-HPLR-GL '!AA88</f>
        <v>0</v>
      </c>
      <c r="AB88" s="149">
        <f>'TX-EGM-GL'!AB88+'TX-HPLR-GL '!AB88</f>
        <v>0</v>
      </c>
      <c r="AC88" s="149">
        <f>'TX-EGM-GL'!AC88+'TX-HPLR-GL '!AC88</f>
        <v>0</v>
      </c>
      <c r="AD88" s="149">
        <f>'TX-EGM-GL'!AD88+'TX-HPLR-GL '!AD88</f>
        <v>0</v>
      </c>
      <c r="AE88" s="149">
        <f>'TX-EGM-GL'!AE88+'TX-HPLR-GL '!AE88</f>
        <v>0</v>
      </c>
      <c r="AF88" s="149">
        <f>'TX-EGM-GL'!AP88+'TX-HPLR-GL '!AP88</f>
        <v>0</v>
      </c>
      <c r="AG88" s="149">
        <f>'TX-EGM-GL'!AQ88+'TX-HPLR-GL '!AQ88</f>
        <v>0</v>
      </c>
      <c r="AH88" s="149">
        <f>'TX-EGM-GL'!AR88+'TX-HPLR-GL '!AR88</f>
        <v>0</v>
      </c>
      <c r="AI88" s="149">
        <f>'TX-EGM-GL'!AS88+'TX-HPLR-GL '!AS88</f>
        <v>0</v>
      </c>
      <c r="AJ88" s="149">
        <f>'TX-EGM-GL'!AT88+'TX-HPLR-GL '!AT88</f>
        <v>0</v>
      </c>
      <c r="AK88" s="149">
        <f>'TX-EGM-GL'!AU88+'TX-HPLR-GL '!AU88</f>
        <v>0</v>
      </c>
      <c r="AL88" s="149">
        <f>'TX-EGM-GL'!AV88+'TX-HPLR-GL '!AV88</f>
        <v>0</v>
      </c>
      <c r="AM88" s="149">
        <f>'TX-EGM-GL'!AW88+'TX-HPLR-GL '!AW88</f>
        <v>0</v>
      </c>
      <c r="AN88" s="149">
        <f>'TX-EGM-GL'!AX88+'TX-HPLR-GL '!AX88</f>
        <v>0</v>
      </c>
      <c r="AO88" s="149">
        <f>'TX-EGM-GL'!AY88+'TX-HPLR-GL '!AY88</f>
        <v>0</v>
      </c>
    </row>
    <row r="89" spans="1:77" s="44" customFormat="1" ht="20.25" customHeight="1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M89" si="26">SUM(E86:E88)</f>
        <v>9055669</v>
      </c>
      <c r="F89" s="157">
        <f t="shared" si="26"/>
        <v>0</v>
      </c>
      <c r="G89" s="157">
        <f t="shared" si="26"/>
        <v>9055669</v>
      </c>
      <c r="H89" s="157">
        <f t="shared" si="26"/>
        <v>0</v>
      </c>
      <c r="I89" s="157">
        <f t="shared" si="26"/>
        <v>0</v>
      </c>
      <c r="J89" s="157">
        <f>SUM(J86:J88)</f>
        <v>0</v>
      </c>
      <c r="K89" s="157">
        <f>SUM(K86:K88)</f>
        <v>0</v>
      </c>
      <c r="L89" s="157">
        <f t="shared" si="26"/>
        <v>0</v>
      </c>
      <c r="M89" s="157">
        <f t="shared" si="26"/>
        <v>0</v>
      </c>
      <c r="N89" s="157">
        <f t="shared" ref="N89:AE89" si="27">SUM(N86:N88)</f>
        <v>0</v>
      </c>
      <c r="O89" s="157">
        <f t="shared" si="27"/>
        <v>0</v>
      </c>
      <c r="P89" s="157">
        <f t="shared" si="27"/>
        <v>0</v>
      </c>
      <c r="Q89" s="157">
        <f t="shared" si="27"/>
        <v>0</v>
      </c>
      <c r="R89" s="157">
        <f t="shared" si="27"/>
        <v>0</v>
      </c>
      <c r="S89" s="157">
        <f t="shared" si="27"/>
        <v>0</v>
      </c>
      <c r="T89" s="157">
        <f t="shared" si="27"/>
        <v>0</v>
      </c>
      <c r="U89" s="157">
        <f t="shared" si="27"/>
        <v>0</v>
      </c>
      <c r="V89" s="157">
        <f t="shared" si="27"/>
        <v>0</v>
      </c>
      <c r="W89" s="157">
        <f t="shared" si="27"/>
        <v>0</v>
      </c>
      <c r="X89" s="157">
        <f t="shared" si="27"/>
        <v>0</v>
      </c>
      <c r="Y89" s="157">
        <f t="shared" si="27"/>
        <v>0</v>
      </c>
      <c r="Z89" s="157">
        <f t="shared" si="27"/>
        <v>0</v>
      </c>
      <c r="AA89" s="157">
        <f t="shared" si="27"/>
        <v>0</v>
      </c>
      <c r="AB89" s="157">
        <f t="shared" si="27"/>
        <v>0</v>
      </c>
      <c r="AC89" s="157">
        <f t="shared" si="27"/>
        <v>0</v>
      </c>
      <c r="AD89" s="157">
        <f t="shared" si="27"/>
        <v>0</v>
      </c>
      <c r="AE89" s="157">
        <f t="shared" si="27"/>
        <v>0</v>
      </c>
      <c r="AF89" s="157">
        <f t="shared" ref="AF89:AO89" si="28">SUM(AF86:AF88)</f>
        <v>0</v>
      </c>
      <c r="AG89" s="157">
        <f t="shared" si="28"/>
        <v>0</v>
      </c>
      <c r="AH89" s="157">
        <f t="shared" si="28"/>
        <v>0</v>
      </c>
      <c r="AI89" s="157">
        <f t="shared" si="28"/>
        <v>0</v>
      </c>
      <c r="AJ89" s="157">
        <f t="shared" si="28"/>
        <v>0</v>
      </c>
      <c r="AK89" s="157">
        <f t="shared" si="28"/>
        <v>0</v>
      </c>
      <c r="AL89" s="157">
        <f t="shared" si="28"/>
        <v>0</v>
      </c>
      <c r="AM89" s="157">
        <f t="shared" si="28"/>
        <v>0</v>
      </c>
      <c r="AN89" s="157">
        <f t="shared" si="28"/>
        <v>0</v>
      </c>
      <c r="AO89" s="157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3"/>
      <c r="B91" s="154"/>
      <c r="C91" s="159" t="s">
        <v>172</v>
      </c>
      <c r="D91" s="157">
        <f>+D82+D89</f>
        <v>0</v>
      </c>
      <c r="E91" s="157">
        <f t="shared" ref="E91:M91" si="29">+E82+E89</f>
        <v>9366683.7029999737</v>
      </c>
      <c r="F91" s="157">
        <f t="shared" si="29"/>
        <v>0</v>
      </c>
      <c r="G91" s="157">
        <f t="shared" si="29"/>
        <v>194522.23000000045</v>
      </c>
      <c r="H91" s="157">
        <f t="shared" si="29"/>
        <v>0</v>
      </c>
      <c r="I91" s="157">
        <f t="shared" si="29"/>
        <v>9296081.0260000061</v>
      </c>
      <c r="J91" s="157">
        <f>+J82+J89</f>
        <v>0</v>
      </c>
      <c r="K91" s="157">
        <f>+K82+K89</f>
        <v>-316142.27500000159</v>
      </c>
      <c r="L91" s="157">
        <f t="shared" si="29"/>
        <v>0</v>
      </c>
      <c r="M91" s="157">
        <f t="shared" si="29"/>
        <v>-756047.58499999985</v>
      </c>
      <c r="N91" s="157">
        <f t="shared" ref="N91:AE91" si="30">+N82+N89</f>
        <v>0</v>
      </c>
      <c r="O91" s="157">
        <f t="shared" si="30"/>
        <v>207366.48799999966</v>
      </c>
      <c r="P91" s="157">
        <f t="shared" si="30"/>
        <v>0</v>
      </c>
      <c r="Q91" s="157">
        <f t="shared" si="30"/>
        <v>115342.40500000014</v>
      </c>
      <c r="R91" s="157">
        <f t="shared" si="30"/>
        <v>0</v>
      </c>
      <c r="S91" s="157">
        <f t="shared" si="30"/>
        <v>774791.11999999988</v>
      </c>
      <c r="T91" s="157">
        <f t="shared" si="30"/>
        <v>0</v>
      </c>
      <c r="U91" s="157">
        <f t="shared" si="30"/>
        <v>-143699.41600000052</v>
      </c>
      <c r="V91" s="157">
        <f t="shared" si="30"/>
        <v>0</v>
      </c>
      <c r="W91" s="157">
        <f t="shared" si="30"/>
        <v>-1162.8199999999997</v>
      </c>
      <c r="X91" s="157">
        <f t="shared" si="30"/>
        <v>0</v>
      </c>
      <c r="Y91" s="157">
        <f t="shared" si="30"/>
        <v>-17235.809999999976</v>
      </c>
      <c r="Z91" s="157">
        <f t="shared" si="30"/>
        <v>0</v>
      </c>
      <c r="AA91" s="157">
        <f t="shared" si="30"/>
        <v>12868.340000000002</v>
      </c>
      <c r="AB91" s="157">
        <f t="shared" si="30"/>
        <v>0</v>
      </c>
      <c r="AC91" s="157">
        <f t="shared" si="30"/>
        <v>0</v>
      </c>
      <c r="AD91" s="157">
        <f t="shared" si="30"/>
        <v>0</v>
      </c>
      <c r="AE91" s="157">
        <f t="shared" si="30"/>
        <v>0</v>
      </c>
      <c r="AF91" s="157">
        <f t="shared" ref="AF91:AO91" si="31">+AF82+AF89</f>
        <v>0</v>
      </c>
      <c r="AG91" s="157">
        <f t="shared" si="31"/>
        <v>0</v>
      </c>
      <c r="AH91" s="157">
        <f t="shared" si="31"/>
        <v>0</v>
      </c>
      <c r="AI91" s="157">
        <f t="shared" si="31"/>
        <v>0</v>
      </c>
      <c r="AJ91" s="157">
        <f t="shared" si="31"/>
        <v>0</v>
      </c>
      <c r="AK91" s="157">
        <f t="shared" si="31"/>
        <v>0</v>
      </c>
      <c r="AL91" s="157">
        <f t="shared" si="31"/>
        <v>0</v>
      </c>
      <c r="AM91" s="157">
        <f t="shared" si="31"/>
        <v>0</v>
      </c>
      <c r="AN91" s="157">
        <f t="shared" si="31"/>
        <v>0</v>
      </c>
      <c r="AO91" s="157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V179"/>
  <sheetViews>
    <sheetView zoomScale="75" workbookViewId="0">
      <pane xSplit="3" ySplit="9" topLeftCell="S56" activePane="bottomRight" state="frozen"/>
      <selection activeCell="Z9" sqref="Z9"/>
      <selection pane="topRight" activeCell="Z9" sqref="Z9"/>
      <selection pane="bottomLeft" activeCell="Z9" sqref="Z9"/>
      <selection pane="bottomRight" activeCell="AA89" sqref="AA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28810043</v>
      </c>
      <c r="E11" s="38">
        <f>SUM(G11,I11,K11,M11,O11,Q11,S11,U11,W11,Y11,AA11,AC11,AE11)</f>
        <v>60832764.379999995</v>
      </c>
      <c r="F11" s="60">
        <f>'TIE-OUT'!P11+RECLASS!R11</f>
        <v>0</v>
      </c>
      <c r="G11" s="38">
        <f>'TIE-OUT'!Q11+RECLASS!O11</f>
        <v>0</v>
      </c>
      <c r="H11" s="120">
        <f>+Actuals!E484</f>
        <v>29114081</v>
      </c>
      <c r="I11" s="121">
        <f>+Actuals!F484</f>
        <v>61786088.170000002</v>
      </c>
      <c r="J11" s="120">
        <f>+Actuals!G484</f>
        <v>-147378</v>
      </c>
      <c r="K11" s="121">
        <f>+Actuals!H484</f>
        <v>116107.66</v>
      </c>
      <c r="L11" s="120">
        <f>+Actuals!I484</f>
        <v>-193034</v>
      </c>
      <c r="M11" s="121">
        <f>+Actuals!J484</f>
        <v>-502681.52</v>
      </c>
      <c r="N11" s="120">
        <f>+Actuals!K484</f>
        <v>44868</v>
      </c>
      <c r="O11" s="121">
        <f>+Actuals!L484</f>
        <v>2239037.69</v>
      </c>
      <c r="P11" s="120">
        <f>+Actuals!M484</f>
        <v>3860</v>
      </c>
      <c r="Q11" s="121">
        <f>+Actuals!N484</f>
        <v>-2132771.9700000002</v>
      </c>
      <c r="R11" s="120">
        <f>+Actuals!O484</f>
        <v>-2000</v>
      </c>
      <c r="S11" s="121">
        <f>+Actuals!P484</f>
        <v>-4750</v>
      </c>
      <c r="T11" s="120">
        <f>+Actuals!Q484</f>
        <v>0</v>
      </c>
      <c r="U11" s="121">
        <f>+Actuals!R484</f>
        <v>-668783.35</v>
      </c>
      <c r="V11" s="120">
        <f>+Actuals!S484</f>
        <v>0</v>
      </c>
      <c r="W11" s="121">
        <f>+Actuals!T484</f>
        <v>0</v>
      </c>
      <c r="X11" s="120">
        <v>43</v>
      </c>
      <c r="Y11" s="121">
        <v>-2.15</v>
      </c>
      <c r="Z11" s="120">
        <v>-10397</v>
      </c>
      <c r="AA11" s="121">
        <v>519.85</v>
      </c>
      <c r="AB11" s="120">
        <f>+Actuals!Y484</f>
        <v>0</v>
      </c>
      <c r="AC11" s="121">
        <f>+Actuals!Z484</f>
        <v>0</v>
      </c>
      <c r="AD11" s="120">
        <f>+Actuals!AA484</f>
        <v>0</v>
      </c>
      <c r="AE11" s="121">
        <f>+Actuals!AB484</f>
        <v>0</v>
      </c>
      <c r="AF11" s="120">
        <f>+Actuals!AC484</f>
        <v>0</v>
      </c>
      <c r="AG11" s="121">
        <f>+Actuals!AD484</f>
        <v>0</v>
      </c>
      <c r="AH11" s="120">
        <f>+Actuals!AE484</f>
        <v>0</v>
      </c>
      <c r="AI11" s="121">
        <f>+Actuals!AF484</f>
        <v>0</v>
      </c>
      <c r="AJ11" s="120">
        <f>+Actuals!AG484</f>
        <v>0</v>
      </c>
      <c r="AK11" s="121">
        <f>+Actuals!AH484</f>
        <v>0</v>
      </c>
      <c r="AL11" s="120">
        <f>+Actuals!AI484</f>
        <v>0</v>
      </c>
      <c r="AM11" s="121">
        <f>+Actuals!AJ484</f>
        <v>0</v>
      </c>
      <c r="AN11" s="120">
        <f>+Actuals!AK484</f>
        <v>0</v>
      </c>
      <c r="AO11" s="121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3475376.98</v>
      </c>
      <c r="F12" s="60">
        <f>'TIE-OUT'!P12+RECLASS!R12</f>
        <v>0</v>
      </c>
      <c r="G12" s="38">
        <f>'TIE-OUT'!Q12+RECLASS!O12</f>
        <v>3475376.98</v>
      </c>
      <c r="H12" s="120">
        <f>+Actuals!E485</f>
        <v>0</v>
      </c>
      <c r="I12" s="121">
        <f>+Actuals!F485</f>
        <v>0</v>
      </c>
      <c r="J12" s="120">
        <f>+Actuals!G485</f>
        <v>0</v>
      </c>
      <c r="K12" s="121">
        <f>+Actuals!H485</f>
        <v>0</v>
      </c>
      <c r="L12" s="120">
        <f>+Actuals!I485</f>
        <v>0</v>
      </c>
      <c r="M12" s="121">
        <f>+Actuals!J485</f>
        <v>0</v>
      </c>
      <c r="N12" s="120">
        <f>+Actuals!K485</f>
        <v>0</v>
      </c>
      <c r="O12" s="121">
        <f>+Actuals!L485</f>
        <v>0</v>
      </c>
      <c r="P12" s="120">
        <f>+Actuals!M485</f>
        <v>0</v>
      </c>
      <c r="Q12" s="121">
        <f>+Actuals!N485</f>
        <v>0</v>
      </c>
      <c r="R12" s="120">
        <f>+Actuals!O485</f>
        <v>0</v>
      </c>
      <c r="S12" s="121">
        <f>+Actuals!P485</f>
        <v>0</v>
      </c>
      <c r="T12" s="120">
        <f>+Actuals!Q485</f>
        <v>0</v>
      </c>
      <c r="U12" s="121">
        <f>+Actuals!R485</f>
        <v>0</v>
      </c>
      <c r="V12" s="120">
        <f>+Actuals!S485</f>
        <v>0</v>
      </c>
      <c r="W12" s="121">
        <f>+Actuals!T485</f>
        <v>0</v>
      </c>
      <c r="X12" s="120">
        <f>+Actuals!U485</f>
        <v>0</v>
      </c>
      <c r="Y12" s="121">
        <f>+Actuals!V485</f>
        <v>0</v>
      </c>
      <c r="Z12" s="120">
        <f>+Actuals!W485</f>
        <v>0</v>
      </c>
      <c r="AA12" s="121">
        <f>+Actuals!X485</f>
        <v>0</v>
      </c>
      <c r="AB12" s="120">
        <f>+Actuals!Y485</f>
        <v>0</v>
      </c>
      <c r="AC12" s="121">
        <f>+Actuals!Z485</f>
        <v>0</v>
      </c>
      <c r="AD12" s="120">
        <f>+Actuals!AA485</f>
        <v>0</v>
      </c>
      <c r="AE12" s="121">
        <f>+Actuals!AB485</f>
        <v>0</v>
      </c>
      <c r="AF12" s="120">
        <f>+Actuals!AC485</f>
        <v>0</v>
      </c>
      <c r="AG12" s="121">
        <f>+Actuals!AD485</f>
        <v>0</v>
      </c>
      <c r="AH12" s="120">
        <f>+Actuals!AE485</f>
        <v>0</v>
      </c>
      <c r="AI12" s="121">
        <f>+Actuals!AF485</f>
        <v>0</v>
      </c>
      <c r="AJ12" s="120">
        <f>+Actuals!AG485</f>
        <v>0</v>
      </c>
      <c r="AK12" s="121">
        <f>+Actuals!AH485</f>
        <v>0</v>
      </c>
      <c r="AL12" s="120">
        <f>+Actuals!AI485</f>
        <v>0</v>
      </c>
      <c r="AM12" s="121">
        <f>+Actuals!AJ485</f>
        <v>0</v>
      </c>
      <c r="AN12" s="120">
        <f>+Actuals!AK485</f>
        <v>0</v>
      </c>
      <c r="AO12" s="121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11024128</v>
      </c>
      <c r="E13" s="38">
        <f t="shared" si="0"/>
        <v>25880757</v>
      </c>
      <c r="F13" s="60">
        <f>'TIE-OUT'!P13+RECLASS!R13</f>
        <v>0</v>
      </c>
      <c r="G13" s="38">
        <f>'TIE-OUT'!Q13+RECLASS!O13</f>
        <v>0</v>
      </c>
      <c r="H13" s="120">
        <f>+Actuals!E486</f>
        <v>11024128</v>
      </c>
      <c r="I13" s="121">
        <f>+Actuals!F486</f>
        <v>25880757</v>
      </c>
      <c r="J13" s="120">
        <f>+Actuals!G486</f>
        <v>-11024128</v>
      </c>
      <c r="K13" s="121">
        <f>+Actuals!H486</f>
        <v>-25880757</v>
      </c>
      <c r="L13" s="120">
        <f>+Actuals!I486</f>
        <v>0</v>
      </c>
      <c r="M13" s="121">
        <f>+Actuals!J486</f>
        <v>0</v>
      </c>
      <c r="N13" s="120">
        <f>+Actuals!K486</f>
        <v>0</v>
      </c>
      <c r="O13" s="121">
        <f>+Actuals!L486</f>
        <v>0</v>
      </c>
      <c r="P13" s="120">
        <f>+Actuals!M486</f>
        <v>0</v>
      </c>
      <c r="Q13" s="121">
        <f>+Actuals!N486</f>
        <v>0</v>
      </c>
      <c r="R13" s="120">
        <f>+Actuals!O486</f>
        <v>0</v>
      </c>
      <c r="S13" s="121">
        <f>+Actuals!P486</f>
        <v>0</v>
      </c>
      <c r="T13" s="120">
        <f>+Actuals!Q486</f>
        <v>11024128</v>
      </c>
      <c r="U13" s="121">
        <f>+Actuals!R486</f>
        <v>25880757</v>
      </c>
      <c r="V13" s="120">
        <f>+Actuals!S486</f>
        <v>0</v>
      </c>
      <c r="W13" s="121">
        <f>+Actuals!T486</f>
        <v>0</v>
      </c>
      <c r="X13" s="120">
        <f>+Actuals!U486</f>
        <v>0</v>
      </c>
      <c r="Y13" s="121">
        <f>+Actuals!V486</f>
        <v>0</v>
      </c>
      <c r="Z13" s="120">
        <f>+Actuals!W486</f>
        <v>0</v>
      </c>
      <c r="AA13" s="121">
        <f>+Actuals!X486</f>
        <v>0</v>
      </c>
      <c r="AB13" s="120">
        <f>+Actuals!Y486</f>
        <v>0</v>
      </c>
      <c r="AC13" s="121">
        <f>+Actuals!Z486</f>
        <v>0</v>
      </c>
      <c r="AD13" s="120">
        <f>+Actuals!AA486</f>
        <v>0</v>
      </c>
      <c r="AE13" s="121">
        <f>+Actuals!AB486</f>
        <v>0</v>
      </c>
      <c r="AF13" s="120">
        <f>+Actuals!AC486</f>
        <v>0</v>
      </c>
      <c r="AG13" s="121">
        <f>+Actuals!AD486</f>
        <v>0</v>
      </c>
      <c r="AH13" s="120">
        <f>+Actuals!AE486</f>
        <v>0</v>
      </c>
      <c r="AI13" s="121">
        <f>+Actuals!AF486</f>
        <v>0</v>
      </c>
      <c r="AJ13" s="120">
        <f>+Actuals!AG486</f>
        <v>0</v>
      </c>
      <c r="AK13" s="121">
        <f>+Actuals!AH486</f>
        <v>0</v>
      </c>
      <c r="AL13" s="120">
        <f>+Actuals!AI486</f>
        <v>0</v>
      </c>
      <c r="AM13" s="121">
        <f>+Actuals!AJ486</f>
        <v>0</v>
      </c>
      <c r="AN13" s="120">
        <f>+Actuals!AK486</f>
        <v>0</v>
      </c>
      <c r="AO13" s="121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'TIE-OUT'!Q14+RECLASS!O14</f>
        <v>0</v>
      </c>
      <c r="H14" s="120">
        <f>+Actuals!E487</f>
        <v>0</v>
      </c>
      <c r="I14" s="121">
        <f>+Actuals!F487</f>
        <v>0</v>
      </c>
      <c r="J14" s="120">
        <f>+Actuals!G487</f>
        <v>0</v>
      </c>
      <c r="K14" s="121">
        <f>+Actuals!H487</f>
        <v>0</v>
      </c>
      <c r="L14" s="120">
        <f>+Actuals!I487</f>
        <v>0</v>
      </c>
      <c r="M14" s="121">
        <f>+Actuals!J487</f>
        <v>0</v>
      </c>
      <c r="N14" s="120">
        <f>+Actuals!K487</f>
        <v>0</v>
      </c>
      <c r="O14" s="121">
        <f>+Actuals!L487</f>
        <v>0</v>
      </c>
      <c r="P14" s="120">
        <f>+Actuals!M487</f>
        <v>0</v>
      </c>
      <c r="Q14" s="121">
        <f>+Actuals!N487</f>
        <v>0</v>
      </c>
      <c r="R14" s="120">
        <f>+Actuals!O487</f>
        <v>0</v>
      </c>
      <c r="S14" s="121">
        <f>+Actuals!P487</f>
        <v>0</v>
      </c>
      <c r="T14" s="120">
        <f>+Actuals!Q487</f>
        <v>0</v>
      </c>
      <c r="U14" s="121">
        <f>+Actuals!R487</f>
        <v>0</v>
      </c>
      <c r="V14" s="120">
        <f>+Actuals!S487</f>
        <v>0</v>
      </c>
      <c r="W14" s="121">
        <f>+Actuals!T487</f>
        <v>0</v>
      </c>
      <c r="X14" s="120">
        <f>+Actuals!U487</f>
        <v>0</v>
      </c>
      <c r="Y14" s="121">
        <f>+Actuals!V487</f>
        <v>0</v>
      </c>
      <c r="Z14" s="120">
        <f>+Actuals!W487</f>
        <v>0</v>
      </c>
      <c r="AA14" s="121">
        <f>+Actuals!X487</f>
        <v>0</v>
      </c>
      <c r="AB14" s="120">
        <f>+Actuals!Y487</f>
        <v>0</v>
      </c>
      <c r="AC14" s="121">
        <f>+Actuals!Z487</f>
        <v>0</v>
      </c>
      <c r="AD14" s="120">
        <f>+Actuals!AA487</f>
        <v>0</v>
      </c>
      <c r="AE14" s="121">
        <f>+Actuals!AB487</f>
        <v>0</v>
      </c>
      <c r="AF14" s="120">
        <f>+Actuals!AC487</f>
        <v>0</v>
      </c>
      <c r="AG14" s="121">
        <f>+Actuals!AD487</f>
        <v>0</v>
      </c>
      <c r="AH14" s="120">
        <f>+Actuals!AE487</f>
        <v>0</v>
      </c>
      <c r="AI14" s="121">
        <f>+Actuals!AF487</f>
        <v>0</v>
      </c>
      <c r="AJ14" s="120">
        <f>+Actuals!AG487</f>
        <v>0</v>
      </c>
      <c r="AK14" s="121">
        <f>+Actuals!AH487</f>
        <v>0</v>
      </c>
      <c r="AL14" s="120">
        <f>+Actuals!AI487</f>
        <v>0</v>
      </c>
      <c r="AM14" s="121">
        <f>+Actuals!AJ487</f>
        <v>0</v>
      </c>
      <c r="AN14" s="120">
        <f>+Actuals!AK487</f>
        <v>0</v>
      </c>
      <c r="AO14" s="121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1162280.04</v>
      </c>
      <c r="F15" s="81">
        <f>'TIE-OUT'!P15+RECLASS!R15</f>
        <v>0</v>
      </c>
      <c r="G15" s="82">
        <f>'TIE-OUT'!Q15+RECLASS!O15</f>
        <v>0</v>
      </c>
      <c r="H15" s="120">
        <f>+Actuals!E488</f>
        <v>0</v>
      </c>
      <c r="I15" s="121">
        <f>+Actuals!F488</f>
        <v>13175</v>
      </c>
      <c r="J15" s="120">
        <f>+Actuals!G488</f>
        <v>0</v>
      </c>
      <c r="K15" s="121">
        <f>+Actuals!H488</f>
        <v>668783</v>
      </c>
      <c r="L15" s="120">
        <f>+Actuals!I488</f>
        <v>0</v>
      </c>
      <c r="M15" s="121">
        <f>+Actuals!J488</f>
        <v>0</v>
      </c>
      <c r="N15" s="120">
        <f>+Actuals!K488</f>
        <v>0</v>
      </c>
      <c r="O15" s="121">
        <f>+Actuals!L488</f>
        <v>480322.04</v>
      </c>
      <c r="P15" s="120">
        <f>+Actuals!M488</f>
        <v>0</v>
      </c>
      <c r="Q15" s="121">
        <f>+Actuals!N488</f>
        <v>0</v>
      </c>
      <c r="R15" s="120">
        <f>+Actuals!O488</f>
        <v>0</v>
      </c>
      <c r="S15" s="121">
        <f>+Actuals!P488</f>
        <v>0</v>
      </c>
      <c r="T15" s="120">
        <f>+Actuals!Q488</f>
        <v>0</v>
      </c>
      <c r="U15" s="121">
        <f>+Actuals!R488</f>
        <v>0</v>
      </c>
      <c r="V15" s="120">
        <f>+Actuals!S488</f>
        <v>0</v>
      </c>
      <c r="W15" s="121">
        <f>+Actuals!T488</f>
        <v>0</v>
      </c>
      <c r="X15" s="120">
        <f>+Actuals!U488</f>
        <v>0</v>
      </c>
      <c r="Y15" s="121">
        <f>+Actuals!V488</f>
        <v>0</v>
      </c>
      <c r="Z15" s="120">
        <f>+Actuals!W488</f>
        <v>0</v>
      </c>
      <c r="AA15" s="121">
        <f>+Actuals!X488</f>
        <v>0</v>
      </c>
      <c r="AB15" s="120">
        <f>+Actuals!Y488</f>
        <v>0</v>
      </c>
      <c r="AC15" s="121">
        <f>+Actuals!Z488</f>
        <v>0</v>
      </c>
      <c r="AD15" s="120">
        <f>+Actuals!AA488</f>
        <v>0</v>
      </c>
      <c r="AE15" s="121">
        <f>+Actuals!AB488</f>
        <v>0</v>
      </c>
      <c r="AF15" s="120">
        <f>+Actuals!AC488</f>
        <v>0</v>
      </c>
      <c r="AG15" s="121">
        <f>+Actuals!AD488</f>
        <v>0</v>
      </c>
      <c r="AH15" s="120">
        <f>+Actuals!AE488</f>
        <v>0</v>
      </c>
      <c r="AI15" s="121">
        <f>+Actuals!AF488</f>
        <v>0</v>
      </c>
      <c r="AJ15" s="120">
        <f>+Actuals!AG488</f>
        <v>0</v>
      </c>
      <c r="AK15" s="121">
        <f>+Actuals!AH488</f>
        <v>0</v>
      </c>
      <c r="AL15" s="120">
        <f>+Actuals!AI488</f>
        <v>0</v>
      </c>
      <c r="AM15" s="121">
        <f>+Actuals!AJ488</f>
        <v>0</v>
      </c>
      <c r="AN15" s="120">
        <f>+Actuals!AK488</f>
        <v>0</v>
      </c>
      <c r="AO15" s="121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39834171</v>
      </c>
      <c r="E16" s="39">
        <f t="shared" si="1"/>
        <v>91351178.399999991</v>
      </c>
      <c r="F16" s="61">
        <f t="shared" si="1"/>
        <v>0</v>
      </c>
      <c r="G16" s="39">
        <f t="shared" si="1"/>
        <v>3475376.98</v>
      </c>
      <c r="H16" s="61">
        <f t="shared" si="1"/>
        <v>40138209</v>
      </c>
      <c r="I16" s="39">
        <f t="shared" si="1"/>
        <v>87680020.170000002</v>
      </c>
      <c r="J16" s="61">
        <f t="shared" ref="J16:AO16" si="2">SUM(J11:J15)</f>
        <v>-11171506</v>
      </c>
      <c r="K16" s="39">
        <f t="shared" si="2"/>
        <v>-25095866.34</v>
      </c>
      <c r="L16" s="61">
        <f t="shared" si="2"/>
        <v>-193034</v>
      </c>
      <c r="M16" s="39">
        <f t="shared" si="2"/>
        <v>-502681.52</v>
      </c>
      <c r="N16" s="61">
        <f t="shared" ref="N16:S16" si="3">SUM(N11:N15)</f>
        <v>44868</v>
      </c>
      <c r="O16" s="39">
        <f t="shared" si="3"/>
        <v>2719359.73</v>
      </c>
      <c r="P16" s="61">
        <f t="shared" si="3"/>
        <v>3860</v>
      </c>
      <c r="Q16" s="39">
        <f t="shared" si="3"/>
        <v>-2132771.9700000002</v>
      </c>
      <c r="R16" s="61">
        <f t="shared" si="3"/>
        <v>-2000</v>
      </c>
      <c r="S16" s="39">
        <f t="shared" si="3"/>
        <v>-4750</v>
      </c>
      <c r="T16" s="61">
        <f t="shared" si="2"/>
        <v>11024128</v>
      </c>
      <c r="U16" s="39">
        <f t="shared" si="2"/>
        <v>25211973.649999999</v>
      </c>
      <c r="V16" s="61">
        <f t="shared" si="2"/>
        <v>0</v>
      </c>
      <c r="W16" s="39">
        <f t="shared" si="2"/>
        <v>0</v>
      </c>
      <c r="X16" s="61">
        <f t="shared" si="2"/>
        <v>43</v>
      </c>
      <c r="Y16" s="39">
        <f t="shared" si="2"/>
        <v>-2.15</v>
      </c>
      <c r="Z16" s="61">
        <f t="shared" si="2"/>
        <v>-10397</v>
      </c>
      <c r="AA16" s="39">
        <f t="shared" si="2"/>
        <v>519.85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-28696293</v>
      </c>
      <c r="E19" s="38">
        <f t="shared" si="4"/>
        <v>-63226008.469999999</v>
      </c>
      <c r="F19" s="64">
        <f>'TIE-OUT'!P19+RECLASS!R19</f>
        <v>0</v>
      </c>
      <c r="G19" s="68">
        <f>'TIE-OUT'!Q19+RECLASS!O19</f>
        <v>0</v>
      </c>
      <c r="H19" s="120">
        <f>+Actuals!E489</f>
        <v>-28552843</v>
      </c>
      <c r="I19" s="121">
        <f>+Actuals!F489</f>
        <v>-62174715.879999995</v>
      </c>
      <c r="J19" s="120">
        <f>+Actuals!G489</f>
        <v>-646484</v>
      </c>
      <c r="K19" s="121">
        <f>+Actuals!H489</f>
        <v>-1524611.75</v>
      </c>
      <c r="L19" s="120">
        <f>+Actuals!I489</f>
        <v>193034</v>
      </c>
      <c r="M19" s="121">
        <f>+Actuals!J489</f>
        <v>473319.16</v>
      </c>
      <c r="N19" s="120">
        <f>+Actuals!K489</f>
        <v>0</v>
      </c>
      <c r="O19" s="121">
        <f>+Actuals!L489</f>
        <v>0</v>
      </c>
      <c r="P19" s="120">
        <f>+Actuals!M489</f>
        <v>0</v>
      </c>
      <c r="Q19" s="121">
        <f>+Actuals!N489</f>
        <v>0</v>
      </c>
      <c r="R19" s="120">
        <f>+Actuals!O489</f>
        <v>0</v>
      </c>
      <c r="S19" s="121">
        <f>+Actuals!P489</f>
        <v>0</v>
      </c>
      <c r="T19" s="120">
        <f>+Actuals!Q489</f>
        <v>0</v>
      </c>
      <c r="U19" s="121">
        <f>+Actuals!R489</f>
        <v>0</v>
      </c>
      <c r="V19" s="120">
        <f>+Actuals!S489</f>
        <v>0</v>
      </c>
      <c r="W19" s="121">
        <f>+Actuals!T489</f>
        <v>0</v>
      </c>
      <c r="X19" s="120">
        <v>310000</v>
      </c>
      <c r="Y19" s="121">
        <f>+Actuals!V489</f>
        <v>0</v>
      </c>
      <c r="Z19" s="120">
        <f>+Actuals!W489</f>
        <v>0</v>
      </c>
      <c r="AA19" s="121">
        <f>+Actuals!X489</f>
        <v>0</v>
      </c>
      <c r="AB19" s="120">
        <f>+Actuals!Y489</f>
        <v>0</v>
      </c>
      <c r="AC19" s="121">
        <f>+Actuals!Z489</f>
        <v>0</v>
      </c>
      <c r="AD19" s="120">
        <f>+Actuals!AA489</f>
        <v>0</v>
      </c>
      <c r="AE19" s="121">
        <f>+Actuals!AB489</f>
        <v>0</v>
      </c>
      <c r="AF19" s="120">
        <f>+Actuals!AC489</f>
        <v>0</v>
      </c>
      <c r="AG19" s="121">
        <f>+Actuals!AD489</f>
        <v>0</v>
      </c>
      <c r="AH19" s="120">
        <f>+Actuals!AE489</f>
        <v>0</v>
      </c>
      <c r="AI19" s="121">
        <f>+Actuals!AF489</f>
        <v>0</v>
      </c>
      <c r="AJ19" s="120">
        <f>+Actuals!AG489</f>
        <v>0</v>
      </c>
      <c r="AK19" s="121">
        <f>+Actuals!AH489</f>
        <v>0</v>
      </c>
      <c r="AL19" s="120">
        <f>+Actuals!AI489</f>
        <v>0</v>
      </c>
      <c r="AM19" s="121">
        <f>+Actuals!AJ489</f>
        <v>0</v>
      </c>
      <c r="AN19" s="120">
        <f>+Actuals!AK489</f>
        <v>0</v>
      </c>
      <c r="AO19" s="121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-687296.01</v>
      </c>
      <c r="F20" s="60">
        <f>'TIE-OUT'!P20+RECLASS!R20</f>
        <v>0</v>
      </c>
      <c r="G20" s="38">
        <f>'TIE-OUT'!Q20+RECLASS!O20</f>
        <v>-670370.01</v>
      </c>
      <c r="H20" s="120">
        <f>+Actuals!E490</f>
        <v>0</v>
      </c>
      <c r="I20" s="121">
        <f>+Actuals!F490</f>
        <v>0</v>
      </c>
      <c r="J20" s="120">
        <f>+Actuals!G490</f>
        <v>0</v>
      </c>
      <c r="K20" s="219">
        <v>-16926</v>
      </c>
      <c r="L20" s="120">
        <f>+Actuals!I490</f>
        <v>0</v>
      </c>
      <c r="M20" s="121">
        <f>+Actuals!J490</f>
        <v>0</v>
      </c>
      <c r="N20" s="120">
        <f>+Actuals!K490</f>
        <v>0</v>
      </c>
      <c r="O20" s="121">
        <f>+Actuals!L490</f>
        <v>0</v>
      </c>
      <c r="P20" s="120">
        <f>+Actuals!M490</f>
        <v>0</v>
      </c>
      <c r="Q20" s="121">
        <f>+Actuals!N490</f>
        <v>0</v>
      </c>
      <c r="R20" s="120">
        <f>+Actuals!O490</f>
        <v>0</v>
      </c>
      <c r="S20" s="121">
        <f>+Actuals!P490</f>
        <v>0</v>
      </c>
      <c r="T20" s="120">
        <f>+Actuals!Q490</f>
        <v>0</v>
      </c>
      <c r="U20" s="121">
        <f>+Actuals!R490</f>
        <v>0</v>
      </c>
      <c r="V20" s="120">
        <f>+Actuals!S490</f>
        <v>0</v>
      </c>
      <c r="W20" s="121">
        <f>+Actuals!T490</f>
        <v>0</v>
      </c>
      <c r="X20" s="120">
        <f>+Actuals!U490</f>
        <v>0</v>
      </c>
      <c r="Y20" s="121">
        <f>+Actuals!V490</f>
        <v>0</v>
      </c>
      <c r="Z20" s="120">
        <f>+Actuals!W490</f>
        <v>0</v>
      </c>
      <c r="AA20" s="121">
        <f>+Actuals!X490</f>
        <v>0</v>
      </c>
      <c r="AB20" s="120">
        <f>+Actuals!Y490</f>
        <v>0</v>
      </c>
      <c r="AC20" s="121">
        <f>+Actuals!Z490</f>
        <v>0</v>
      </c>
      <c r="AD20" s="120">
        <f>+Actuals!AA490</f>
        <v>0</v>
      </c>
      <c r="AE20" s="121">
        <f>+Actuals!AB490</f>
        <v>0</v>
      </c>
      <c r="AF20" s="120">
        <f>+Actuals!AC490</f>
        <v>0</v>
      </c>
      <c r="AG20" s="121">
        <f>+Actuals!AD490</f>
        <v>0</v>
      </c>
      <c r="AH20" s="120">
        <f>+Actuals!AE490</f>
        <v>0</v>
      </c>
      <c r="AI20" s="121">
        <f>+Actuals!AF490</f>
        <v>0</v>
      </c>
      <c r="AJ20" s="120">
        <f>+Actuals!AG490</f>
        <v>0</v>
      </c>
      <c r="AK20" s="121">
        <f>+Actuals!AH490</f>
        <v>0</v>
      </c>
      <c r="AL20" s="120">
        <f>+Actuals!AI490</f>
        <v>0</v>
      </c>
      <c r="AM20" s="121">
        <f>+Actuals!AJ490</f>
        <v>0</v>
      </c>
      <c r="AN20" s="120">
        <f>+Actuals!AK490</f>
        <v>0</v>
      </c>
      <c r="AO20" s="121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-11024128</v>
      </c>
      <c r="E21" s="38">
        <f t="shared" si="4"/>
        <v>-25880757</v>
      </c>
      <c r="F21" s="60">
        <f>'TIE-OUT'!P21+RECLASS!R21</f>
        <v>0</v>
      </c>
      <c r="G21" s="38">
        <f>'TIE-OUT'!Q21+RECLASS!O21</f>
        <v>0</v>
      </c>
      <c r="H21" s="120">
        <f>+Actuals!E491</f>
        <v>-11024128</v>
      </c>
      <c r="I21" s="121">
        <f>+Actuals!F491</f>
        <v>-25880757</v>
      </c>
      <c r="J21" s="120">
        <f>+Actuals!G491</f>
        <v>11024128</v>
      </c>
      <c r="K21" s="121">
        <f>+Actuals!H491</f>
        <v>25880757</v>
      </c>
      <c r="L21" s="120">
        <f>+Actuals!I491</f>
        <v>0</v>
      </c>
      <c r="M21" s="121">
        <f>+Actuals!J491</f>
        <v>0</v>
      </c>
      <c r="N21" s="120">
        <f>+Actuals!K491</f>
        <v>0</v>
      </c>
      <c r="O21" s="121">
        <f>+Actuals!L491</f>
        <v>0</v>
      </c>
      <c r="P21" s="120">
        <f>+Actuals!M491</f>
        <v>0</v>
      </c>
      <c r="Q21" s="121">
        <f>+Actuals!N491</f>
        <v>0</v>
      </c>
      <c r="R21" s="120">
        <f>+Actuals!O491</f>
        <v>0</v>
      </c>
      <c r="S21" s="121">
        <f>+Actuals!P491</f>
        <v>0</v>
      </c>
      <c r="T21" s="120">
        <f>+Actuals!Q491</f>
        <v>-11024128</v>
      </c>
      <c r="U21" s="121">
        <f>+Actuals!R491</f>
        <v>-25880757</v>
      </c>
      <c r="V21" s="120">
        <f>+Actuals!S491</f>
        <v>0</v>
      </c>
      <c r="W21" s="121">
        <f>+Actuals!T491</f>
        <v>0</v>
      </c>
      <c r="X21" s="120">
        <f>+Actuals!U491</f>
        <v>0</v>
      </c>
      <c r="Y21" s="121">
        <f>+Actuals!V491</f>
        <v>0</v>
      </c>
      <c r="Z21" s="120">
        <f>+Actuals!W491</f>
        <v>0</v>
      </c>
      <c r="AA21" s="121">
        <f>+Actuals!X491</f>
        <v>0</v>
      </c>
      <c r="AB21" s="120">
        <f>+Actuals!Y491</f>
        <v>0</v>
      </c>
      <c r="AC21" s="121">
        <f>+Actuals!Z491</f>
        <v>0</v>
      </c>
      <c r="AD21" s="120">
        <f>+Actuals!AA491</f>
        <v>0</v>
      </c>
      <c r="AE21" s="121">
        <f>+Actuals!AB491</f>
        <v>0</v>
      </c>
      <c r="AF21" s="120">
        <f>+Actuals!AC491</f>
        <v>0</v>
      </c>
      <c r="AG21" s="121">
        <f>+Actuals!AD491</f>
        <v>0</v>
      </c>
      <c r="AH21" s="120">
        <f>+Actuals!AE491</f>
        <v>0</v>
      </c>
      <c r="AI21" s="121">
        <f>+Actuals!AF491</f>
        <v>0</v>
      </c>
      <c r="AJ21" s="120">
        <f>+Actuals!AG491</f>
        <v>0</v>
      </c>
      <c r="AK21" s="121">
        <f>+Actuals!AH491</f>
        <v>0</v>
      </c>
      <c r="AL21" s="120">
        <f>+Actuals!AI491</f>
        <v>0</v>
      </c>
      <c r="AM21" s="121">
        <f>+Actuals!AJ491</f>
        <v>0</v>
      </c>
      <c r="AN21" s="120">
        <f>+Actuals!AK491</f>
        <v>0</v>
      </c>
      <c r="AO21" s="121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'TIE-OUT'!P22+RECLASS!R22</f>
        <v>0</v>
      </c>
      <c r="G22" s="38">
        <f>'TIE-OUT'!Q22+RECLASS!O22</f>
        <v>0</v>
      </c>
      <c r="H22" s="120">
        <f>+Actuals!E492</f>
        <v>0</v>
      </c>
      <c r="I22" s="121">
        <f>+Actuals!F492</f>
        <v>0</v>
      </c>
      <c r="J22" s="120">
        <f>+Actuals!G492</f>
        <v>0</v>
      </c>
      <c r="K22" s="121">
        <f>+Actuals!H492</f>
        <v>0</v>
      </c>
      <c r="L22" s="120">
        <f>+Actuals!I492</f>
        <v>0</v>
      </c>
      <c r="M22" s="121">
        <f>+Actuals!J492</f>
        <v>0</v>
      </c>
      <c r="N22" s="120">
        <f>+Actuals!K492</f>
        <v>0</v>
      </c>
      <c r="O22" s="121">
        <f>+Actuals!L492</f>
        <v>0</v>
      </c>
      <c r="P22" s="120">
        <f>+Actuals!M492</f>
        <v>0</v>
      </c>
      <c r="Q22" s="121">
        <f>+Actuals!N492</f>
        <v>0</v>
      </c>
      <c r="R22" s="120">
        <f>+Actuals!O492</f>
        <v>0</v>
      </c>
      <c r="S22" s="121">
        <f>+Actuals!P492</f>
        <v>0</v>
      </c>
      <c r="T22" s="120">
        <f>+Actuals!Q492</f>
        <v>0</v>
      </c>
      <c r="U22" s="121">
        <f>+Actuals!R492</f>
        <v>0</v>
      </c>
      <c r="V22" s="120">
        <f>+Actuals!S492</f>
        <v>0</v>
      </c>
      <c r="W22" s="121">
        <f>+Actuals!T492</f>
        <v>0</v>
      </c>
      <c r="X22" s="120">
        <f>+Actuals!U492</f>
        <v>0</v>
      </c>
      <c r="Y22" s="121">
        <f>+Actuals!V492</f>
        <v>0</v>
      </c>
      <c r="Z22" s="120">
        <f>+Actuals!W492</f>
        <v>0</v>
      </c>
      <c r="AA22" s="121">
        <f>+Actuals!X492</f>
        <v>0</v>
      </c>
      <c r="AB22" s="120">
        <f>+Actuals!Y492</f>
        <v>0</v>
      </c>
      <c r="AC22" s="121">
        <f>+Actuals!Z492</f>
        <v>0</v>
      </c>
      <c r="AD22" s="120">
        <f>+Actuals!AA492</f>
        <v>0</v>
      </c>
      <c r="AE22" s="121">
        <f>+Actuals!AB492</f>
        <v>0</v>
      </c>
      <c r="AF22" s="120">
        <f>+Actuals!AC492</f>
        <v>0</v>
      </c>
      <c r="AG22" s="121">
        <f>+Actuals!AD492</f>
        <v>0</v>
      </c>
      <c r="AH22" s="120">
        <f>+Actuals!AE492</f>
        <v>0</v>
      </c>
      <c r="AI22" s="121">
        <f>+Actuals!AF492</f>
        <v>0</v>
      </c>
      <c r="AJ22" s="120">
        <f>+Actuals!AG492</f>
        <v>0</v>
      </c>
      <c r="AK22" s="121">
        <f>+Actuals!AH492</f>
        <v>0</v>
      </c>
      <c r="AL22" s="120">
        <f>+Actuals!AI492</f>
        <v>0</v>
      </c>
      <c r="AM22" s="121">
        <f>+Actuals!AJ492</f>
        <v>0</v>
      </c>
      <c r="AN22" s="120">
        <f>+Actuals!AK492</f>
        <v>0</v>
      </c>
      <c r="AO22" s="121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342347</v>
      </c>
      <c r="E23" s="38">
        <f t="shared" si="4"/>
        <v>723036.86399999994</v>
      </c>
      <c r="F23" s="81">
        <f>'TIE-OUT'!P23+RECLASS!R23</f>
        <v>0</v>
      </c>
      <c r="G23" s="82">
        <f>'TIE-OUT'!Q23+RECLASS!O23</f>
        <v>0</v>
      </c>
      <c r="H23" s="120">
        <f>+Actuals!E493</f>
        <v>341622</v>
      </c>
      <c r="I23" s="121">
        <f>+Actuals!F493</f>
        <v>721505.66399999999</v>
      </c>
      <c r="J23" s="120">
        <f>+Actuals!G493</f>
        <v>727</v>
      </c>
      <c r="K23" s="121">
        <f>+Actuals!H493</f>
        <v>1535.424</v>
      </c>
      <c r="L23" s="120">
        <f>+Actuals!I493</f>
        <v>0</v>
      </c>
      <c r="M23" s="121">
        <f>+Actuals!J493</f>
        <v>0</v>
      </c>
      <c r="N23" s="120">
        <f>+Actuals!K493</f>
        <v>-2</v>
      </c>
      <c r="O23" s="121">
        <f>+Actuals!L493</f>
        <v>-4.2240000000000002</v>
      </c>
      <c r="P23" s="120">
        <f>+Actuals!M493</f>
        <v>0</v>
      </c>
      <c r="Q23" s="121">
        <f>+Actuals!N493</f>
        <v>0</v>
      </c>
      <c r="R23" s="120">
        <f>+Actuals!O493</f>
        <v>0</v>
      </c>
      <c r="S23" s="121">
        <f>+Actuals!P493</f>
        <v>0</v>
      </c>
      <c r="T23" s="120">
        <f>+Actuals!Q493</f>
        <v>0</v>
      </c>
      <c r="U23" s="121">
        <f>+Actuals!R493</f>
        <v>0</v>
      </c>
      <c r="V23" s="120">
        <f>+Actuals!S493</f>
        <v>0</v>
      </c>
      <c r="W23" s="121">
        <f>+Actuals!T493</f>
        <v>0</v>
      </c>
      <c r="X23" s="120">
        <f>+Actuals!U493</f>
        <v>0</v>
      </c>
      <c r="Y23" s="121">
        <f>+Actuals!V493</f>
        <v>0</v>
      </c>
      <c r="Z23" s="120">
        <f>+Actuals!W493</f>
        <v>0</v>
      </c>
      <c r="AA23" s="121">
        <f>+Actuals!X493</f>
        <v>0</v>
      </c>
      <c r="AB23" s="120">
        <f>+Actuals!Y493</f>
        <v>0</v>
      </c>
      <c r="AC23" s="121">
        <f>+Actuals!Z493</f>
        <v>0</v>
      </c>
      <c r="AD23" s="120">
        <f>+Actuals!AA493</f>
        <v>0</v>
      </c>
      <c r="AE23" s="121">
        <f>+Actuals!AB493</f>
        <v>0</v>
      </c>
      <c r="AF23" s="120">
        <f>+Actuals!AC493</f>
        <v>0</v>
      </c>
      <c r="AG23" s="121">
        <f>+Actuals!AD493</f>
        <v>0</v>
      </c>
      <c r="AH23" s="120">
        <f>+Actuals!AE493</f>
        <v>0</v>
      </c>
      <c r="AI23" s="121">
        <f>+Actuals!AF493</f>
        <v>0</v>
      </c>
      <c r="AJ23" s="120">
        <f>+Actuals!AG493</f>
        <v>0</v>
      </c>
      <c r="AK23" s="121">
        <f>+Actuals!AH493</f>
        <v>0</v>
      </c>
      <c r="AL23" s="120">
        <f>+Actuals!AI493</f>
        <v>0</v>
      </c>
      <c r="AM23" s="121">
        <f>+Actuals!AJ493</f>
        <v>0</v>
      </c>
      <c r="AN23" s="120">
        <f>+Actuals!AK493</f>
        <v>0</v>
      </c>
      <c r="AO23" s="121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-39378074</v>
      </c>
      <c r="E24" s="39">
        <f t="shared" si="5"/>
        <v>-89071024.615999997</v>
      </c>
      <c r="F24" s="61">
        <f t="shared" si="5"/>
        <v>0</v>
      </c>
      <c r="G24" s="39">
        <f t="shared" si="5"/>
        <v>-670370.01</v>
      </c>
      <c r="H24" s="61">
        <f t="shared" si="5"/>
        <v>-39235349</v>
      </c>
      <c r="I24" s="39">
        <f t="shared" si="5"/>
        <v>-87333967.215999991</v>
      </c>
      <c r="J24" s="61">
        <f t="shared" ref="J24:AO24" si="6">SUM(J19:J23)</f>
        <v>10378371</v>
      </c>
      <c r="K24" s="39">
        <f t="shared" si="6"/>
        <v>24340754.673999999</v>
      </c>
      <c r="L24" s="61">
        <f t="shared" si="6"/>
        <v>193034</v>
      </c>
      <c r="M24" s="39">
        <f t="shared" si="6"/>
        <v>473319.16</v>
      </c>
      <c r="N24" s="61">
        <f t="shared" ref="N24:S24" si="7">SUM(N19:N23)</f>
        <v>-2</v>
      </c>
      <c r="O24" s="39">
        <f t="shared" si="7"/>
        <v>-4.2240000000000002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6"/>
        <v>-11024128</v>
      </c>
      <c r="U24" s="39">
        <f t="shared" si="6"/>
        <v>-25880757</v>
      </c>
      <c r="V24" s="61">
        <f t="shared" si="6"/>
        <v>0</v>
      </c>
      <c r="W24" s="39">
        <f t="shared" si="6"/>
        <v>0</v>
      </c>
      <c r="X24" s="61">
        <f t="shared" si="6"/>
        <v>310000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186260</v>
      </c>
      <c r="E27" s="38">
        <f>SUM(G27,I27,K27,M27,O27,Q27,S27,U27,W27,Y27,AA27,AC27,AE27)</f>
        <v>421770.2</v>
      </c>
      <c r="F27" s="64">
        <f>'TIE-OUT'!P27+RECLASS!R27</f>
        <v>0</v>
      </c>
      <c r="G27" s="68">
        <f>'TIE-OUT'!Q27+RECLASS!O27</f>
        <v>0</v>
      </c>
      <c r="H27" s="120">
        <f>+Actuals!E494</f>
        <v>186260</v>
      </c>
      <c r="I27" s="121">
        <f>+Actuals!F494</f>
        <v>421770.2</v>
      </c>
      <c r="J27" s="120">
        <f>+Actuals!G494</f>
        <v>0</v>
      </c>
      <c r="K27" s="121">
        <f>+Actuals!H494</f>
        <v>0</v>
      </c>
      <c r="L27" s="120">
        <f>+Actuals!I494</f>
        <v>0</v>
      </c>
      <c r="M27" s="121">
        <f>+Actuals!J494</f>
        <v>0</v>
      </c>
      <c r="N27" s="120">
        <f>+Actuals!K494</f>
        <v>0</v>
      </c>
      <c r="O27" s="121">
        <f>+Actuals!L494</f>
        <v>0</v>
      </c>
      <c r="P27" s="120">
        <f>+Actuals!M494</f>
        <v>0</v>
      </c>
      <c r="Q27" s="121">
        <f>+Actuals!N494</f>
        <v>0</v>
      </c>
      <c r="R27" s="120">
        <f>+Actuals!O494</f>
        <v>0</v>
      </c>
      <c r="S27" s="121">
        <f>+Actuals!P494</f>
        <v>0</v>
      </c>
      <c r="T27" s="120">
        <f>+Actuals!Q494</f>
        <v>0</v>
      </c>
      <c r="U27" s="121">
        <f>+Actuals!R494</f>
        <v>0</v>
      </c>
      <c r="V27" s="120">
        <f>+Actuals!S494</f>
        <v>0</v>
      </c>
      <c r="W27" s="121">
        <f>+Actuals!T494</f>
        <v>0</v>
      </c>
      <c r="X27" s="120">
        <f>+Actuals!U494</f>
        <v>0</v>
      </c>
      <c r="Y27" s="121">
        <f>+Actuals!V494</f>
        <v>0</v>
      </c>
      <c r="Z27" s="120">
        <f>+Actuals!W494</f>
        <v>0</v>
      </c>
      <c r="AA27" s="121">
        <f>+Actuals!X494</f>
        <v>0</v>
      </c>
      <c r="AB27" s="120">
        <f>+Actuals!Y494</f>
        <v>0</v>
      </c>
      <c r="AC27" s="121">
        <f>+Actuals!Z494</f>
        <v>0</v>
      </c>
      <c r="AD27" s="120">
        <f>+Actuals!AA494</f>
        <v>0</v>
      </c>
      <c r="AE27" s="121">
        <f>+Actuals!AB494</f>
        <v>0</v>
      </c>
      <c r="AF27" s="120">
        <f>+Actuals!AC494</f>
        <v>0</v>
      </c>
      <c r="AG27" s="121">
        <f>+Actuals!AD494</f>
        <v>0</v>
      </c>
      <c r="AH27" s="120">
        <f>+Actuals!AE494</f>
        <v>0</v>
      </c>
      <c r="AI27" s="121">
        <f>+Actuals!AF494</f>
        <v>0</v>
      </c>
      <c r="AJ27" s="120">
        <f>+Actuals!AG494</f>
        <v>0</v>
      </c>
      <c r="AK27" s="121">
        <f>+Actuals!AH494</f>
        <v>0</v>
      </c>
      <c r="AL27" s="120">
        <f>+Actuals!AI494</f>
        <v>0</v>
      </c>
      <c r="AM27" s="121">
        <f>+Actuals!AJ494</f>
        <v>0</v>
      </c>
      <c r="AN27" s="120">
        <f>+Actuals!AK494</f>
        <v>0</v>
      </c>
      <c r="AO27" s="121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-73000</v>
      </c>
      <c r="E28" s="38">
        <f>SUM(G28,I28,K28,M28,O28,Q28,S28,U28,W28,Y28,AA28,AC28,AE28)</f>
        <v>-178940</v>
      </c>
      <c r="F28" s="81">
        <f>'TIE-OUT'!P28+RECLASS!R28</f>
        <v>0</v>
      </c>
      <c r="G28" s="82">
        <f>'TIE-OUT'!Q28+RECLASS!O28</f>
        <v>0</v>
      </c>
      <c r="H28" s="120">
        <f>+Actuals!E495</f>
        <v>-73000</v>
      </c>
      <c r="I28" s="121">
        <f>+Actuals!F495</f>
        <v>-178940</v>
      </c>
      <c r="J28" s="120">
        <f>+Actuals!G495</f>
        <v>0</v>
      </c>
      <c r="K28" s="121">
        <f>+Actuals!H495</f>
        <v>0</v>
      </c>
      <c r="L28" s="120">
        <f>+Actuals!I495</f>
        <v>0</v>
      </c>
      <c r="M28" s="121">
        <f>+Actuals!J495</f>
        <v>0</v>
      </c>
      <c r="N28" s="120">
        <f>+Actuals!K495</f>
        <v>0</v>
      </c>
      <c r="O28" s="121">
        <f>+Actuals!L495</f>
        <v>0</v>
      </c>
      <c r="P28" s="120">
        <f>+Actuals!M495</f>
        <v>0</v>
      </c>
      <c r="Q28" s="121">
        <f>+Actuals!N495</f>
        <v>0</v>
      </c>
      <c r="R28" s="120">
        <f>+Actuals!O495</f>
        <v>0</v>
      </c>
      <c r="S28" s="121">
        <f>+Actuals!P495</f>
        <v>0</v>
      </c>
      <c r="T28" s="120">
        <f>+Actuals!Q495</f>
        <v>0</v>
      </c>
      <c r="U28" s="121">
        <f>+Actuals!R495</f>
        <v>0</v>
      </c>
      <c r="V28" s="120">
        <f>+Actuals!S495</f>
        <v>0</v>
      </c>
      <c r="W28" s="121">
        <f>+Actuals!T495</f>
        <v>0</v>
      </c>
      <c r="X28" s="120">
        <f>+Actuals!U495</f>
        <v>0</v>
      </c>
      <c r="Y28" s="121">
        <f>+Actuals!V495</f>
        <v>0</v>
      </c>
      <c r="Z28" s="120">
        <f>+Actuals!W495</f>
        <v>0</v>
      </c>
      <c r="AA28" s="121">
        <f>+Actuals!X495</f>
        <v>0</v>
      </c>
      <c r="AB28" s="120">
        <f>+Actuals!Y495</f>
        <v>0</v>
      </c>
      <c r="AC28" s="121">
        <f>+Actuals!Z495</f>
        <v>0</v>
      </c>
      <c r="AD28" s="120">
        <f>+Actuals!AA495</f>
        <v>0</v>
      </c>
      <c r="AE28" s="121">
        <f>+Actuals!AB495</f>
        <v>0</v>
      </c>
      <c r="AF28" s="120">
        <f>+Actuals!AC495</f>
        <v>0</v>
      </c>
      <c r="AG28" s="121">
        <f>+Actuals!AD495</f>
        <v>0</v>
      </c>
      <c r="AH28" s="120">
        <f>+Actuals!AE495</f>
        <v>0</v>
      </c>
      <c r="AI28" s="121">
        <f>+Actuals!AF495</f>
        <v>0</v>
      </c>
      <c r="AJ28" s="120">
        <f>+Actuals!AG495</f>
        <v>0</v>
      </c>
      <c r="AK28" s="121">
        <f>+Actuals!AH495</f>
        <v>0</v>
      </c>
      <c r="AL28" s="120">
        <f>+Actuals!AI495</f>
        <v>0</v>
      </c>
      <c r="AM28" s="121">
        <f>+Actuals!AJ495</f>
        <v>0</v>
      </c>
      <c r="AN28" s="120">
        <f>+Actuals!AK495</f>
        <v>0</v>
      </c>
      <c r="AO28" s="121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8">SUM(D27:D28)</f>
        <v>113260</v>
      </c>
      <c r="E29" s="39">
        <f t="shared" si="8"/>
        <v>242830.2</v>
      </c>
      <c r="F29" s="61">
        <f t="shared" si="8"/>
        <v>0</v>
      </c>
      <c r="G29" s="39">
        <f t="shared" si="8"/>
        <v>0</v>
      </c>
      <c r="H29" s="61">
        <f t="shared" si="8"/>
        <v>113260</v>
      </c>
      <c r="I29" s="39">
        <f t="shared" si="8"/>
        <v>242830.2</v>
      </c>
      <c r="J29" s="61">
        <f t="shared" ref="J29:AO29" si="9">SUM(J27:J28)</f>
        <v>0</v>
      </c>
      <c r="K29" s="39">
        <f t="shared" si="9"/>
        <v>0</v>
      </c>
      <c r="L29" s="61">
        <f t="shared" si="9"/>
        <v>0</v>
      </c>
      <c r="M29" s="39">
        <f t="shared" si="9"/>
        <v>0</v>
      </c>
      <c r="N29" s="61">
        <f t="shared" ref="N29:S29" si="10">SUM(N27:N28)</f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-84372</v>
      </c>
      <c r="E32" s="38">
        <f t="shared" si="11"/>
        <v>-178193.66800000001</v>
      </c>
      <c r="F32" s="64">
        <f>'TIE-OUT'!P32+RECLASS!R32</f>
        <v>0</v>
      </c>
      <c r="G32" s="68">
        <f>'TIE-OUT'!Q32+RECLASS!O32</f>
        <v>0</v>
      </c>
      <c r="H32" s="120">
        <f>+Actuals!E496</f>
        <v>-24394</v>
      </c>
      <c r="I32" s="121">
        <f>+Actuals!F496</f>
        <v>-51520.127999999997</v>
      </c>
      <c r="J32" s="120">
        <f>+Actuals!G496</f>
        <v>-27263</v>
      </c>
      <c r="K32" s="121">
        <f>+Actuals!H496</f>
        <v>-57579.455999999998</v>
      </c>
      <c r="L32" s="120">
        <f>+Actuals!I496</f>
        <v>8835</v>
      </c>
      <c r="M32" s="121">
        <f>+Actuals!J496</f>
        <v>18659.52</v>
      </c>
      <c r="N32" s="120">
        <f>+Actuals!K496</f>
        <v>-38086</v>
      </c>
      <c r="O32" s="121">
        <f>+Actuals!L496</f>
        <v>-80437.631999999998</v>
      </c>
      <c r="P32" s="120">
        <f>+Actuals!M496</f>
        <v>-3860</v>
      </c>
      <c r="Q32" s="121">
        <f>+Actuals!N496</f>
        <v>-8152.32</v>
      </c>
      <c r="R32" s="120">
        <f>+Actuals!O496</f>
        <v>4</v>
      </c>
      <c r="S32" s="121">
        <f>+Actuals!P496</f>
        <v>8.4480000000000004</v>
      </c>
      <c r="T32" s="120">
        <f>+Actuals!Q496</f>
        <v>0</v>
      </c>
      <c r="U32" s="121">
        <f>+Actuals!R496</f>
        <v>0</v>
      </c>
      <c r="V32" s="120">
        <f>+Actuals!S496</f>
        <v>0</v>
      </c>
      <c r="W32" s="121">
        <f>+Actuals!T496</f>
        <v>0</v>
      </c>
      <c r="X32" s="120">
        <v>-10000</v>
      </c>
      <c r="Y32" s="121">
        <v>-21120</v>
      </c>
      <c r="Z32" s="120">
        <v>10392</v>
      </c>
      <c r="AA32" s="121">
        <v>21947.9</v>
      </c>
      <c r="AB32" s="120">
        <f>+Actuals!Y496</f>
        <v>0</v>
      </c>
      <c r="AC32" s="121">
        <f>+Actuals!Z496</f>
        <v>0</v>
      </c>
      <c r="AD32" s="120">
        <f>+Actuals!AA496</f>
        <v>0</v>
      </c>
      <c r="AE32" s="121">
        <f>+Actuals!AB496</f>
        <v>0</v>
      </c>
      <c r="AF32" s="120">
        <f>+Actuals!AC496</f>
        <v>0</v>
      </c>
      <c r="AG32" s="121">
        <f>+Actuals!AD496</f>
        <v>0</v>
      </c>
      <c r="AH32" s="120">
        <f>+Actuals!AE496</f>
        <v>0</v>
      </c>
      <c r="AI32" s="121">
        <f>+Actuals!AF496</f>
        <v>0</v>
      </c>
      <c r="AJ32" s="120">
        <f>+Actuals!AG496</f>
        <v>0</v>
      </c>
      <c r="AK32" s="121">
        <f>+Actuals!AH496</f>
        <v>0</v>
      </c>
      <c r="AL32" s="120">
        <f>+Actuals!AI496</f>
        <v>0</v>
      </c>
      <c r="AM32" s="121">
        <f>+Actuals!AJ496</f>
        <v>0</v>
      </c>
      <c r="AN32" s="120">
        <f>+Actuals!AK496</f>
        <v>0</v>
      </c>
      <c r="AO32" s="121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1"/>
        <v>-51616</v>
      </c>
      <c r="E33" s="38">
        <f t="shared" si="11"/>
        <v>-17519.5</v>
      </c>
      <c r="F33" s="60">
        <f>'TIE-OUT'!P33+RECLASS!R33</f>
        <v>0</v>
      </c>
      <c r="G33" s="38">
        <f>'TIE-OUT'!Q33+RECLASS!O33</f>
        <v>0</v>
      </c>
      <c r="H33" s="120">
        <f>+Actuals!E497</f>
        <v>0</v>
      </c>
      <c r="I33" s="121">
        <f>+Actuals!F497</f>
        <v>0</v>
      </c>
      <c r="J33" s="120">
        <f>+Actuals!G497</f>
        <v>-238</v>
      </c>
      <c r="K33" s="121">
        <f>+Actuals!H497</f>
        <v>9889.7800000000007</v>
      </c>
      <c r="L33" s="120">
        <f>+Actuals!I497</f>
        <v>-31337</v>
      </c>
      <c r="M33" s="121">
        <f>+Actuals!J497</f>
        <v>-6.75</v>
      </c>
      <c r="N33" s="120">
        <f>+Actuals!K497</f>
        <v>-9</v>
      </c>
      <c r="O33" s="121">
        <f>+Actuals!L497</f>
        <v>-18.36</v>
      </c>
      <c r="P33" s="120">
        <f>+Actuals!M497</f>
        <v>0</v>
      </c>
      <c r="Q33" s="121">
        <f>+Actuals!N497</f>
        <v>0</v>
      </c>
      <c r="R33" s="120">
        <f>+Actuals!O497</f>
        <v>-4</v>
      </c>
      <c r="S33" s="121">
        <f>+Actuals!P497</f>
        <v>-27384.17</v>
      </c>
      <c r="T33" s="120">
        <f>+Actuals!Q497</f>
        <v>0</v>
      </c>
      <c r="U33" s="121">
        <f>+Actuals!R497</f>
        <v>0</v>
      </c>
      <c r="V33" s="120">
        <f>+Actuals!S497</f>
        <v>0</v>
      </c>
      <c r="W33" s="121">
        <f>+Actuals!T497</f>
        <v>0</v>
      </c>
      <c r="X33" s="120">
        <v>-20028</v>
      </c>
      <c r="Y33" s="121">
        <f>+Actuals!V497</f>
        <v>0</v>
      </c>
      <c r="Z33" s="120">
        <f>+Actuals!W497</f>
        <v>0</v>
      </c>
      <c r="AA33" s="121">
        <f>+Actuals!X497</f>
        <v>0</v>
      </c>
      <c r="AB33" s="120">
        <f>+Actuals!Y497</f>
        <v>0</v>
      </c>
      <c r="AC33" s="121">
        <f>+Actuals!Z497</f>
        <v>0</v>
      </c>
      <c r="AD33" s="120">
        <f>+Actuals!AA497</f>
        <v>0</v>
      </c>
      <c r="AE33" s="121">
        <f>+Actuals!AB497</f>
        <v>0</v>
      </c>
      <c r="AF33" s="120">
        <f>+Actuals!AC497</f>
        <v>0</v>
      </c>
      <c r="AG33" s="121">
        <f>+Actuals!AD497</f>
        <v>0</v>
      </c>
      <c r="AH33" s="120">
        <f>+Actuals!AE497</f>
        <v>0</v>
      </c>
      <c r="AI33" s="121">
        <f>+Actuals!AF497</f>
        <v>0</v>
      </c>
      <c r="AJ33" s="120">
        <f>+Actuals!AG497</f>
        <v>0</v>
      </c>
      <c r="AK33" s="121">
        <f>+Actuals!AH497</f>
        <v>0</v>
      </c>
      <c r="AL33" s="120">
        <f>+Actuals!AI497</f>
        <v>0</v>
      </c>
      <c r="AM33" s="121">
        <f>+Actuals!AJ497</f>
        <v>0</v>
      </c>
      <c r="AN33" s="120">
        <f>+Actuals!AK497</f>
        <v>0</v>
      </c>
      <c r="AO33" s="121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1"/>
        <v>63306</v>
      </c>
      <c r="E34" s="38">
        <f t="shared" si="11"/>
        <v>14438.359999999999</v>
      </c>
      <c r="F34" s="60">
        <f>'TIE-OUT'!P34+RECLASS!R34</f>
        <v>0</v>
      </c>
      <c r="G34" s="38">
        <f>'TIE-OUT'!Q34+RECLASS!O34</f>
        <v>0</v>
      </c>
      <c r="H34" s="120">
        <f>+Actuals!E498</f>
        <v>0</v>
      </c>
      <c r="I34" s="121">
        <f>+Actuals!F498</f>
        <v>0</v>
      </c>
      <c r="J34" s="120">
        <f>+Actuals!G498</f>
        <v>6560</v>
      </c>
      <c r="K34" s="121">
        <f>+Actuals!H498</f>
        <v>14392.64</v>
      </c>
      <c r="L34" s="120">
        <f>+Actuals!I498</f>
        <v>31338</v>
      </c>
      <c r="M34" s="121">
        <f>+Actuals!J498</f>
        <v>9</v>
      </c>
      <c r="N34" s="120">
        <f>+Actuals!K498</f>
        <v>5380</v>
      </c>
      <c r="O34" s="121">
        <f>+Actuals!L498</f>
        <v>36.72</v>
      </c>
      <c r="P34" s="120">
        <f>+Actuals!M498</f>
        <v>0</v>
      </c>
      <c r="Q34" s="121">
        <f>+Actuals!N498</f>
        <v>0</v>
      </c>
      <c r="R34" s="120">
        <f>+Actuals!O498</f>
        <v>0</v>
      </c>
      <c r="S34" s="121">
        <f>+Actuals!P498</f>
        <v>0</v>
      </c>
      <c r="T34" s="120">
        <f>+Actuals!Q498</f>
        <v>0</v>
      </c>
      <c r="U34" s="121">
        <f>+Actuals!R498</f>
        <v>0</v>
      </c>
      <c r="V34" s="120">
        <f>+Actuals!S498</f>
        <v>0</v>
      </c>
      <c r="W34" s="121">
        <f>+Actuals!T498</f>
        <v>0</v>
      </c>
      <c r="X34" s="120">
        <v>20028</v>
      </c>
      <c r="Y34" s="121">
        <f>+Actuals!V498</f>
        <v>0</v>
      </c>
      <c r="Z34" s="120">
        <f>+Actuals!W498</f>
        <v>0</v>
      </c>
      <c r="AA34" s="121">
        <f>+Actuals!X498</f>
        <v>0</v>
      </c>
      <c r="AB34" s="120">
        <f>+Actuals!Y498</f>
        <v>0</v>
      </c>
      <c r="AC34" s="121">
        <f>+Actuals!Z498</f>
        <v>0</v>
      </c>
      <c r="AD34" s="120">
        <f>+Actuals!AA498</f>
        <v>0</v>
      </c>
      <c r="AE34" s="121">
        <f>+Actuals!AB498</f>
        <v>0</v>
      </c>
      <c r="AF34" s="120">
        <f>+Actuals!AC498</f>
        <v>0</v>
      </c>
      <c r="AG34" s="121">
        <f>+Actuals!AD498</f>
        <v>0</v>
      </c>
      <c r="AH34" s="120">
        <f>+Actuals!AE498</f>
        <v>0</v>
      </c>
      <c r="AI34" s="121">
        <f>+Actuals!AF498</f>
        <v>0</v>
      </c>
      <c r="AJ34" s="120">
        <f>+Actuals!AG498</f>
        <v>0</v>
      </c>
      <c r="AK34" s="121">
        <f>+Actuals!AH498</f>
        <v>0</v>
      </c>
      <c r="AL34" s="120">
        <f>+Actuals!AI498</f>
        <v>0</v>
      </c>
      <c r="AM34" s="121">
        <f>+Actuals!AJ498</f>
        <v>0</v>
      </c>
      <c r="AN34" s="120">
        <f>+Actuals!AK498</f>
        <v>0</v>
      </c>
      <c r="AO34" s="121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1"/>
        <v>-309387</v>
      </c>
      <c r="E35" s="38">
        <f t="shared" si="11"/>
        <v>-194459.37</v>
      </c>
      <c r="F35" s="81">
        <f>'TIE-OUT'!P35+RECLASS!R35</f>
        <v>0</v>
      </c>
      <c r="G35" s="82">
        <f>'TIE-OUT'!Q35+RECLASS!O35</f>
        <v>0</v>
      </c>
      <c r="H35" s="120">
        <f>+Actuals!E499</f>
        <v>0</v>
      </c>
      <c r="I35" s="121">
        <f>+Actuals!F499</f>
        <v>0</v>
      </c>
      <c r="J35" s="120">
        <f>+Actuals!G499</f>
        <v>0</v>
      </c>
      <c r="K35" s="121">
        <f>+Actuals!H499</f>
        <v>0</v>
      </c>
      <c r="L35" s="120">
        <f>+Actuals!I499</f>
        <v>0</v>
      </c>
      <c r="M35" s="121">
        <f>+Actuals!J499</f>
        <v>0</v>
      </c>
      <c r="N35" s="120">
        <f>+Actuals!K499</f>
        <v>0</v>
      </c>
      <c r="O35" s="121">
        <f>+Actuals!L499</f>
        <v>0</v>
      </c>
      <c r="P35" s="120">
        <f>+Actuals!M499</f>
        <v>0</v>
      </c>
      <c r="Q35" s="121">
        <f>+Actuals!N499</f>
        <v>0</v>
      </c>
      <c r="R35" s="120">
        <f>+Actuals!O499</f>
        <v>0</v>
      </c>
      <c r="S35" s="121">
        <f>+Actuals!P499</f>
        <v>0</v>
      </c>
      <c r="T35" s="120">
        <f>+Actuals!Q499</f>
        <v>0</v>
      </c>
      <c r="U35" s="121">
        <f>+Actuals!R499</f>
        <v>0</v>
      </c>
      <c r="V35" s="120">
        <f>+Actuals!S499</f>
        <v>0</v>
      </c>
      <c r="W35" s="121">
        <v>-194459.37</v>
      </c>
      <c r="X35" s="120">
        <v>-300043</v>
      </c>
      <c r="Y35" s="121">
        <f>+Actuals!V499</f>
        <v>0</v>
      </c>
      <c r="Z35" s="120">
        <v>-9344</v>
      </c>
      <c r="AA35" s="121">
        <f>+Actuals!X499</f>
        <v>0</v>
      </c>
      <c r="AB35" s="120">
        <f>+Actuals!Y499</f>
        <v>0</v>
      </c>
      <c r="AC35" s="121">
        <f>+Actuals!Z499</f>
        <v>0</v>
      </c>
      <c r="AD35" s="120">
        <f>+Actuals!AA499</f>
        <v>0</v>
      </c>
      <c r="AE35" s="121">
        <f>+Actuals!AB499</f>
        <v>0</v>
      </c>
      <c r="AF35" s="120">
        <f>+Actuals!AC499</f>
        <v>0</v>
      </c>
      <c r="AG35" s="121">
        <f>+Actuals!AD499</f>
        <v>0</v>
      </c>
      <c r="AH35" s="120">
        <f>+Actuals!AE499</f>
        <v>0</v>
      </c>
      <c r="AI35" s="121">
        <f>+Actuals!AF499</f>
        <v>0</v>
      </c>
      <c r="AJ35" s="120">
        <f>+Actuals!AG499</f>
        <v>0</v>
      </c>
      <c r="AK35" s="121">
        <f>+Actuals!AH499</f>
        <v>0</v>
      </c>
      <c r="AL35" s="120">
        <f>+Actuals!AI499</f>
        <v>0</v>
      </c>
      <c r="AM35" s="121">
        <f>+Actuals!AJ499</f>
        <v>0</v>
      </c>
      <c r="AN35" s="120">
        <f>+Actuals!AK499</f>
        <v>0</v>
      </c>
      <c r="AO35" s="121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12">SUM(D32:D35)</f>
        <v>-382069</v>
      </c>
      <c r="E36" s="39">
        <f t="shared" si="12"/>
        <v>-375734.17800000001</v>
      </c>
      <c r="F36" s="61">
        <f t="shared" si="12"/>
        <v>0</v>
      </c>
      <c r="G36" s="39">
        <f t="shared" si="12"/>
        <v>0</v>
      </c>
      <c r="H36" s="61">
        <f t="shared" si="12"/>
        <v>-24394</v>
      </c>
      <c r="I36" s="39">
        <f t="shared" si="12"/>
        <v>-51520.127999999997</v>
      </c>
      <c r="J36" s="61">
        <f t="shared" ref="J36:AO36" si="13">SUM(J32:J35)</f>
        <v>-20941</v>
      </c>
      <c r="K36" s="39">
        <f t="shared" si="13"/>
        <v>-33297.036</v>
      </c>
      <c r="L36" s="61">
        <f t="shared" si="13"/>
        <v>8836</v>
      </c>
      <c r="M36" s="39">
        <f t="shared" si="13"/>
        <v>18661.77</v>
      </c>
      <c r="N36" s="61">
        <f t="shared" ref="N36:S36" si="14">SUM(N32:N35)</f>
        <v>-32715</v>
      </c>
      <c r="O36" s="39">
        <f t="shared" si="14"/>
        <v>-80419.271999999997</v>
      </c>
      <c r="P36" s="61">
        <f t="shared" si="14"/>
        <v>-3860</v>
      </c>
      <c r="Q36" s="39">
        <f t="shared" si="14"/>
        <v>-8152.32</v>
      </c>
      <c r="R36" s="61">
        <f t="shared" si="14"/>
        <v>0</v>
      </c>
      <c r="S36" s="39">
        <f t="shared" si="14"/>
        <v>-27375.721999999998</v>
      </c>
      <c r="T36" s="61">
        <f t="shared" si="13"/>
        <v>0</v>
      </c>
      <c r="U36" s="39">
        <f t="shared" si="13"/>
        <v>0</v>
      </c>
      <c r="V36" s="61">
        <f t="shared" si="13"/>
        <v>0</v>
      </c>
      <c r="W36" s="39">
        <f t="shared" si="13"/>
        <v>-194459.37</v>
      </c>
      <c r="X36" s="61">
        <f t="shared" si="13"/>
        <v>-310043</v>
      </c>
      <c r="Y36" s="39">
        <f t="shared" si="13"/>
        <v>-21120</v>
      </c>
      <c r="Z36" s="61">
        <f t="shared" si="13"/>
        <v>1048</v>
      </c>
      <c r="AA36" s="39">
        <f t="shared" si="13"/>
        <v>21947.9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52</v>
      </c>
      <c r="E39" s="38">
        <f t="shared" si="15"/>
        <v>109.82</v>
      </c>
      <c r="F39" s="64">
        <f>'TIE-OUT'!P39+RECLASS!R39</f>
        <v>0</v>
      </c>
      <c r="G39" s="68">
        <f>'TIE-OUT'!Q39+RECLASS!O39</f>
        <v>0</v>
      </c>
      <c r="H39" s="120">
        <f>+Actuals!E500</f>
        <v>0</v>
      </c>
      <c r="I39" s="121">
        <f>+Actuals!F500</f>
        <v>0</v>
      </c>
      <c r="J39" s="120">
        <f>+Actuals!G500</f>
        <v>0</v>
      </c>
      <c r="K39" s="121">
        <f>+Actuals!H500</f>
        <v>0</v>
      </c>
      <c r="L39" s="120">
        <f>+Actuals!I500</f>
        <v>51</v>
      </c>
      <c r="M39" s="121">
        <f>+Actuals!J500</f>
        <v>107.71</v>
      </c>
      <c r="N39" s="120">
        <f>+Actuals!K500</f>
        <v>0</v>
      </c>
      <c r="O39" s="121">
        <f>+Actuals!L500</f>
        <v>0</v>
      </c>
      <c r="P39" s="120">
        <f>+Actuals!M500</f>
        <v>0</v>
      </c>
      <c r="Q39" s="121">
        <f>+Actuals!N500</f>
        <v>0</v>
      </c>
      <c r="R39" s="120">
        <f>+Actuals!O500</f>
        <v>0</v>
      </c>
      <c r="S39" s="121">
        <f>+Actuals!P500</f>
        <v>0</v>
      </c>
      <c r="T39" s="120">
        <f>+Actuals!Q500</f>
        <v>1</v>
      </c>
      <c r="U39" s="121">
        <f>+Actuals!R500</f>
        <v>2.11</v>
      </c>
      <c r="V39" s="120">
        <f>+Actuals!S500</f>
        <v>0</v>
      </c>
      <c r="W39" s="121">
        <f>+Actuals!T500</f>
        <v>0</v>
      </c>
      <c r="X39" s="120">
        <f>+Actuals!U500</f>
        <v>0</v>
      </c>
      <c r="Y39" s="121">
        <f>+Actuals!V500</f>
        <v>0</v>
      </c>
      <c r="Z39" s="120">
        <f>+Actuals!W500</f>
        <v>0</v>
      </c>
      <c r="AA39" s="121">
        <f>+Actuals!X500</f>
        <v>0</v>
      </c>
      <c r="AB39" s="120">
        <f>+Actuals!Y500</f>
        <v>0</v>
      </c>
      <c r="AC39" s="121">
        <f>+Actuals!Z500</f>
        <v>0</v>
      </c>
      <c r="AD39" s="120">
        <f>+Actuals!AA500</f>
        <v>0</v>
      </c>
      <c r="AE39" s="121">
        <f>+Actuals!AB500</f>
        <v>0</v>
      </c>
      <c r="AF39" s="120">
        <f>+Actuals!AC500</f>
        <v>0</v>
      </c>
      <c r="AG39" s="121">
        <f>+Actuals!AD500</f>
        <v>0</v>
      </c>
      <c r="AH39" s="120">
        <f>+Actuals!AE500</f>
        <v>0</v>
      </c>
      <c r="AI39" s="121">
        <f>+Actuals!AF500</f>
        <v>0</v>
      </c>
      <c r="AJ39" s="120">
        <f>+Actuals!AG500</f>
        <v>0</v>
      </c>
      <c r="AK39" s="121">
        <f>+Actuals!AH500</f>
        <v>0</v>
      </c>
      <c r="AL39" s="120">
        <f>+Actuals!AI500</f>
        <v>0</v>
      </c>
      <c r="AM39" s="121">
        <f>+Actuals!AJ500</f>
        <v>0</v>
      </c>
      <c r="AN39" s="120">
        <f>+Actuals!AK500</f>
        <v>0</v>
      </c>
      <c r="AO39" s="121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5"/>
        <v>-141689</v>
      </c>
      <c r="E40" s="38">
        <f t="shared" si="15"/>
        <v>-409207.62999999995</v>
      </c>
      <c r="F40" s="60">
        <f>'TIE-OUT'!P40+RECLASS!R40</f>
        <v>0</v>
      </c>
      <c r="G40" s="38">
        <f>'TIE-OUT'!Q40+RECLASS!O40</f>
        <v>0</v>
      </c>
      <c r="H40" s="120">
        <f>+Actuals!E501</f>
        <v>-159</v>
      </c>
      <c r="I40" s="121">
        <f>+Actuals!F501</f>
        <v>-356.16</v>
      </c>
      <c r="J40" s="120">
        <f>+Actuals!G501</f>
        <v>-150183</v>
      </c>
      <c r="K40" s="121">
        <f>+Actuals!H501</f>
        <v>-265816.11</v>
      </c>
      <c r="L40" s="120">
        <f>+Actuals!I501</f>
        <v>0</v>
      </c>
      <c r="M40" s="121">
        <f>+Actuals!J501</f>
        <v>-168026.65</v>
      </c>
      <c r="N40" s="120">
        <f>+Actuals!K501</f>
        <v>8653</v>
      </c>
      <c r="O40" s="121">
        <f>+Actuals!L501</f>
        <v>24989.86</v>
      </c>
      <c r="P40" s="120">
        <f>+Actuals!M501</f>
        <v>-9344</v>
      </c>
      <c r="Q40" s="121">
        <f>+Actuals!N501</f>
        <v>-26987.48</v>
      </c>
      <c r="R40" s="120">
        <f>+Actuals!O501</f>
        <v>0</v>
      </c>
      <c r="S40" s="121">
        <f>+Actuals!P501</f>
        <v>0</v>
      </c>
      <c r="T40" s="120">
        <f>+Actuals!Q501</f>
        <v>0</v>
      </c>
      <c r="U40" s="121">
        <f>+Actuals!R501</f>
        <v>0</v>
      </c>
      <c r="V40" s="120">
        <f>+Actuals!S501</f>
        <v>0</v>
      </c>
      <c r="W40" s="121">
        <f>+Actuals!T501</f>
        <v>0</v>
      </c>
      <c r="X40" s="120">
        <f>+Actuals!U501</f>
        <v>0</v>
      </c>
      <c r="Y40" s="121">
        <f>+Actuals!V501</f>
        <v>0</v>
      </c>
      <c r="Z40" s="120">
        <v>9344</v>
      </c>
      <c r="AA40" s="121">
        <v>26988.91</v>
      </c>
      <c r="AB40" s="120">
        <f>+Actuals!Y501</f>
        <v>0</v>
      </c>
      <c r="AC40" s="121">
        <f>+Actuals!Z501</f>
        <v>0</v>
      </c>
      <c r="AD40" s="120">
        <f>+Actuals!AA501</f>
        <v>0</v>
      </c>
      <c r="AE40" s="121">
        <f>+Actuals!AB501</f>
        <v>0</v>
      </c>
      <c r="AF40" s="120">
        <f>+Actuals!AC501</f>
        <v>0</v>
      </c>
      <c r="AG40" s="121">
        <f>+Actuals!AD501</f>
        <v>0</v>
      </c>
      <c r="AH40" s="120">
        <f>+Actuals!AE501</f>
        <v>0</v>
      </c>
      <c r="AI40" s="121">
        <f>+Actuals!AF501</f>
        <v>0</v>
      </c>
      <c r="AJ40" s="120">
        <f>+Actuals!AG501</f>
        <v>0</v>
      </c>
      <c r="AK40" s="121">
        <f>+Actuals!AH501</f>
        <v>0</v>
      </c>
      <c r="AL40" s="120">
        <f>+Actuals!AI501</f>
        <v>0</v>
      </c>
      <c r="AM40" s="121">
        <f>+Actuals!AJ501</f>
        <v>0</v>
      </c>
      <c r="AN40" s="120">
        <f>+Actuals!AK501</f>
        <v>0</v>
      </c>
      <c r="AO40" s="121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'TIE-OUT'!P41+RECLASS!R41</f>
        <v>0</v>
      </c>
      <c r="G41" s="82">
        <f>'TIE-OUT'!Q41+RECLASS!O41</f>
        <v>0</v>
      </c>
      <c r="H41" s="120">
        <f>+Actuals!E502</f>
        <v>0</v>
      </c>
      <c r="I41" s="121">
        <f>+Actuals!F502</f>
        <v>0</v>
      </c>
      <c r="J41" s="120">
        <f>+Actuals!G502</f>
        <v>0</v>
      </c>
      <c r="K41" s="121">
        <f>+Actuals!H502</f>
        <v>0</v>
      </c>
      <c r="L41" s="120">
        <f>+Actuals!I502</f>
        <v>0</v>
      </c>
      <c r="M41" s="121">
        <f>+Actuals!J502</f>
        <v>0</v>
      </c>
      <c r="N41" s="120">
        <f>+Actuals!K502</f>
        <v>0</v>
      </c>
      <c r="O41" s="121">
        <f>+Actuals!L502</f>
        <v>0</v>
      </c>
      <c r="P41" s="120">
        <f>+Actuals!M502</f>
        <v>0</v>
      </c>
      <c r="Q41" s="121">
        <f>+Actuals!N502</f>
        <v>0</v>
      </c>
      <c r="R41" s="120">
        <f>+Actuals!O502</f>
        <v>0</v>
      </c>
      <c r="S41" s="121">
        <f>+Actuals!P502</f>
        <v>0</v>
      </c>
      <c r="T41" s="120">
        <f>+Actuals!Q502</f>
        <v>0</v>
      </c>
      <c r="U41" s="121">
        <f>+Actuals!R502</f>
        <v>0</v>
      </c>
      <c r="V41" s="120">
        <f>+Actuals!S502</f>
        <v>0</v>
      </c>
      <c r="W41" s="121">
        <f>+Actuals!T502</f>
        <v>0</v>
      </c>
      <c r="X41" s="120">
        <f>+Actuals!U502</f>
        <v>0</v>
      </c>
      <c r="Y41" s="121">
        <f>+Actuals!V502</f>
        <v>0</v>
      </c>
      <c r="Z41" s="120">
        <f>+Actuals!W502</f>
        <v>0</v>
      </c>
      <c r="AA41" s="121">
        <f>+Actuals!X502</f>
        <v>0</v>
      </c>
      <c r="AB41" s="120">
        <f>+Actuals!Y502</f>
        <v>0</v>
      </c>
      <c r="AC41" s="121">
        <f>+Actuals!Z502</f>
        <v>0</v>
      </c>
      <c r="AD41" s="120">
        <f>+Actuals!AA502</f>
        <v>0</v>
      </c>
      <c r="AE41" s="121">
        <f>+Actuals!AB502</f>
        <v>0</v>
      </c>
      <c r="AF41" s="120">
        <f>+Actuals!AC502</f>
        <v>0</v>
      </c>
      <c r="AG41" s="121">
        <f>+Actuals!AD502</f>
        <v>0</v>
      </c>
      <c r="AH41" s="120">
        <f>+Actuals!AE502</f>
        <v>0</v>
      </c>
      <c r="AI41" s="121">
        <f>+Actuals!AF502</f>
        <v>0</v>
      </c>
      <c r="AJ41" s="120">
        <f>+Actuals!AG502</f>
        <v>0</v>
      </c>
      <c r="AK41" s="121">
        <f>+Actuals!AH502</f>
        <v>0</v>
      </c>
      <c r="AL41" s="120">
        <f>+Actuals!AI502</f>
        <v>0</v>
      </c>
      <c r="AM41" s="121">
        <f>+Actuals!AJ502</f>
        <v>0</v>
      </c>
      <c r="AN41" s="120">
        <f>+Actuals!AK502</f>
        <v>0</v>
      </c>
      <c r="AO41" s="121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6">SUM(D40:D41)</f>
        <v>-141689</v>
      </c>
      <c r="E42" s="39">
        <f t="shared" si="16"/>
        <v>-409207.62999999995</v>
      </c>
      <c r="F42" s="61">
        <f t="shared" si="16"/>
        <v>0</v>
      </c>
      <c r="G42" s="39">
        <f t="shared" si="16"/>
        <v>0</v>
      </c>
      <c r="H42" s="61">
        <f t="shared" si="16"/>
        <v>-159</v>
      </c>
      <c r="I42" s="39">
        <f t="shared" si="16"/>
        <v>-356.16</v>
      </c>
      <c r="J42" s="61">
        <f t="shared" ref="J42:AO42" si="17">SUM(J40:J41)</f>
        <v>-150183</v>
      </c>
      <c r="K42" s="39">
        <f t="shared" si="17"/>
        <v>-265816.11</v>
      </c>
      <c r="L42" s="61">
        <f t="shared" si="17"/>
        <v>0</v>
      </c>
      <c r="M42" s="39">
        <f t="shared" si="17"/>
        <v>-168026.65</v>
      </c>
      <c r="N42" s="61">
        <f t="shared" ref="N42:S42" si="18">SUM(N40:N41)</f>
        <v>8653</v>
      </c>
      <c r="O42" s="39">
        <f t="shared" si="18"/>
        <v>24989.86</v>
      </c>
      <c r="P42" s="61">
        <f t="shared" si="18"/>
        <v>-9344</v>
      </c>
      <c r="Q42" s="39">
        <f t="shared" si="18"/>
        <v>-26987.48</v>
      </c>
      <c r="R42" s="61">
        <f t="shared" si="18"/>
        <v>0</v>
      </c>
      <c r="S42" s="39">
        <f t="shared" si="18"/>
        <v>0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9344</v>
      </c>
      <c r="AA42" s="39">
        <f t="shared" si="17"/>
        <v>26988.91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9">D42+D39</f>
        <v>-141637</v>
      </c>
      <c r="E43" s="39">
        <f t="shared" si="19"/>
        <v>-409097.80999999994</v>
      </c>
      <c r="F43" s="61">
        <f t="shared" si="19"/>
        <v>0</v>
      </c>
      <c r="G43" s="39">
        <f t="shared" si="19"/>
        <v>0</v>
      </c>
      <c r="H43" s="61">
        <f t="shared" si="19"/>
        <v>-159</v>
      </c>
      <c r="I43" s="39">
        <f t="shared" si="19"/>
        <v>-356.16</v>
      </c>
      <c r="J43" s="61">
        <f t="shared" ref="J43:AO43" si="20">J42+J39</f>
        <v>-150183</v>
      </c>
      <c r="K43" s="39">
        <f t="shared" si="20"/>
        <v>-265816.11</v>
      </c>
      <c r="L43" s="61">
        <f t="shared" si="20"/>
        <v>51</v>
      </c>
      <c r="M43" s="39">
        <f t="shared" si="20"/>
        <v>-167918.94</v>
      </c>
      <c r="N43" s="61">
        <f t="shared" ref="N43:S43" si="21">N42+N39</f>
        <v>8653</v>
      </c>
      <c r="O43" s="39">
        <f t="shared" si="21"/>
        <v>24989.86</v>
      </c>
      <c r="P43" s="61">
        <f t="shared" si="21"/>
        <v>-9344</v>
      </c>
      <c r="Q43" s="39">
        <f t="shared" si="21"/>
        <v>-26987.48</v>
      </c>
      <c r="R43" s="61">
        <f t="shared" si="21"/>
        <v>0</v>
      </c>
      <c r="S43" s="39">
        <f t="shared" si="21"/>
        <v>0</v>
      </c>
      <c r="T43" s="61">
        <f t="shared" si="20"/>
        <v>1</v>
      </c>
      <c r="U43" s="39">
        <f t="shared" si="20"/>
        <v>2.11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9344</v>
      </c>
      <c r="AA43" s="39">
        <f t="shared" si="20"/>
        <v>26988.91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'TIE-OUT'!Q45+RECLASS!O45</f>
        <v>0</v>
      </c>
      <c r="H45" s="120">
        <f>+Actuals!E503</f>
        <v>0</v>
      </c>
      <c r="I45" s="121">
        <f>+Actuals!F503</f>
        <v>0</v>
      </c>
      <c r="J45" s="120">
        <f>+Actuals!G503</f>
        <v>0</v>
      </c>
      <c r="K45" s="121">
        <f>+Actuals!H503</f>
        <v>0</v>
      </c>
      <c r="L45" s="120">
        <f>+Actuals!I503</f>
        <v>0</v>
      </c>
      <c r="M45" s="121">
        <f>+Actuals!J503</f>
        <v>0</v>
      </c>
      <c r="N45" s="120">
        <f>+Actuals!K503</f>
        <v>0</v>
      </c>
      <c r="O45" s="121">
        <f>+Actuals!L503</f>
        <v>0</v>
      </c>
      <c r="P45" s="120">
        <f>+Actuals!M503</f>
        <v>0</v>
      </c>
      <c r="Q45" s="121">
        <f>+Actuals!N503</f>
        <v>0</v>
      </c>
      <c r="R45" s="120">
        <f>+Actuals!O503</f>
        <v>0</v>
      </c>
      <c r="S45" s="121">
        <f>+Actuals!P503</f>
        <v>0</v>
      </c>
      <c r="T45" s="120">
        <f>+Actuals!Q503</f>
        <v>0</v>
      </c>
      <c r="U45" s="121">
        <f>+Actuals!R503</f>
        <v>0</v>
      </c>
      <c r="V45" s="120">
        <f>+Actuals!S503</f>
        <v>0</v>
      </c>
      <c r="W45" s="121">
        <f>+Actuals!T503</f>
        <v>0</v>
      </c>
      <c r="X45" s="120">
        <f>+Actuals!U503</f>
        <v>0</v>
      </c>
      <c r="Y45" s="121">
        <f>+Actuals!V503</f>
        <v>0</v>
      </c>
      <c r="Z45" s="120">
        <f>+Actuals!W503</f>
        <v>0</v>
      </c>
      <c r="AA45" s="121">
        <f>+Actuals!X503</f>
        <v>0</v>
      </c>
      <c r="AB45" s="120">
        <f>+Actuals!Y503</f>
        <v>0</v>
      </c>
      <c r="AC45" s="121">
        <f>+Actuals!Z503</f>
        <v>0</v>
      </c>
      <c r="AD45" s="120">
        <f>+Actuals!AA503</f>
        <v>0</v>
      </c>
      <c r="AE45" s="121">
        <f>+Actuals!AB503</f>
        <v>0</v>
      </c>
      <c r="AF45" s="120">
        <f>+Actuals!AC503</f>
        <v>0</v>
      </c>
      <c r="AG45" s="121">
        <f>+Actuals!AD503</f>
        <v>0</v>
      </c>
      <c r="AH45" s="120">
        <f>+Actuals!AE503</f>
        <v>0</v>
      </c>
      <c r="AI45" s="121">
        <f>+Actuals!AF503</f>
        <v>0</v>
      </c>
      <c r="AJ45" s="120">
        <f>+Actuals!AG503</f>
        <v>0</v>
      </c>
      <c r="AK45" s="121">
        <f>+Actuals!AH503</f>
        <v>0</v>
      </c>
      <c r="AL45" s="120">
        <f>+Actuals!AI503</f>
        <v>0</v>
      </c>
      <c r="AM45" s="121">
        <f>+Actuals!AJ503</f>
        <v>0</v>
      </c>
      <c r="AN45" s="120">
        <f>+Actuals!AK503</f>
        <v>0</v>
      </c>
      <c r="AO45" s="121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'TIE-OUT'!Q47+RECLASS!O47</f>
        <v>0</v>
      </c>
      <c r="H47" s="120">
        <f>+Actuals!E504</f>
        <v>0</v>
      </c>
      <c r="I47" s="121">
        <f>+Actuals!F504</f>
        <v>0</v>
      </c>
      <c r="J47" s="120">
        <f>+Actuals!G504</f>
        <v>0</v>
      </c>
      <c r="K47" s="121">
        <f>+Actuals!H504</f>
        <v>0</v>
      </c>
      <c r="L47" s="120">
        <f>+Actuals!I504</f>
        <v>0</v>
      </c>
      <c r="M47" s="121">
        <f>+Actuals!J504</f>
        <v>0</v>
      </c>
      <c r="N47" s="120">
        <f>+Actuals!K504</f>
        <v>0</v>
      </c>
      <c r="O47" s="121">
        <f>+Actuals!L504</f>
        <v>0</v>
      </c>
      <c r="P47" s="120">
        <f>+Actuals!M504</f>
        <v>0</v>
      </c>
      <c r="Q47" s="121">
        <f>+Actuals!N504</f>
        <v>0</v>
      </c>
      <c r="R47" s="120">
        <f>+Actuals!O504</f>
        <v>0</v>
      </c>
      <c r="S47" s="121">
        <f>+Actuals!P504</f>
        <v>0</v>
      </c>
      <c r="T47" s="120">
        <f>+Actuals!Q504</f>
        <v>0</v>
      </c>
      <c r="U47" s="121">
        <f>+Actuals!R504</f>
        <v>0</v>
      </c>
      <c r="V47" s="120">
        <f>+Actuals!S504</f>
        <v>0</v>
      </c>
      <c r="W47" s="121">
        <f>+Actuals!T504</f>
        <v>0</v>
      </c>
      <c r="X47" s="120">
        <f>+Actuals!U504</f>
        <v>0</v>
      </c>
      <c r="Y47" s="121">
        <f>+Actuals!V504</f>
        <v>0</v>
      </c>
      <c r="Z47" s="120">
        <f>+Actuals!W504</f>
        <v>0</v>
      </c>
      <c r="AA47" s="121">
        <f>+Actuals!X504</f>
        <v>0</v>
      </c>
      <c r="AB47" s="120">
        <f>+Actuals!Y504</f>
        <v>0</v>
      </c>
      <c r="AC47" s="121">
        <f>+Actuals!Z504</f>
        <v>0</v>
      </c>
      <c r="AD47" s="120">
        <f>+Actuals!AA504</f>
        <v>0</v>
      </c>
      <c r="AE47" s="121">
        <f>+Actuals!AB504</f>
        <v>0</v>
      </c>
      <c r="AF47" s="120">
        <f>+Actuals!AC504</f>
        <v>0</v>
      </c>
      <c r="AG47" s="121">
        <f>+Actuals!AD504</f>
        <v>0</v>
      </c>
      <c r="AH47" s="120">
        <f>+Actuals!AE504</f>
        <v>0</v>
      </c>
      <c r="AI47" s="121">
        <f>+Actuals!AF504</f>
        <v>0</v>
      </c>
      <c r="AJ47" s="120">
        <f>+Actuals!AG504</f>
        <v>0</v>
      </c>
      <c r="AK47" s="121">
        <f>+Actuals!AH504</f>
        <v>0</v>
      </c>
      <c r="AL47" s="120">
        <f>+Actuals!AI504</f>
        <v>0</v>
      </c>
      <c r="AM47" s="121">
        <f>+Actuals!AJ504</f>
        <v>0</v>
      </c>
      <c r="AN47" s="120">
        <f>+Actuals!AK504</f>
        <v>0</v>
      </c>
      <c r="AO47" s="121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-45651</v>
      </c>
      <c r="E49" s="38">
        <f>SUM(G49,I49,K49,M49,O49,Q49,S49,U49,W49,Y49,AA49,AC49,AE49)</f>
        <v>-96414.91200000004</v>
      </c>
      <c r="F49" s="60">
        <f>'TIE-OUT'!P49+RECLASS!R49</f>
        <v>0</v>
      </c>
      <c r="G49" s="38">
        <f>'TIE-OUT'!Q49+RECLASS!O49</f>
        <v>0</v>
      </c>
      <c r="H49" s="120">
        <f>+Actuals!E505</f>
        <v>-991567</v>
      </c>
      <c r="I49" s="121">
        <f>+Actuals!F505</f>
        <v>-2094189.504</v>
      </c>
      <c r="J49" s="120">
        <f>+Actuals!G505</f>
        <v>964259</v>
      </c>
      <c r="K49" s="121">
        <f>+Actuals!H505</f>
        <v>2036515.0079999999</v>
      </c>
      <c r="L49" s="120">
        <f>+Actuals!I505</f>
        <v>-8887</v>
      </c>
      <c r="M49" s="121">
        <f>+Actuals!J505</f>
        <v>-18769.344000000001</v>
      </c>
      <c r="N49" s="120">
        <f>+Actuals!K505</f>
        <v>-20804</v>
      </c>
      <c r="O49" s="121">
        <f>+Actuals!L505</f>
        <v>-43938.048000000003</v>
      </c>
      <c r="P49" s="120">
        <f>+Actuals!M505</f>
        <v>9344</v>
      </c>
      <c r="Q49" s="121">
        <f>+Actuals!N505</f>
        <v>19734.527999999998</v>
      </c>
      <c r="R49" s="120">
        <f>+Actuals!O505</f>
        <v>2000</v>
      </c>
      <c r="S49" s="121">
        <f>+Actuals!P505</f>
        <v>4224</v>
      </c>
      <c r="T49" s="120">
        <f>+Actuals!Q505</f>
        <v>-1</v>
      </c>
      <c r="U49" s="121">
        <f>+Actuals!R505</f>
        <v>-2.1120000000000001</v>
      </c>
      <c r="V49" s="120">
        <f>+Actuals!S504</f>
        <v>0</v>
      </c>
      <c r="W49" s="121">
        <f>+Actuals!T504</f>
        <v>0</v>
      </c>
      <c r="X49" s="120">
        <f>+Actuals!U505</f>
        <v>0</v>
      </c>
      <c r="Y49" s="121">
        <f>+Actuals!V505</f>
        <v>0</v>
      </c>
      <c r="Z49" s="120">
        <v>5</v>
      </c>
      <c r="AA49" s="121">
        <v>10.56</v>
      </c>
      <c r="AB49" s="120">
        <f>+Actuals!Y505</f>
        <v>0</v>
      </c>
      <c r="AC49" s="121">
        <f>+Actuals!Z505</f>
        <v>0</v>
      </c>
      <c r="AD49" s="120">
        <f>+Actuals!AA505</f>
        <v>0</v>
      </c>
      <c r="AE49" s="121">
        <f>+Actuals!AB505</f>
        <v>0</v>
      </c>
      <c r="AF49" s="120">
        <f>+Actuals!AC505</f>
        <v>0</v>
      </c>
      <c r="AG49" s="121">
        <f>+Actuals!AD505</f>
        <v>0</v>
      </c>
      <c r="AH49" s="120">
        <f>+Actuals!AE505</f>
        <v>0</v>
      </c>
      <c r="AI49" s="121">
        <f>+Actuals!AF505</f>
        <v>0</v>
      </c>
      <c r="AJ49" s="120">
        <f>+Actuals!AG505</f>
        <v>0</v>
      </c>
      <c r="AK49" s="121">
        <f>+Actuals!AH505</f>
        <v>0</v>
      </c>
      <c r="AL49" s="120">
        <f>+Actuals!AI505</f>
        <v>0</v>
      </c>
      <c r="AM49" s="121">
        <f>+Actuals!AJ505</f>
        <v>0</v>
      </c>
      <c r="AN49" s="120">
        <f>+Actuals!AK505</f>
        <v>0</v>
      </c>
      <c r="AO49" s="121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-342347</v>
      </c>
      <c r="E51" s="38">
        <f>SUM(G51,I51,K51,M51,O51,Q51,S51,U51,W51,Y51,AA51,AC51,AE51)</f>
        <v>-723036.86399999994</v>
      </c>
      <c r="F51" s="60">
        <f>'TIE-OUT'!P51+RECLASS!R51</f>
        <v>0</v>
      </c>
      <c r="G51" s="38">
        <f>'TIE-OUT'!Q51+RECLASS!O51</f>
        <v>0</v>
      </c>
      <c r="H51" s="120">
        <f>+Actuals!E506</f>
        <v>-341622</v>
      </c>
      <c r="I51" s="121">
        <f>+Actuals!F506</f>
        <v>-721505.66399999999</v>
      </c>
      <c r="J51" s="120">
        <f>+Actuals!G506</f>
        <v>-727</v>
      </c>
      <c r="K51" s="121">
        <f>+Actuals!H506</f>
        <v>-1535.424</v>
      </c>
      <c r="L51" s="120">
        <f>+Actuals!I506</f>
        <v>0</v>
      </c>
      <c r="M51" s="121">
        <f>+Actuals!J506</f>
        <v>0</v>
      </c>
      <c r="N51" s="120">
        <f>+Actuals!K506</f>
        <v>2</v>
      </c>
      <c r="O51" s="121">
        <f>+Actuals!L506</f>
        <v>4.2240000000000002</v>
      </c>
      <c r="P51" s="120">
        <f>+Actuals!M506</f>
        <v>0</v>
      </c>
      <c r="Q51" s="121">
        <f>+Actuals!N506</f>
        <v>0</v>
      </c>
      <c r="R51" s="120">
        <f>+Actuals!O506</f>
        <v>0</v>
      </c>
      <c r="S51" s="121">
        <f>+Actuals!P506</f>
        <v>0</v>
      </c>
      <c r="T51" s="120">
        <f>+Actuals!Q506</f>
        <v>0</v>
      </c>
      <c r="U51" s="121">
        <f>+Actuals!R506</f>
        <v>0</v>
      </c>
      <c r="V51" s="120">
        <f>+Actuals!S506</f>
        <v>0</v>
      </c>
      <c r="W51" s="121">
        <f>+Actuals!T506</f>
        <v>0</v>
      </c>
      <c r="X51" s="120">
        <f>+Actuals!U506</f>
        <v>0</v>
      </c>
      <c r="Y51" s="121">
        <f>+Actuals!V506</f>
        <v>0</v>
      </c>
      <c r="Z51" s="120">
        <f>+Actuals!W506</f>
        <v>0</v>
      </c>
      <c r="AA51" s="121">
        <f>+Actuals!X506</f>
        <v>0</v>
      </c>
      <c r="AB51" s="120">
        <f>+Actuals!Y506</f>
        <v>0</v>
      </c>
      <c r="AC51" s="121">
        <f>+Actuals!Z506</f>
        <v>0</v>
      </c>
      <c r="AD51" s="120">
        <f>+Actuals!AA506</f>
        <v>0</v>
      </c>
      <c r="AE51" s="121">
        <f>+Actuals!AB506</f>
        <v>0</v>
      </c>
      <c r="AF51" s="120">
        <f>+Actuals!AC506</f>
        <v>0</v>
      </c>
      <c r="AG51" s="121">
        <f>+Actuals!AD506</f>
        <v>0</v>
      </c>
      <c r="AH51" s="120">
        <f>+Actuals!AE506</f>
        <v>0</v>
      </c>
      <c r="AI51" s="121">
        <f>+Actuals!AF506</f>
        <v>0</v>
      </c>
      <c r="AJ51" s="120">
        <f>+Actuals!AG506</f>
        <v>0</v>
      </c>
      <c r="AK51" s="121">
        <f>+Actuals!AH506</f>
        <v>0</v>
      </c>
      <c r="AL51" s="120">
        <f>+Actuals!AI506</f>
        <v>0</v>
      </c>
      <c r="AM51" s="121">
        <f>+Actuals!AJ506</f>
        <v>0</v>
      </c>
      <c r="AN51" s="120">
        <f>+Actuals!AK506</f>
        <v>0</v>
      </c>
      <c r="AO51" s="121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-17020555</v>
      </c>
      <c r="E54" s="38">
        <f>SUM(G54,I54,K54,M54,O54,Q54,S54,U54,W54,Y54,AA54,AC54,AE54)</f>
        <v>664989.11</v>
      </c>
      <c r="F54" s="64">
        <f>'TIE-OUT'!P54+RECLASS!R54</f>
        <v>0</v>
      </c>
      <c r="G54" s="68">
        <f>'TIE-OUT'!Q54+RECLASS!O54</f>
        <v>174016</v>
      </c>
      <c r="H54" s="120">
        <f>+Actuals!E507</f>
        <v>-14772322</v>
      </c>
      <c r="I54" s="121">
        <f>+Actuals!F507</f>
        <v>-106641.1</v>
      </c>
      <c r="J54" s="120">
        <f>+Actuals!G507</f>
        <v>1503358</v>
      </c>
      <c r="K54" s="121">
        <f>+Actuals!H507</f>
        <v>-65334.43</v>
      </c>
      <c r="L54" s="120">
        <f>+Actuals!I507</f>
        <v>-3260987</v>
      </c>
      <c r="M54" s="121">
        <f>+Actuals!J507</f>
        <v>-2339.59</v>
      </c>
      <c r="N54" s="120">
        <f>+Actuals!K507</f>
        <v>-403286</v>
      </c>
      <c r="O54" s="121">
        <f>+Actuals!L507</f>
        <v>-3787.79</v>
      </c>
      <c r="P54" s="120">
        <f>+Actuals!M507</f>
        <v>0</v>
      </c>
      <c r="Q54" s="121">
        <f>+Actuals!N507</f>
        <v>-709.81</v>
      </c>
      <c r="R54" s="120">
        <f>+Actuals!O507</f>
        <v>13289</v>
      </c>
      <c r="S54" s="121">
        <f>+Actuals!P507</f>
        <v>948.77</v>
      </c>
      <c r="T54" s="120">
        <f>+Actuals!Q507</f>
        <v>43427</v>
      </c>
      <c r="U54" s="121">
        <f>+Actuals!R507</f>
        <v>668871.37</v>
      </c>
      <c r="V54" s="120">
        <v>-43427</v>
      </c>
      <c r="W54" s="121">
        <f>+Actuals!T507</f>
        <v>0</v>
      </c>
      <c r="X54" s="120">
        <v>-100607</v>
      </c>
      <c r="Y54" s="121">
        <f>+Actuals!V507</f>
        <v>0</v>
      </c>
      <c r="Z54" s="120">
        <f>+Actuals!W507</f>
        <v>0</v>
      </c>
      <c r="AA54" s="121">
        <v>-34.31</v>
      </c>
      <c r="AB54" s="120">
        <f>+Actuals!Y507</f>
        <v>0</v>
      </c>
      <c r="AC54" s="121">
        <f>+Actuals!Z507</f>
        <v>0</v>
      </c>
      <c r="AD54" s="120">
        <f>+Actuals!AA507</f>
        <v>0</v>
      </c>
      <c r="AE54" s="121">
        <f>+Actuals!AB507</f>
        <v>0</v>
      </c>
      <c r="AF54" s="120">
        <f>+Actuals!AC507</f>
        <v>0</v>
      </c>
      <c r="AG54" s="121">
        <f>+Actuals!AD507</f>
        <v>0</v>
      </c>
      <c r="AH54" s="120">
        <f>+Actuals!AE507</f>
        <v>0</v>
      </c>
      <c r="AI54" s="121">
        <f>+Actuals!AF507</f>
        <v>0</v>
      </c>
      <c r="AJ54" s="120">
        <f>+Actuals!AG507</f>
        <v>0</v>
      </c>
      <c r="AK54" s="121">
        <f>+Actuals!AH507</f>
        <v>0</v>
      </c>
      <c r="AL54" s="120">
        <f>+Actuals!AI507</f>
        <v>0</v>
      </c>
      <c r="AM54" s="121">
        <f>+Actuals!AJ507</f>
        <v>0</v>
      </c>
      <c r="AN54" s="120">
        <f>+Actuals!AK507</f>
        <v>0</v>
      </c>
      <c r="AO54" s="121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-2260415.5700000003</v>
      </c>
      <c r="F55" s="81">
        <f>'TIE-OUT'!P55+RECLASS!R55</f>
        <v>0</v>
      </c>
      <c r="G55" s="82">
        <f>'TIE-OUT'!Q55+RECLASS!O55</f>
        <v>0</v>
      </c>
      <c r="H55" s="120">
        <f>+Actuals!E508</f>
        <v>0</v>
      </c>
      <c r="I55" s="121">
        <f>+Actuals!F508</f>
        <v>-2292955.69</v>
      </c>
      <c r="J55" s="120">
        <f>+Actuals!G508</f>
        <v>0</v>
      </c>
      <c r="K55" s="121">
        <f>+Actuals!H508</f>
        <v>6046.44</v>
      </c>
      <c r="L55" s="120">
        <f>+Actuals!I508</f>
        <v>0</v>
      </c>
      <c r="M55" s="121">
        <f>+Actuals!J508</f>
        <v>-86565.16</v>
      </c>
      <c r="N55" s="120">
        <f>+Actuals!K508</f>
        <v>0</v>
      </c>
      <c r="O55" s="121">
        <f>+Actuals!L508</f>
        <v>22955.439999999999</v>
      </c>
      <c r="P55" s="120">
        <f>+Actuals!M508</f>
        <v>0</v>
      </c>
      <c r="Q55" s="121">
        <f>+Actuals!N508</f>
        <v>90103.9</v>
      </c>
      <c r="R55" s="120">
        <f>+Actuals!O508</f>
        <v>0</v>
      </c>
      <c r="S55" s="121">
        <f>+Actuals!P508</f>
        <v>0</v>
      </c>
      <c r="T55" s="120">
        <f>+Actuals!Q508</f>
        <v>0</v>
      </c>
      <c r="U55" s="121">
        <f>+Actuals!R508</f>
        <v>-0.5</v>
      </c>
      <c r="V55" s="120">
        <f>+Actuals!S508</f>
        <v>0</v>
      </c>
      <c r="W55" s="121">
        <f>+Actuals!T508</f>
        <v>0</v>
      </c>
      <c r="X55" s="120">
        <f>+Actuals!U508</f>
        <v>0</v>
      </c>
      <c r="Y55" s="121">
        <f>+Actuals!V508</f>
        <v>0</v>
      </c>
      <c r="Z55" s="120">
        <f>+Actuals!W508</f>
        <v>0</v>
      </c>
      <c r="AA55" s="121">
        <f>+Actuals!X508</f>
        <v>0</v>
      </c>
      <c r="AB55" s="120">
        <f>+Actuals!Y508</f>
        <v>0</v>
      </c>
      <c r="AC55" s="121">
        <f>+Actuals!Z508</f>
        <v>0</v>
      </c>
      <c r="AD55" s="120">
        <f>+Actuals!AA508</f>
        <v>0</v>
      </c>
      <c r="AE55" s="121">
        <f>+Actuals!AB508</f>
        <v>0</v>
      </c>
      <c r="AF55" s="120">
        <f>+Actuals!AC508</f>
        <v>0</v>
      </c>
      <c r="AG55" s="121">
        <f>+Actuals!AD508</f>
        <v>0</v>
      </c>
      <c r="AH55" s="120">
        <f>+Actuals!AE508</f>
        <v>0</v>
      </c>
      <c r="AI55" s="121">
        <f>+Actuals!AF508</f>
        <v>0</v>
      </c>
      <c r="AJ55" s="120">
        <f>+Actuals!AG508</f>
        <v>0</v>
      </c>
      <c r="AK55" s="121">
        <f>+Actuals!AH508</f>
        <v>0</v>
      </c>
      <c r="AL55" s="120">
        <f>+Actuals!AI508</f>
        <v>0</v>
      </c>
      <c r="AM55" s="121">
        <f>+Actuals!AJ508</f>
        <v>0</v>
      </c>
      <c r="AN55" s="120">
        <f>+Actuals!AK508</f>
        <v>0</v>
      </c>
      <c r="AO55" s="121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22">SUM(D54:D55)</f>
        <v>-17020555</v>
      </c>
      <c r="E56" s="39">
        <f t="shared" si="22"/>
        <v>-1595426.4600000004</v>
      </c>
      <c r="F56" s="61">
        <f t="shared" si="22"/>
        <v>0</v>
      </c>
      <c r="G56" s="39">
        <f t="shared" si="22"/>
        <v>174016</v>
      </c>
      <c r="H56" s="61">
        <f t="shared" si="22"/>
        <v>-14772322</v>
      </c>
      <c r="I56" s="39">
        <f t="shared" si="22"/>
        <v>-2399596.79</v>
      </c>
      <c r="J56" s="61">
        <f t="shared" ref="J56:AO56" si="23">SUM(J54:J55)</f>
        <v>1503358</v>
      </c>
      <c r="K56" s="39">
        <f t="shared" si="23"/>
        <v>-59287.99</v>
      </c>
      <c r="L56" s="61">
        <f t="shared" si="23"/>
        <v>-3260987</v>
      </c>
      <c r="M56" s="39">
        <f t="shared" si="23"/>
        <v>-88904.75</v>
      </c>
      <c r="N56" s="61">
        <f t="shared" ref="N56:S56" si="24">SUM(N54:N55)</f>
        <v>-403286</v>
      </c>
      <c r="O56" s="39">
        <f t="shared" si="24"/>
        <v>19167.649999999998</v>
      </c>
      <c r="P56" s="61">
        <f t="shared" si="24"/>
        <v>0</v>
      </c>
      <c r="Q56" s="39">
        <f t="shared" si="24"/>
        <v>89394.09</v>
      </c>
      <c r="R56" s="61">
        <f t="shared" si="24"/>
        <v>13289</v>
      </c>
      <c r="S56" s="39">
        <f t="shared" si="24"/>
        <v>948.77</v>
      </c>
      <c r="T56" s="61">
        <f t="shared" si="23"/>
        <v>43427</v>
      </c>
      <c r="U56" s="39">
        <f t="shared" si="23"/>
        <v>668870.87</v>
      </c>
      <c r="V56" s="61">
        <f t="shared" si="23"/>
        <v>-43427</v>
      </c>
      <c r="W56" s="39">
        <f t="shared" si="23"/>
        <v>0</v>
      </c>
      <c r="X56" s="61">
        <f t="shared" si="23"/>
        <v>-100607</v>
      </c>
      <c r="Y56" s="39">
        <f t="shared" si="23"/>
        <v>0</v>
      </c>
      <c r="Z56" s="61">
        <f t="shared" si="23"/>
        <v>0</v>
      </c>
      <c r="AA56" s="39">
        <f t="shared" si="23"/>
        <v>-34.31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'TIE-OUT'!Q59+RECLASS!O59</f>
        <v>0</v>
      </c>
      <c r="H59" s="120">
        <f>+Actuals!E509</f>
        <v>0</v>
      </c>
      <c r="I59" s="121">
        <f>+Actuals!F509</f>
        <v>0</v>
      </c>
      <c r="J59" s="120">
        <f>+Actuals!G509</f>
        <v>0</v>
      </c>
      <c r="K59" s="121">
        <f>+Actuals!H509</f>
        <v>0</v>
      </c>
      <c r="L59" s="120">
        <f>+Actuals!I509</f>
        <v>0</v>
      </c>
      <c r="M59" s="121">
        <f>+Actuals!J509</f>
        <v>0</v>
      </c>
      <c r="N59" s="120">
        <f>+Actuals!K509</f>
        <v>0</v>
      </c>
      <c r="O59" s="121">
        <f>+Actuals!L509</f>
        <v>0</v>
      </c>
      <c r="P59" s="120">
        <f>+Actuals!M509</f>
        <v>0</v>
      </c>
      <c r="Q59" s="121">
        <f>+Actuals!N509</f>
        <v>0</v>
      </c>
      <c r="R59" s="120">
        <f>+Actuals!O509</f>
        <v>0</v>
      </c>
      <c r="S59" s="121">
        <f>+Actuals!P509</f>
        <v>0</v>
      </c>
      <c r="T59" s="120">
        <f>+Actuals!Q509</f>
        <v>0</v>
      </c>
      <c r="U59" s="121">
        <f>+Actuals!R509</f>
        <v>0</v>
      </c>
      <c r="V59" s="120">
        <f>+Actuals!S509</f>
        <v>0</v>
      </c>
      <c r="W59" s="121">
        <f>+Actuals!T509</f>
        <v>0</v>
      </c>
      <c r="X59" s="120">
        <f>+Actuals!U509</f>
        <v>0</v>
      </c>
      <c r="Y59" s="121">
        <f>+Actuals!V509</f>
        <v>0</v>
      </c>
      <c r="Z59" s="120">
        <f>+Actuals!W509</f>
        <v>0</v>
      </c>
      <c r="AA59" s="121">
        <f>+Actuals!X509</f>
        <v>0</v>
      </c>
      <c r="AB59" s="120">
        <f>+Actuals!Y509</f>
        <v>0</v>
      </c>
      <c r="AC59" s="121">
        <f>+Actuals!Z509</f>
        <v>0</v>
      </c>
      <c r="AD59" s="120">
        <f>+Actuals!AA509</f>
        <v>0</v>
      </c>
      <c r="AE59" s="121">
        <f>+Actuals!AB509</f>
        <v>0</v>
      </c>
      <c r="AF59" s="120">
        <f>+Actuals!AC509</f>
        <v>0</v>
      </c>
      <c r="AG59" s="121">
        <f>+Actuals!AD509</f>
        <v>0</v>
      </c>
      <c r="AH59" s="120">
        <f>+Actuals!AE509</f>
        <v>0</v>
      </c>
      <c r="AI59" s="121">
        <f>+Actuals!AF509</f>
        <v>0</v>
      </c>
      <c r="AJ59" s="120">
        <f>+Actuals!AG509</f>
        <v>0</v>
      </c>
      <c r="AK59" s="121">
        <f>+Actuals!AH509</f>
        <v>0</v>
      </c>
      <c r="AL59" s="120">
        <f>+Actuals!AI509</f>
        <v>0</v>
      </c>
      <c r="AM59" s="121">
        <f>+Actuals!AJ509</f>
        <v>0</v>
      </c>
      <c r="AN59" s="120">
        <f>+Actuals!AK509</f>
        <v>0</v>
      </c>
      <c r="AO59" s="121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'TIE-OUT'!Q60+RECLASS!O60</f>
        <v>0</v>
      </c>
      <c r="H60" s="120">
        <f>+Actuals!E510</f>
        <v>0</v>
      </c>
      <c r="I60" s="121">
        <f>+Actuals!F510</f>
        <v>0</v>
      </c>
      <c r="J60" s="120">
        <f>+Actuals!G510</f>
        <v>0</v>
      </c>
      <c r="K60" s="121">
        <f>+Actuals!H510</f>
        <v>0</v>
      </c>
      <c r="L60" s="120">
        <f>+Actuals!I510</f>
        <v>0</v>
      </c>
      <c r="M60" s="121">
        <f>+Actuals!J510</f>
        <v>0</v>
      </c>
      <c r="N60" s="120">
        <f>+Actuals!K510</f>
        <v>0</v>
      </c>
      <c r="O60" s="121">
        <f>+Actuals!L510</f>
        <v>0</v>
      </c>
      <c r="P60" s="120">
        <f>+Actuals!M510</f>
        <v>0</v>
      </c>
      <c r="Q60" s="121">
        <f>+Actuals!N510</f>
        <v>0</v>
      </c>
      <c r="R60" s="120">
        <f>+Actuals!O510</f>
        <v>0</v>
      </c>
      <c r="S60" s="121">
        <f>+Actuals!P510</f>
        <v>0</v>
      </c>
      <c r="T60" s="120">
        <f>+Actuals!Q510</f>
        <v>0</v>
      </c>
      <c r="U60" s="121">
        <f>+Actuals!R510</f>
        <v>0</v>
      </c>
      <c r="V60" s="120">
        <f>+Actuals!S510</f>
        <v>0</v>
      </c>
      <c r="W60" s="121">
        <f>+Actuals!T510</f>
        <v>0</v>
      </c>
      <c r="X60" s="120">
        <f>+Actuals!U510</f>
        <v>0</v>
      </c>
      <c r="Y60" s="121">
        <f>+Actuals!V510</f>
        <v>0</v>
      </c>
      <c r="Z60" s="120">
        <f>+Actuals!W510</f>
        <v>0</v>
      </c>
      <c r="AA60" s="121">
        <f>+Actuals!X510</f>
        <v>0</v>
      </c>
      <c r="AB60" s="120">
        <f>+Actuals!Y510</f>
        <v>0</v>
      </c>
      <c r="AC60" s="121">
        <f>+Actuals!Z510</f>
        <v>0</v>
      </c>
      <c r="AD60" s="120">
        <f>+Actuals!AA510</f>
        <v>0</v>
      </c>
      <c r="AE60" s="121">
        <f>+Actuals!AB510</f>
        <v>0</v>
      </c>
      <c r="AF60" s="120">
        <f>+Actuals!AC510</f>
        <v>0</v>
      </c>
      <c r="AG60" s="121">
        <f>+Actuals!AD510</f>
        <v>0</v>
      </c>
      <c r="AH60" s="120">
        <f>+Actuals!AE510</f>
        <v>0</v>
      </c>
      <c r="AI60" s="121">
        <f>+Actuals!AF510</f>
        <v>0</v>
      </c>
      <c r="AJ60" s="120">
        <f>+Actuals!AG510</f>
        <v>0</v>
      </c>
      <c r="AK60" s="121">
        <f>+Actuals!AH510</f>
        <v>0</v>
      </c>
      <c r="AL60" s="120">
        <f>+Actuals!AI510</f>
        <v>0</v>
      </c>
      <c r="AM60" s="121">
        <f>+Actuals!AJ510</f>
        <v>0</v>
      </c>
      <c r="AN60" s="120">
        <f>+Actuals!AK510</f>
        <v>0</v>
      </c>
      <c r="AO60" s="121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'TIE-OUT'!Q64+RECLASS!O64</f>
        <v>0</v>
      </c>
      <c r="H64" s="120">
        <f>+Actuals!E511</f>
        <v>0</v>
      </c>
      <c r="I64" s="121">
        <f>+Actuals!F511</f>
        <v>0</v>
      </c>
      <c r="J64" s="120">
        <f>+Actuals!G511</f>
        <v>0</v>
      </c>
      <c r="K64" s="121">
        <f>+Actuals!H511</f>
        <v>0</v>
      </c>
      <c r="L64" s="120">
        <f>+Actuals!I511</f>
        <v>0</v>
      </c>
      <c r="M64" s="121">
        <f>+Actuals!J511</f>
        <v>0</v>
      </c>
      <c r="N64" s="120">
        <f>+Actuals!K511</f>
        <v>0</v>
      </c>
      <c r="O64" s="121">
        <f>+Actuals!L511</f>
        <v>0</v>
      </c>
      <c r="P64" s="120">
        <f>+Actuals!M511</f>
        <v>0</v>
      </c>
      <c r="Q64" s="121">
        <f>+Actuals!N511</f>
        <v>0</v>
      </c>
      <c r="R64" s="120">
        <f>+Actuals!O511</f>
        <v>0</v>
      </c>
      <c r="S64" s="121">
        <f>+Actuals!P511</f>
        <v>0</v>
      </c>
      <c r="T64" s="120">
        <f>+Actuals!Q511</f>
        <v>0</v>
      </c>
      <c r="U64" s="121">
        <f>+Actuals!R511</f>
        <v>0</v>
      </c>
      <c r="V64" s="120">
        <f>+Actuals!S511</f>
        <v>0</v>
      </c>
      <c r="W64" s="121">
        <f>+Actuals!T511</f>
        <v>0</v>
      </c>
      <c r="X64" s="120">
        <f>+Actuals!U511</f>
        <v>0</v>
      </c>
      <c r="Y64" s="121">
        <f>+Actuals!V511</f>
        <v>0</v>
      </c>
      <c r="Z64" s="120">
        <f>+Actuals!W511</f>
        <v>0</v>
      </c>
      <c r="AA64" s="121">
        <f>+Actuals!X511</f>
        <v>0</v>
      </c>
      <c r="AB64" s="120">
        <f>+Actuals!Y511</f>
        <v>0</v>
      </c>
      <c r="AC64" s="121">
        <f>+Actuals!Z511</f>
        <v>0</v>
      </c>
      <c r="AD64" s="120">
        <f>+Actuals!AA511</f>
        <v>0</v>
      </c>
      <c r="AE64" s="121">
        <f>+Actuals!AB511</f>
        <v>0</v>
      </c>
      <c r="AF64" s="120">
        <f>+Actuals!AC511</f>
        <v>0</v>
      </c>
      <c r="AG64" s="121">
        <f>+Actuals!AD511</f>
        <v>0</v>
      </c>
      <c r="AH64" s="120">
        <f>+Actuals!AE511</f>
        <v>0</v>
      </c>
      <c r="AI64" s="121">
        <f>+Actuals!AF511</f>
        <v>0</v>
      </c>
      <c r="AJ64" s="120">
        <f>+Actuals!AG511</f>
        <v>0</v>
      </c>
      <c r="AK64" s="121">
        <f>+Actuals!AH511</f>
        <v>0</v>
      </c>
      <c r="AL64" s="120">
        <f>+Actuals!AI511</f>
        <v>0</v>
      </c>
      <c r="AM64" s="121">
        <f>+Actuals!AJ511</f>
        <v>0</v>
      </c>
      <c r="AN64" s="120">
        <f>+Actuals!AK511</f>
        <v>0</v>
      </c>
      <c r="AO64" s="121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'TIE-OUT'!Q65+RECLASS!O65</f>
        <v>0</v>
      </c>
      <c r="H65" s="120">
        <f>+Actuals!E512</f>
        <v>0</v>
      </c>
      <c r="I65" s="121">
        <f>+Actuals!F512</f>
        <v>0</v>
      </c>
      <c r="J65" s="120">
        <f>+Actuals!G512</f>
        <v>0</v>
      </c>
      <c r="K65" s="121">
        <f>+Actuals!H512</f>
        <v>0</v>
      </c>
      <c r="L65" s="120">
        <f>+Actuals!I512</f>
        <v>0</v>
      </c>
      <c r="M65" s="121">
        <f>+Actuals!J512</f>
        <v>0</v>
      </c>
      <c r="N65" s="120">
        <f>+Actuals!K512</f>
        <v>0</v>
      </c>
      <c r="O65" s="121">
        <f>+Actuals!L512</f>
        <v>0</v>
      </c>
      <c r="P65" s="120">
        <f>+Actuals!M512</f>
        <v>0</v>
      </c>
      <c r="Q65" s="121">
        <f>+Actuals!N512</f>
        <v>0</v>
      </c>
      <c r="R65" s="120">
        <f>+Actuals!O512</f>
        <v>0</v>
      </c>
      <c r="S65" s="121">
        <f>+Actuals!P512</f>
        <v>0</v>
      </c>
      <c r="T65" s="120">
        <f>+Actuals!Q512</f>
        <v>0</v>
      </c>
      <c r="U65" s="121">
        <f>+Actuals!R512</f>
        <v>0</v>
      </c>
      <c r="V65" s="120">
        <f>+Actuals!S512</f>
        <v>0</v>
      </c>
      <c r="W65" s="121">
        <f>+Actuals!T512</f>
        <v>0</v>
      </c>
      <c r="X65" s="120">
        <f>+Actuals!U512</f>
        <v>0</v>
      </c>
      <c r="Y65" s="121">
        <f>+Actuals!V512</f>
        <v>0</v>
      </c>
      <c r="Z65" s="120">
        <f>+Actuals!W512</f>
        <v>0</v>
      </c>
      <c r="AA65" s="121">
        <f>+Actuals!X512</f>
        <v>0</v>
      </c>
      <c r="AB65" s="120">
        <f>+Actuals!Y512</f>
        <v>0</v>
      </c>
      <c r="AC65" s="121">
        <f>+Actuals!Z512</f>
        <v>0</v>
      </c>
      <c r="AD65" s="120">
        <f>+Actuals!AA512</f>
        <v>0</v>
      </c>
      <c r="AE65" s="121">
        <f>+Actuals!AB512</f>
        <v>0</v>
      </c>
      <c r="AF65" s="120">
        <f>+Actuals!AC512</f>
        <v>0</v>
      </c>
      <c r="AG65" s="121">
        <f>+Actuals!AD512</f>
        <v>0</v>
      </c>
      <c r="AH65" s="120">
        <f>+Actuals!AE512</f>
        <v>0</v>
      </c>
      <c r="AI65" s="121">
        <f>+Actuals!AF512</f>
        <v>0</v>
      </c>
      <c r="AJ65" s="120">
        <f>+Actuals!AG512</f>
        <v>0</v>
      </c>
      <c r="AK65" s="121">
        <f>+Actuals!AH512</f>
        <v>0</v>
      </c>
      <c r="AL65" s="120">
        <f>+Actuals!AI512</f>
        <v>0</v>
      </c>
      <c r="AM65" s="121">
        <f>+Actuals!AJ512</f>
        <v>0</v>
      </c>
      <c r="AN65" s="120">
        <f>+Actuals!AK512</f>
        <v>0</v>
      </c>
      <c r="AO65" s="121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2053660</v>
      </c>
      <c r="F70" s="64">
        <f>'TIE-OUT'!P70+RECLASS!R70</f>
        <v>0</v>
      </c>
      <c r="G70" s="68">
        <f>'TIE-OUT'!Q70+RECLASS!O70</f>
        <v>2053660</v>
      </c>
      <c r="H70" s="120">
        <f>+Actuals!E513</f>
        <v>0</v>
      </c>
      <c r="I70" s="121">
        <f>+Actuals!F513</f>
        <v>0</v>
      </c>
      <c r="J70" s="120">
        <f>+Actuals!G513</f>
        <v>0</v>
      </c>
      <c r="K70" s="121">
        <f>+Actuals!H513</f>
        <v>0</v>
      </c>
      <c r="L70" s="120">
        <f>+Actuals!I513</f>
        <v>0</v>
      </c>
      <c r="M70" s="121">
        <f>+Actuals!J513</f>
        <v>0</v>
      </c>
      <c r="N70" s="120">
        <f>+Actuals!K513</f>
        <v>0</v>
      </c>
      <c r="O70" s="121">
        <f>+Actuals!L513</f>
        <v>0</v>
      </c>
      <c r="P70" s="120">
        <f>+Actuals!M513</f>
        <v>0</v>
      </c>
      <c r="Q70" s="121">
        <f>+Actuals!N513</f>
        <v>0</v>
      </c>
      <c r="R70" s="120">
        <f>+Actuals!O513</f>
        <v>0</v>
      </c>
      <c r="S70" s="121">
        <f>+Actuals!P513</f>
        <v>0</v>
      </c>
      <c r="T70" s="120">
        <f>+Actuals!Q513</f>
        <v>0</v>
      </c>
      <c r="U70" s="121">
        <f>+Actuals!R513</f>
        <v>0</v>
      </c>
      <c r="V70" s="120">
        <f>+Actuals!S513</f>
        <v>0</v>
      </c>
      <c r="W70" s="121">
        <f>+Actuals!T513</f>
        <v>0</v>
      </c>
      <c r="X70" s="120">
        <f>+Actuals!U513</f>
        <v>0</v>
      </c>
      <c r="Y70" s="121">
        <f>+Actuals!V513</f>
        <v>0</v>
      </c>
      <c r="Z70" s="120">
        <f>+Actuals!W513</f>
        <v>0</v>
      </c>
      <c r="AA70" s="121">
        <f>+Actuals!X513</f>
        <v>0</v>
      </c>
      <c r="AB70" s="120">
        <f>+Actuals!Y513</f>
        <v>0</v>
      </c>
      <c r="AC70" s="121">
        <f>+Actuals!Z513</f>
        <v>0</v>
      </c>
      <c r="AD70" s="120">
        <f>+Actuals!AA513</f>
        <v>0</v>
      </c>
      <c r="AE70" s="121">
        <f>+Actuals!AB513</f>
        <v>0</v>
      </c>
      <c r="AF70" s="120">
        <f>+Actuals!AC513</f>
        <v>0</v>
      </c>
      <c r="AG70" s="121">
        <f>+Actuals!AD513</f>
        <v>0</v>
      </c>
      <c r="AH70" s="120">
        <f>+Actuals!AE513</f>
        <v>0</v>
      </c>
      <c r="AI70" s="121">
        <f>+Actuals!AF513</f>
        <v>0</v>
      </c>
      <c r="AJ70" s="120">
        <f>+Actuals!AG513</f>
        <v>0</v>
      </c>
      <c r="AK70" s="121">
        <f>+Actuals!AH513</f>
        <v>0</v>
      </c>
      <c r="AL70" s="120">
        <f>+Actuals!AI513</f>
        <v>0</v>
      </c>
      <c r="AM70" s="121">
        <f>+Actuals!AJ513</f>
        <v>0</v>
      </c>
      <c r="AN70" s="120">
        <f>+Actuals!AK513</f>
        <v>0</v>
      </c>
      <c r="AO70" s="121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-1968882</v>
      </c>
      <c r="F71" s="81">
        <f>'TIE-OUT'!P71+RECLASS!R71</f>
        <v>0</v>
      </c>
      <c r="G71" s="82">
        <f>'TIE-OUT'!Q71+RECLASS!O71</f>
        <v>-1968882</v>
      </c>
      <c r="H71" s="120">
        <f>+Actuals!E514</f>
        <v>0</v>
      </c>
      <c r="I71" s="121">
        <f>+Actuals!F514</f>
        <v>0</v>
      </c>
      <c r="J71" s="120">
        <f>+Actuals!G514</f>
        <v>0</v>
      </c>
      <c r="K71" s="121">
        <f>+Actuals!H514</f>
        <v>0</v>
      </c>
      <c r="L71" s="120">
        <f>+Actuals!I514</f>
        <v>0</v>
      </c>
      <c r="M71" s="121">
        <f>+Actuals!J514</f>
        <v>0</v>
      </c>
      <c r="N71" s="120">
        <f>+Actuals!K514</f>
        <v>0</v>
      </c>
      <c r="O71" s="121">
        <f>+Actuals!L514</f>
        <v>0</v>
      </c>
      <c r="P71" s="120">
        <f>+Actuals!M514</f>
        <v>0</v>
      </c>
      <c r="Q71" s="121">
        <f>+Actuals!N514</f>
        <v>0</v>
      </c>
      <c r="R71" s="120">
        <f>+Actuals!O514</f>
        <v>0</v>
      </c>
      <c r="S71" s="121">
        <f>+Actuals!P514</f>
        <v>0</v>
      </c>
      <c r="T71" s="120">
        <f>+Actuals!Q514</f>
        <v>0</v>
      </c>
      <c r="U71" s="121">
        <f>+Actuals!R514</f>
        <v>0</v>
      </c>
      <c r="V71" s="120">
        <f>+Actuals!S514</f>
        <v>0</v>
      </c>
      <c r="W71" s="121">
        <f>+Actuals!T514</f>
        <v>0</v>
      </c>
      <c r="X71" s="120">
        <f>+Actuals!U514</f>
        <v>0</v>
      </c>
      <c r="Y71" s="121">
        <f>+Actuals!V514</f>
        <v>0</v>
      </c>
      <c r="Z71" s="120">
        <f>+Actuals!W514</f>
        <v>0</v>
      </c>
      <c r="AA71" s="121">
        <f>+Actuals!X514</f>
        <v>0</v>
      </c>
      <c r="AB71" s="120">
        <f>+Actuals!Y514</f>
        <v>0</v>
      </c>
      <c r="AC71" s="121">
        <f>+Actuals!Z514</f>
        <v>0</v>
      </c>
      <c r="AD71" s="120">
        <f>+Actuals!AA514</f>
        <v>0</v>
      </c>
      <c r="AE71" s="121">
        <f>+Actuals!AB514</f>
        <v>0</v>
      </c>
      <c r="AF71" s="120">
        <f>+Actuals!AC514</f>
        <v>0</v>
      </c>
      <c r="AG71" s="121">
        <f>+Actuals!AD514</f>
        <v>0</v>
      </c>
      <c r="AH71" s="120">
        <f>+Actuals!AE514</f>
        <v>0</v>
      </c>
      <c r="AI71" s="121">
        <f>+Actuals!AF514</f>
        <v>0</v>
      </c>
      <c r="AJ71" s="120">
        <f>+Actuals!AG514</f>
        <v>0</v>
      </c>
      <c r="AK71" s="121">
        <f>+Actuals!AH514</f>
        <v>0</v>
      </c>
      <c r="AL71" s="120">
        <f>+Actuals!AI514</f>
        <v>0</v>
      </c>
      <c r="AM71" s="121">
        <f>+Actuals!AJ514</f>
        <v>0</v>
      </c>
      <c r="AN71" s="120">
        <f>+Actuals!AK514</f>
        <v>0</v>
      </c>
      <c r="AO71" s="121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84778</v>
      </c>
      <c r="F72" s="61">
        <f t="shared" si="31"/>
        <v>0</v>
      </c>
      <c r="G72" s="39">
        <f t="shared" si="31"/>
        <v>84778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'TIE-OUT'!P73+RECLASS!R73</f>
        <v>0</v>
      </c>
      <c r="G73" s="60">
        <f>'TIE-OUT'!Q73+RECLASS!O73</f>
        <v>0</v>
      </c>
      <c r="H73" s="120">
        <f>+Actuals!E515</f>
        <v>0</v>
      </c>
      <c r="I73" s="121">
        <f>+Actuals!F515</f>
        <v>0</v>
      </c>
      <c r="J73" s="120">
        <f>+Actuals!G515</f>
        <v>0</v>
      </c>
      <c r="K73" s="121">
        <f>+Actuals!H515</f>
        <v>0</v>
      </c>
      <c r="L73" s="120">
        <f>+Actuals!I515</f>
        <v>0</v>
      </c>
      <c r="M73" s="121">
        <f>+Actuals!J515</f>
        <v>0</v>
      </c>
      <c r="N73" s="120">
        <f>+Actuals!K515</f>
        <v>0</v>
      </c>
      <c r="O73" s="121">
        <f>+Actuals!L515</f>
        <v>0</v>
      </c>
      <c r="P73" s="120">
        <f>+Actuals!M515</f>
        <v>0</v>
      </c>
      <c r="Q73" s="121">
        <f>+Actuals!N515</f>
        <v>0</v>
      </c>
      <c r="R73" s="120">
        <f>+Actuals!O515</f>
        <v>0</v>
      </c>
      <c r="S73" s="121">
        <f>+Actuals!P515</f>
        <v>0</v>
      </c>
      <c r="T73" s="120">
        <f>+Actuals!Q515</f>
        <v>0</v>
      </c>
      <c r="U73" s="121">
        <f>+Actuals!R515</f>
        <v>0</v>
      </c>
      <c r="V73" s="120">
        <f>+Actuals!S515</f>
        <v>0</v>
      </c>
      <c r="W73" s="121">
        <f>+Actuals!T515</f>
        <v>0</v>
      </c>
      <c r="X73" s="120">
        <f>+Actuals!U515</f>
        <v>0</v>
      </c>
      <c r="Y73" s="121">
        <f>+Actuals!V515</f>
        <v>0</v>
      </c>
      <c r="Z73" s="120">
        <f>+Actuals!W515</f>
        <v>0</v>
      </c>
      <c r="AA73" s="121">
        <f>+Actuals!X515</f>
        <v>0</v>
      </c>
      <c r="AB73" s="120">
        <f>+Actuals!Y515</f>
        <v>0</v>
      </c>
      <c r="AC73" s="121">
        <f>+Actuals!Z515</f>
        <v>0</v>
      </c>
      <c r="AD73" s="120">
        <f>+Actuals!AA515</f>
        <v>0</v>
      </c>
      <c r="AE73" s="121">
        <f>+Actuals!AB515</f>
        <v>0</v>
      </c>
      <c r="AF73" s="120">
        <f>+Actuals!AC515</f>
        <v>0</v>
      </c>
      <c r="AG73" s="121">
        <f>+Actuals!AD515</f>
        <v>0</v>
      </c>
      <c r="AH73" s="120">
        <f>+Actuals!AE515</f>
        <v>0</v>
      </c>
      <c r="AI73" s="121">
        <f>+Actuals!AF515</f>
        <v>0</v>
      </c>
      <c r="AJ73" s="120">
        <f>+Actuals!AG515</f>
        <v>0</v>
      </c>
      <c r="AK73" s="121">
        <f>+Actuals!AH515</f>
        <v>0</v>
      </c>
      <c r="AL73" s="120">
        <f>+Actuals!AI515</f>
        <v>0</v>
      </c>
      <c r="AM73" s="121">
        <f>+Actuals!AJ515</f>
        <v>0</v>
      </c>
      <c r="AN73" s="120">
        <f>+Actuals!AK515</f>
        <v>0</v>
      </c>
      <c r="AO73" s="121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1845811</v>
      </c>
      <c r="F74" s="60">
        <f>'TIE-OUT'!P74+RECLASS!R74</f>
        <v>0</v>
      </c>
      <c r="G74" s="60">
        <f>'TIE-OUT'!Q74+RECLASS!O74</f>
        <v>1845811</v>
      </c>
      <c r="H74" s="120">
        <f>+Actuals!E516</f>
        <v>0</v>
      </c>
      <c r="I74" s="121">
        <f>+Actuals!F516</f>
        <v>0</v>
      </c>
      <c r="J74" s="120">
        <f>+Actuals!G516</f>
        <v>0</v>
      </c>
      <c r="K74" s="121">
        <f>+Actuals!H516</f>
        <v>0</v>
      </c>
      <c r="L74" s="120">
        <f>+Actuals!I516</f>
        <v>0</v>
      </c>
      <c r="M74" s="121">
        <f>+Actuals!J516</f>
        <v>0</v>
      </c>
      <c r="N74" s="120">
        <f>+Actuals!K516</f>
        <v>0</v>
      </c>
      <c r="O74" s="121">
        <f>+Actuals!L516</f>
        <v>0</v>
      </c>
      <c r="P74" s="120">
        <f>+Actuals!M516</f>
        <v>0</v>
      </c>
      <c r="Q74" s="121">
        <f>+Actuals!N516</f>
        <v>0</v>
      </c>
      <c r="R74" s="120">
        <f>+Actuals!O516</f>
        <v>0</v>
      </c>
      <c r="S74" s="121">
        <f>+Actuals!P516</f>
        <v>0</v>
      </c>
      <c r="T74" s="120">
        <f>+Actuals!Q516</f>
        <v>0</v>
      </c>
      <c r="U74" s="121">
        <f>+Actuals!R516</f>
        <v>0</v>
      </c>
      <c r="V74" s="120">
        <f>+Actuals!S516</f>
        <v>0</v>
      </c>
      <c r="W74" s="121">
        <f>+Actuals!T516</f>
        <v>0</v>
      </c>
      <c r="X74" s="120">
        <f>+Actuals!U516</f>
        <v>0</v>
      </c>
      <c r="Y74" s="121">
        <f>+Actuals!V516</f>
        <v>0</v>
      </c>
      <c r="Z74" s="120">
        <f>+Actuals!W516</f>
        <v>0</v>
      </c>
      <c r="AA74" s="121">
        <f>+Actuals!X516</f>
        <v>0</v>
      </c>
      <c r="AB74" s="120">
        <f>+Actuals!Y516</f>
        <v>0</v>
      </c>
      <c r="AC74" s="121">
        <f>+Actuals!Z516</f>
        <v>0</v>
      </c>
      <c r="AD74" s="120">
        <f>+Actuals!AA516</f>
        <v>0</v>
      </c>
      <c r="AE74" s="121">
        <f>+Actuals!AB516</f>
        <v>0</v>
      </c>
      <c r="AF74" s="120">
        <f>+Actuals!AC516</f>
        <v>0</v>
      </c>
      <c r="AG74" s="121">
        <f>+Actuals!AD516</f>
        <v>0</v>
      </c>
      <c r="AH74" s="120">
        <f>+Actuals!AE516</f>
        <v>0</v>
      </c>
      <c r="AI74" s="121">
        <f>+Actuals!AF516</f>
        <v>0</v>
      </c>
      <c r="AJ74" s="120">
        <f>+Actuals!AG516</f>
        <v>0</v>
      </c>
      <c r="AK74" s="121">
        <f>+Actuals!AH516</f>
        <v>0</v>
      </c>
      <c r="AL74" s="120">
        <f>+Actuals!AI516</f>
        <v>0</v>
      </c>
      <c r="AM74" s="121">
        <f>+Actuals!AJ516</f>
        <v>0</v>
      </c>
      <c r="AN74" s="120">
        <f>+Actuals!AK516</f>
        <v>0</v>
      </c>
      <c r="AO74" s="121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600</v>
      </c>
      <c r="F75" s="60">
        <f>'TIE-OUT'!P75+RECLASS!R75</f>
        <v>0</v>
      </c>
      <c r="G75" s="60">
        <f>'TIE-OUT'!Q75+RECLASS!O75</f>
        <v>600</v>
      </c>
      <c r="H75" s="120">
        <f>+Actuals!E517</f>
        <v>0</v>
      </c>
      <c r="I75" s="121">
        <f>+Actuals!F517</f>
        <v>0</v>
      </c>
      <c r="J75" s="120">
        <f>+Actuals!G517</f>
        <v>0</v>
      </c>
      <c r="K75" s="121">
        <f>+Actuals!H517</f>
        <v>0</v>
      </c>
      <c r="L75" s="120">
        <f>+Actuals!I517</f>
        <v>0</v>
      </c>
      <c r="M75" s="121">
        <f>+Actuals!J517</f>
        <v>0</v>
      </c>
      <c r="N75" s="120">
        <f>+Actuals!K517</f>
        <v>0</v>
      </c>
      <c r="O75" s="121">
        <f>+Actuals!L517</f>
        <v>0</v>
      </c>
      <c r="P75" s="120">
        <f>+Actuals!M517</f>
        <v>0</v>
      </c>
      <c r="Q75" s="121">
        <f>+Actuals!N517</f>
        <v>0</v>
      </c>
      <c r="R75" s="120">
        <f>+Actuals!O517</f>
        <v>0</v>
      </c>
      <c r="S75" s="121">
        <f>+Actuals!P517</f>
        <v>0</v>
      </c>
      <c r="T75" s="120">
        <f>+Actuals!Q517</f>
        <v>0</v>
      </c>
      <c r="U75" s="121">
        <f>+Actuals!R517</f>
        <v>0</v>
      </c>
      <c r="V75" s="120">
        <f>+Actuals!S517</f>
        <v>0</v>
      </c>
      <c r="W75" s="121">
        <f>+Actuals!T517</f>
        <v>0</v>
      </c>
      <c r="X75" s="120">
        <f>+Actuals!U517</f>
        <v>0</v>
      </c>
      <c r="Y75" s="121">
        <f>+Actuals!V517</f>
        <v>0</v>
      </c>
      <c r="Z75" s="120">
        <f>+Actuals!W517</f>
        <v>0</v>
      </c>
      <c r="AA75" s="121">
        <f>+Actuals!X517</f>
        <v>0</v>
      </c>
      <c r="AB75" s="120">
        <f>+Actuals!Y517</f>
        <v>0</v>
      </c>
      <c r="AC75" s="121">
        <f>+Actuals!Z517</f>
        <v>0</v>
      </c>
      <c r="AD75" s="120">
        <f>+Actuals!AA517</f>
        <v>0</v>
      </c>
      <c r="AE75" s="121">
        <f>+Actuals!AB517</f>
        <v>0</v>
      </c>
      <c r="AF75" s="120">
        <f>+Actuals!AC517</f>
        <v>0</v>
      </c>
      <c r="AG75" s="121">
        <f>+Actuals!AD517</f>
        <v>0</v>
      </c>
      <c r="AH75" s="120">
        <f>+Actuals!AE517</f>
        <v>0</v>
      </c>
      <c r="AI75" s="121">
        <f>+Actuals!AF517</f>
        <v>0</v>
      </c>
      <c r="AJ75" s="120">
        <f>+Actuals!AG517</f>
        <v>0</v>
      </c>
      <c r="AK75" s="121">
        <f>+Actuals!AH517</f>
        <v>0</v>
      </c>
      <c r="AL75" s="120">
        <f>+Actuals!AI517</f>
        <v>0</v>
      </c>
      <c r="AM75" s="121">
        <f>+Actuals!AJ517</f>
        <v>0</v>
      </c>
      <c r="AN75" s="120">
        <f>+Actuals!AK517</f>
        <v>0</v>
      </c>
      <c r="AO75" s="121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-20031.480000000003</v>
      </c>
      <c r="F76" s="60">
        <f>'TIE-OUT'!P76+RECLASS!R76</f>
        <v>0</v>
      </c>
      <c r="G76" s="60">
        <f>'TIE-OUT'!Q76+RECLASS!O76</f>
        <v>0</v>
      </c>
      <c r="H76" s="120">
        <f>+Actuals!E518</f>
        <v>0</v>
      </c>
      <c r="I76" s="121">
        <f>+Actuals!F518</f>
        <v>-18952.080000000002</v>
      </c>
      <c r="J76" s="120">
        <f>+Actuals!G518</f>
        <v>0</v>
      </c>
      <c r="K76" s="121">
        <f>+Actuals!H518</f>
        <v>-1079.4000000000001</v>
      </c>
      <c r="L76" s="120">
        <f>+Actuals!I518</f>
        <v>0</v>
      </c>
      <c r="M76" s="121">
        <f>+Actuals!J518</f>
        <v>0</v>
      </c>
      <c r="N76" s="120">
        <f>+Actuals!K518</f>
        <v>0</v>
      </c>
      <c r="O76" s="121">
        <f>+Actuals!L518</f>
        <v>0</v>
      </c>
      <c r="P76" s="120">
        <f>+Actuals!M518</f>
        <v>0</v>
      </c>
      <c r="Q76" s="121">
        <f>+Actuals!N518</f>
        <v>0</v>
      </c>
      <c r="R76" s="120">
        <f>+Actuals!O518</f>
        <v>0</v>
      </c>
      <c r="S76" s="121">
        <f>+Actuals!P518</f>
        <v>0</v>
      </c>
      <c r="T76" s="120">
        <f>+Actuals!Q518</f>
        <v>0</v>
      </c>
      <c r="U76" s="121">
        <f>+Actuals!R518</f>
        <v>0</v>
      </c>
      <c r="V76" s="120">
        <f>+Actuals!S518</f>
        <v>0</v>
      </c>
      <c r="W76" s="121">
        <f>+Actuals!T518</f>
        <v>0</v>
      </c>
      <c r="X76" s="120">
        <f>+Actuals!U518</f>
        <v>0</v>
      </c>
      <c r="Y76" s="121">
        <f>+Actuals!V518</f>
        <v>0</v>
      </c>
      <c r="Z76" s="120">
        <f>+Actuals!W518</f>
        <v>0</v>
      </c>
      <c r="AA76" s="121">
        <f>+Actuals!X518</f>
        <v>0</v>
      </c>
      <c r="AB76" s="120">
        <f>+Actuals!Y518</f>
        <v>0</v>
      </c>
      <c r="AC76" s="121">
        <f>+Actuals!Z518</f>
        <v>0</v>
      </c>
      <c r="AD76" s="120">
        <f>+Actuals!AA518</f>
        <v>0</v>
      </c>
      <c r="AE76" s="121">
        <f>+Actuals!AB518</f>
        <v>0</v>
      </c>
      <c r="AF76" s="120">
        <f>+Actuals!AC518</f>
        <v>0</v>
      </c>
      <c r="AG76" s="121">
        <f>+Actuals!AD518</f>
        <v>0</v>
      </c>
      <c r="AH76" s="120">
        <f>+Actuals!AE518</f>
        <v>0</v>
      </c>
      <c r="AI76" s="121">
        <f>+Actuals!AF518</f>
        <v>0</v>
      </c>
      <c r="AJ76" s="120">
        <f>+Actuals!AG518</f>
        <v>0</v>
      </c>
      <c r="AK76" s="121">
        <f>+Actuals!AH518</f>
        <v>0</v>
      </c>
      <c r="AL76" s="120">
        <f>+Actuals!AI518</f>
        <v>0</v>
      </c>
      <c r="AM76" s="121">
        <f>+Actuals!AJ518</f>
        <v>0</v>
      </c>
      <c r="AN76" s="120">
        <f>+Actuals!AK518</f>
        <v>0</v>
      </c>
      <c r="AO76" s="121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'TIE-OUT'!P77+RECLASS!R77</f>
        <v>0</v>
      </c>
      <c r="G77" s="60">
        <f>'TIE-OUT'!Q77+RECLASS!O77</f>
        <v>0</v>
      </c>
      <c r="H77" s="120">
        <f>+Actuals!E519</f>
        <v>0</v>
      </c>
      <c r="I77" s="121">
        <f>+Actuals!F519</f>
        <v>0</v>
      </c>
      <c r="J77" s="120">
        <f>+Actuals!G519</f>
        <v>0</v>
      </c>
      <c r="K77" s="121">
        <f>+Actuals!H519</f>
        <v>0</v>
      </c>
      <c r="L77" s="120">
        <f>+Actuals!I519</f>
        <v>0</v>
      </c>
      <c r="M77" s="121">
        <f>+Actuals!J519</f>
        <v>0</v>
      </c>
      <c r="N77" s="120">
        <f>+Actuals!K519</f>
        <v>0</v>
      </c>
      <c r="O77" s="121">
        <f>+Actuals!L519</f>
        <v>0</v>
      </c>
      <c r="P77" s="120">
        <f>+Actuals!M519</f>
        <v>0</v>
      </c>
      <c r="Q77" s="121">
        <f>+Actuals!N519</f>
        <v>0</v>
      </c>
      <c r="R77" s="120">
        <f>+Actuals!O519</f>
        <v>0</v>
      </c>
      <c r="S77" s="121">
        <f>+Actuals!P519</f>
        <v>0</v>
      </c>
      <c r="T77" s="120">
        <f>+Actuals!Q519</f>
        <v>0</v>
      </c>
      <c r="U77" s="121">
        <f>+Actuals!R519</f>
        <v>0</v>
      </c>
      <c r="V77" s="120">
        <f>+Actuals!S519</f>
        <v>0</v>
      </c>
      <c r="W77" s="121">
        <f>+Actuals!T519</f>
        <v>0</v>
      </c>
      <c r="X77" s="120">
        <f>+Actuals!U519</f>
        <v>0</v>
      </c>
      <c r="Y77" s="121">
        <f>+Actuals!V519</f>
        <v>0</v>
      </c>
      <c r="Z77" s="120">
        <f>+Actuals!W519</f>
        <v>0</v>
      </c>
      <c r="AA77" s="121">
        <f>+Actuals!X519</f>
        <v>0</v>
      </c>
      <c r="AB77" s="120">
        <f>+Actuals!Y519</f>
        <v>0</v>
      </c>
      <c r="AC77" s="121">
        <f>+Actuals!Z519</f>
        <v>0</v>
      </c>
      <c r="AD77" s="120">
        <f>+Actuals!AA519</f>
        <v>0</v>
      </c>
      <c r="AE77" s="121">
        <f>+Actuals!AB519</f>
        <v>0</v>
      </c>
      <c r="AF77" s="120">
        <f>+Actuals!AC519</f>
        <v>0</v>
      </c>
      <c r="AG77" s="121">
        <f>+Actuals!AD519</f>
        <v>0</v>
      </c>
      <c r="AH77" s="120">
        <f>+Actuals!AE519</f>
        <v>0</v>
      </c>
      <c r="AI77" s="121">
        <f>+Actuals!AF519</f>
        <v>0</v>
      </c>
      <c r="AJ77" s="120">
        <f>+Actuals!AG519</f>
        <v>0</v>
      </c>
      <c r="AK77" s="121">
        <f>+Actuals!AH519</f>
        <v>0</v>
      </c>
      <c r="AL77" s="120">
        <f>+Actuals!AI519</f>
        <v>0</v>
      </c>
      <c r="AM77" s="121">
        <f>+Actuals!AJ519</f>
        <v>0</v>
      </c>
      <c r="AN77" s="120">
        <f>+Actuals!AK519</f>
        <v>0</v>
      </c>
      <c r="AO77" s="121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'TIE-OUT'!P78+RECLASS!R78</f>
        <v>0</v>
      </c>
      <c r="G78" s="60">
        <f>'TIE-OUT'!Q78+RECLASS!O78</f>
        <v>0</v>
      </c>
      <c r="H78" s="120">
        <f>+Actuals!E520</f>
        <v>0</v>
      </c>
      <c r="I78" s="121">
        <f>+Actuals!F520</f>
        <v>0</v>
      </c>
      <c r="J78" s="120">
        <f>+Actuals!G520</f>
        <v>0</v>
      </c>
      <c r="K78" s="121">
        <f>+Actuals!H520</f>
        <v>0</v>
      </c>
      <c r="L78" s="120">
        <f>+Actuals!I520</f>
        <v>0</v>
      </c>
      <c r="M78" s="121">
        <f>+Actuals!J520</f>
        <v>0</v>
      </c>
      <c r="N78" s="120">
        <f>+Actuals!K520</f>
        <v>0</v>
      </c>
      <c r="O78" s="121">
        <f>+Actuals!L520</f>
        <v>0</v>
      </c>
      <c r="P78" s="120">
        <f>+Actuals!M520</f>
        <v>0</v>
      </c>
      <c r="Q78" s="121">
        <f>+Actuals!N520</f>
        <v>0</v>
      </c>
      <c r="R78" s="120">
        <f>+Actuals!O520</f>
        <v>0</v>
      </c>
      <c r="S78" s="121">
        <f>+Actuals!P520</f>
        <v>0</v>
      </c>
      <c r="T78" s="120">
        <f>+Actuals!Q520</f>
        <v>0</v>
      </c>
      <c r="U78" s="121">
        <f>+Actuals!R520</f>
        <v>0</v>
      </c>
      <c r="V78" s="120">
        <f>+Actuals!S520</f>
        <v>0</v>
      </c>
      <c r="W78" s="121">
        <f>+Actuals!T520</f>
        <v>0</v>
      </c>
      <c r="X78" s="120">
        <f>+Actuals!U520</f>
        <v>0</v>
      </c>
      <c r="Y78" s="121">
        <f>+Actuals!V520</f>
        <v>0</v>
      </c>
      <c r="Z78" s="120">
        <f>+Actuals!W520</f>
        <v>0</v>
      </c>
      <c r="AA78" s="121">
        <f>+Actuals!X520</f>
        <v>0</v>
      </c>
      <c r="AB78" s="120">
        <f>+Actuals!Y520</f>
        <v>0</v>
      </c>
      <c r="AC78" s="121">
        <f>+Actuals!Z520</f>
        <v>0</v>
      </c>
      <c r="AD78" s="120">
        <f>+Actuals!AA520</f>
        <v>0</v>
      </c>
      <c r="AE78" s="121">
        <f>+Actuals!AB520</f>
        <v>0</v>
      </c>
      <c r="AF78" s="120">
        <f>+Actuals!AC520</f>
        <v>0</v>
      </c>
      <c r="AG78" s="121">
        <f>+Actuals!AD520</f>
        <v>0</v>
      </c>
      <c r="AH78" s="120">
        <f>+Actuals!AE520</f>
        <v>0</v>
      </c>
      <c r="AI78" s="121">
        <f>+Actuals!AF520</f>
        <v>0</v>
      </c>
      <c r="AJ78" s="120">
        <f>+Actuals!AG520</f>
        <v>0</v>
      </c>
      <c r="AK78" s="121">
        <f>+Actuals!AH520</f>
        <v>0</v>
      </c>
      <c r="AL78" s="120">
        <f>+Actuals!AI520</f>
        <v>0</v>
      </c>
      <c r="AM78" s="121">
        <f>+Actuals!AJ520</f>
        <v>0</v>
      </c>
      <c r="AN78" s="120">
        <f>+Actuals!AK520</f>
        <v>0</v>
      </c>
      <c r="AO78" s="121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'TIE-OUT'!P79+RECLASS!R79</f>
        <v>0</v>
      </c>
      <c r="G79" s="60">
        <f>'TIE-OUT'!Q79+RECLASS!O79</f>
        <v>0</v>
      </c>
      <c r="H79" s="120">
        <f>+Actuals!E521</f>
        <v>0</v>
      </c>
      <c r="I79" s="121">
        <f>+Actuals!F521</f>
        <v>0</v>
      </c>
      <c r="J79" s="120">
        <f>+Actuals!G521</f>
        <v>0</v>
      </c>
      <c r="K79" s="121">
        <f>+Actuals!H521</f>
        <v>0</v>
      </c>
      <c r="L79" s="120">
        <f>+Actuals!I521</f>
        <v>0</v>
      </c>
      <c r="M79" s="121">
        <f>+Actuals!J521</f>
        <v>0</v>
      </c>
      <c r="N79" s="120">
        <f>+Actuals!K521</f>
        <v>0</v>
      </c>
      <c r="O79" s="121">
        <f>+Actuals!L521</f>
        <v>0</v>
      </c>
      <c r="P79" s="120">
        <f>+Actuals!M521</f>
        <v>0</v>
      </c>
      <c r="Q79" s="121">
        <f>+Actuals!N521</f>
        <v>0</v>
      </c>
      <c r="R79" s="120">
        <f>+Actuals!O521</f>
        <v>0</v>
      </c>
      <c r="S79" s="121">
        <f>+Actuals!P521</f>
        <v>0</v>
      </c>
      <c r="T79" s="120">
        <f>+Actuals!Q521</f>
        <v>0</v>
      </c>
      <c r="U79" s="121">
        <f>+Actuals!R521</f>
        <v>0</v>
      </c>
      <c r="V79" s="120">
        <f>+Actuals!S521</f>
        <v>0</v>
      </c>
      <c r="W79" s="121">
        <f>+Actuals!T521</f>
        <v>0</v>
      </c>
      <c r="X79" s="120">
        <f>+Actuals!U521</f>
        <v>0</v>
      </c>
      <c r="Y79" s="121">
        <f>+Actuals!V521</f>
        <v>0</v>
      </c>
      <c r="Z79" s="120">
        <f>+Actuals!W521</f>
        <v>0</v>
      </c>
      <c r="AA79" s="121">
        <f>+Actuals!X521</f>
        <v>0</v>
      </c>
      <c r="AB79" s="120">
        <f>+Actuals!Y521</f>
        <v>0</v>
      </c>
      <c r="AC79" s="121">
        <f>+Actuals!Z521</f>
        <v>0</v>
      </c>
      <c r="AD79" s="120">
        <f>+Actuals!AA521</f>
        <v>0</v>
      </c>
      <c r="AE79" s="121">
        <f>+Actuals!AB521</f>
        <v>0</v>
      </c>
      <c r="AF79" s="120">
        <f>+Actuals!AC521</f>
        <v>0</v>
      </c>
      <c r="AG79" s="121">
        <f>+Actuals!AD521</f>
        <v>0</v>
      </c>
      <c r="AH79" s="120">
        <f>+Actuals!AE521</f>
        <v>0</v>
      </c>
      <c r="AI79" s="121">
        <f>+Actuals!AF521</f>
        <v>0</v>
      </c>
      <c r="AJ79" s="120">
        <f>+Actuals!AG521</f>
        <v>0</v>
      </c>
      <c r="AK79" s="121">
        <f>+Actuals!AH521</f>
        <v>0</v>
      </c>
      <c r="AL79" s="120">
        <f>+Actuals!AI521</f>
        <v>0</v>
      </c>
      <c r="AM79" s="121">
        <f>+Actuals!AJ521</f>
        <v>0</v>
      </c>
      <c r="AN79" s="120">
        <f>+Actuals!AK521</f>
        <v>0</v>
      </c>
      <c r="AO79" s="121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'TIE-OUT'!P80+RECLASS!R80</f>
        <v>0</v>
      </c>
      <c r="G80" s="60">
        <f>'TIE-OUT'!Q80+RECLASS!O80</f>
        <v>0</v>
      </c>
      <c r="H80" s="120">
        <f>+Actuals!E522</f>
        <v>0</v>
      </c>
      <c r="I80" s="121">
        <f>+Actuals!F522</f>
        <v>0</v>
      </c>
      <c r="J80" s="120">
        <f>+Actuals!G522</f>
        <v>0</v>
      </c>
      <c r="K80" s="121">
        <f>+Actuals!H522</f>
        <v>0</v>
      </c>
      <c r="L80" s="120">
        <f>+Actuals!I522</f>
        <v>0</v>
      </c>
      <c r="M80" s="121">
        <f>+Actuals!J522</f>
        <v>0</v>
      </c>
      <c r="N80" s="120">
        <f>+Actuals!K522</f>
        <v>0</v>
      </c>
      <c r="O80" s="121">
        <f>+Actuals!L522</f>
        <v>0</v>
      </c>
      <c r="P80" s="120">
        <f>+Actuals!M522</f>
        <v>0</v>
      </c>
      <c r="Q80" s="121">
        <f>+Actuals!N522</f>
        <v>0</v>
      </c>
      <c r="R80" s="120">
        <f>+Actuals!O522</f>
        <v>0</v>
      </c>
      <c r="S80" s="121">
        <f>+Actuals!P522</f>
        <v>0</v>
      </c>
      <c r="T80" s="120">
        <f>+Actuals!Q522</f>
        <v>0</v>
      </c>
      <c r="U80" s="121">
        <f>+Actuals!R522</f>
        <v>0</v>
      </c>
      <c r="V80" s="120">
        <f>+Actuals!S522</f>
        <v>0</v>
      </c>
      <c r="W80" s="121">
        <f>+Actuals!T522</f>
        <v>0</v>
      </c>
      <c r="X80" s="120">
        <f>+Actuals!U522</f>
        <v>0</v>
      </c>
      <c r="Y80" s="121">
        <f>+Actuals!V522</f>
        <v>0</v>
      </c>
      <c r="Z80" s="120">
        <f>+Actuals!W522</f>
        <v>0</v>
      </c>
      <c r="AA80" s="121">
        <f>+Actuals!X522</f>
        <v>0</v>
      </c>
      <c r="AB80" s="120">
        <f>+Actuals!Y522</f>
        <v>0</v>
      </c>
      <c r="AC80" s="121">
        <f>+Actuals!Z522</f>
        <v>0</v>
      </c>
      <c r="AD80" s="120">
        <f>+Actuals!AA522</f>
        <v>0</v>
      </c>
      <c r="AE80" s="121">
        <f>+Actuals!AB522</f>
        <v>0</v>
      </c>
      <c r="AF80" s="120">
        <f>+Actuals!AC522</f>
        <v>0</v>
      </c>
      <c r="AG80" s="121">
        <f>+Actuals!AD522</f>
        <v>0</v>
      </c>
      <c r="AH80" s="120">
        <f>+Actuals!AE522</f>
        <v>0</v>
      </c>
      <c r="AI80" s="121">
        <f>+Actuals!AF522</f>
        <v>0</v>
      </c>
      <c r="AJ80" s="120">
        <f>+Actuals!AG522</f>
        <v>0</v>
      </c>
      <c r="AK80" s="121">
        <f>+Actuals!AH522</f>
        <v>0</v>
      </c>
      <c r="AL80" s="120">
        <f>+Actuals!AI522</f>
        <v>0</v>
      </c>
      <c r="AM80" s="121">
        <f>+Actuals!AJ522</f>
        <v>0</v>
      </c>
      <c r="AN80" s="120">
        <f>+Actuals!AK522</f>
        <v>0</v>
      </c>
      <c r="AO80" s="121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59046.86</v>
      </c>
      <c r="F81" s="60">
        <f>'TIE-OUT'!P81+RECLASS!R81</f>
        <v>0</v>
      </c>
      <c r="G81" s="60">
        <f>'TIE-OUT'!Q81+RECLASS!O81</f>
        <v>0</v>
      </c>
      <c r="H81" s="120">
        <f>+Actuals!E523</f>
        <v>0</v>
      </c>
      <c r="I81" s="121">
        <f>+Actuals!F523</f>
        <v>61463.86</v>
      </c>
      <c r="J81" s="120">
        <f>+Actuals!G523</f>
        <v>0</v>
      </c>
      <c r="K81" s="121">
        <f>+Actuals!H523</f>
        <v>-2417</v>
      </c>
      <c r="L81" s="120">
        <f>+Actuals!I523</f>
        <v>0</v>
      </c>
      <c r="M81" s="121">
        <f>+Actuals!J523</f>
        <v>0</v>
      </c>
      <c r="N81" s="120">
        <f>+Actuals!K523</f>
        <v>0</v>
      </c>
      <c r="O81" s="121">
        <f>+Actuals!L523</f>
        <v>0</v>
      </c>
      <c r="P81" s="120">
        <f>+Actuals!M523</f>
        <v>0</v>
      </c>
      <c r="Q81" s="121">
        <f>+Actuals!N523</f>
        <v>0</v>
      </c>
      <c r="R81" s="120">
        <f>+Actuals!O523</f>
        <v>0</v>
      </c>
      <c r="S81" s="121">
        <f>+Actuals!P523</f>
        <v>0</v>
      </c>
      <c r="T81" s="120">
        <f>+Actuals!Q523</f>
        <v>0</v>
      </c>
      <c r="U81" s="121">
        <f>+Actuals!R523</f>
        <v>0</v>
      </c>
      <c r="V81" s="120">
        <f>+Actuals!S523</f>
        <v>0</v>
      </c>
      <c r="W81" s="121">
        <f>+Actuals!T523</f>
        <v>0</v>
      </c>
      <c r="X81" s="120">
        <f>+Actuals!U523</f>
        <v>0</v>
      </c>
      <c r="Y81" s="121">
        <f>+Actuals!V523</f>
        <v>0</v>
      </c>
      <c r="Z81" s="120">
        <f>+Actuals!W523</f>
        <v>0</v>
      </c>
      <c r="AA81" s="121">
        <f>+Actuals!X523</f>
        <v>0</v>
      </c>
      <c r="AB81" s="120">
        <f>+Actuals!Y523</f>
        <v>0</v>
      </c>
      <c r="AC81" s="121">
        <f>+Actuals!Z523</f>
        <v>0</v>
      </c>
      <c r="AD81" s="120">
        <f>+Actuals!AA523</f>
        <v>0</v>
      </c>
      <c r="AE81" s="121">
        <f>+Actuals!AB523</f>
        <v>0</v>
      </c>
      <c r="AF81" s="120">
        <f>+Actuals!AC523</f>
        <v>0</v>
      </c>
      <c r="AG81" s="121">
        <f>+Actuals!AD523</f>
        <v>0</v>
      </c>
      <c r="AH81" s="120">
        <f>+Actuals!AE523</f>
        <v>0</v>
      </c>
      <c r="AI81" s="121">
        <f>+Actuals!AF523</f>
        <v>0</v>
      </c>
      <c r="AJ81" s="120">
        <f>+Actuals!AG523</f>
        <v>0</v>
      </c>
      <c r="AK81" s="121">
        <f>+Actuals!AH523</f>
        <v>0</v>
      </c>
      <c r="AL81" s="120">
        <f>+Actuals!AI523</f>
        <v>0</v>
      </c>
      <c r="AM81" s="121">
        <f>+Actuals!AJ523</f>
        <v>0</v>
      </c>
      <c r="AN81" s="120">
        <f>+Actuals!AK523</f>
        <v>0</v>
      </c>
      <c r="AO81" s="121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1293478.1399999894</v>
      </c>
      <c r="F82" s="91">
        <f>F16+F24+F29+F36+F43+F45+F47+F49</f>
        <v>0</v>
      </c>
      <c r="G82" s="92">
        <f>SUM(G72:G81)+G16+G24+G29+G36+G43+G45+G47+G49+G51+G56+G61+G66</f>
        <v>4910211.9700000007</v>
      </c>
      <c r="H82" s="91">
        <f>H16+H24+H29+H36+H43+H45+H47+H49</f>
        <v>0</v>
      </c>
      <c r="I82" s="92">
        <f>SUM(I72:I81)+I16+I24+I29+I36+I43+I45+I47+I49+I51+I56+I61+I66</f>
        <v>-4635773.3119999878</v>
      </c>
      <c r="J82" s="91">
        <f>J16+J24+J29+J36+J43+J45+J47+J49</f>
        <v>0</v>
      </c>
      <c r="K82" s="139">
        <f>SUM(K72:K81)+K16+K24+K29+K36+K43+K45+K47+K49+K51+K56+K61+K66</f>
        <v>917970.38200000033</v>
      </c>
      <c r="L82" s="91">
        <f>L16+L24+L29+L36+L43+L45+L47+L49</f>
        <v>0</v>
      </c>
      <c r="M82" s="92">
        <f>SUM(M72:M81)+M16+M24+M29+M36+M43+M45+M47+M49+M51+M56+M61+M66</f>
        <v>-286293.62400000007</v>
      </c>
      <c r="N82" s="91">
        <f>N16+N24+N29+N36+N43+N45+N47+N49</f>
        <v>0</v>
      </c>
      <c r="O82" s="92">
        <f>SUM(O72:O81)+O16+O24+O29+O36+O43+O45+O47+O49+O51+O56+O61+O66</f>
        <v>2639159.92</v>
      </c>
      <c r="P82" s="91">
        <f>P16+P24+P29+P36+P43+P45+P47+P49</f>
        <v>0</v>
      </c>
      <c r="Q82" s="92">
        <f>SUM(Q72:Q81)+Q16+Q24+Q29+Q36+Q43+Q45+Q47+Q49+Q51+Q56+Q61+Q66</f>
        <v>-2058783.152</v>
      </c>
      <c r="R82" s="91">
        <f>R16+R24+R29+R36+R43+R45+R47+R49</f>
        <v>0</v>
      </c>
      <c r="S82" s="92">
        <f>SUM(S72:S81)+S16+S24+S29+S36+S43+S45+S47+S49+S51+S56+S61+S66</f>
        <v>-26952.951999999997</v>
      </c>
      <c r="T82" s="91">
        <f>T16+T24+T29+T36+T43+T45+T47+T49</f>
        <v>0</v>
      </c>
      <c r="U82" s="92">
        <f>SUM(U72:U81)+U16+U24+U29+U36+U43+U45+U47+U49+U51+U56+U61+U66</f>
        <v>87.517999998526648</v>
      </c>
      <c r="V82" s="91">
        <f>V16+V24+V29+V36+V43+V45+V47+V49</f>
        <v>0</v>
      </c>
      <c r="W82" s="92">
        <f>SUM(W72:W81)+W16+W24+W29+W36+W43+W45+W47+W49+W51+W56+W61+W66</f>
        <v>-194459.37</v>
      </c>
      <c r="X82" s="91">
        <f>X16+X24+X29+X36+X43+X45+X47+X49</f>
        <v>0</v>
      </c>
      <c r="Y82" s="92">
        <f>SUM(Y72:Y81)+Y16+Y24+Y29+Y36+Y43+Y45+Y47+Y49+Y51+Y56+Y61+Y66</f>
        <v>-21122.15</v>
      </c>
      <c r="Z82" s="91">
        <f>Z16+Z24+Z29+Z36+Z43+Z45+Z47+Z49</f>
        <v>0</v>
      </c>
      <c r="AA82" s="92">
        <f>SUM(AA72:AA81)+AA16+AA24+AA29+AA36+AA43+AA45+AA47+AA49+AA51+AA56+AA61+AA66</f>
        <v>49432.91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V179"/>
  <sheetViews>
    <sheetView zoomScale="75" workbookViewId="0">
      <pane xSplit="3" ySplit="9" topLeftCell="S44" activePane="bottomRight" state="frozen"/>
      <selection activeCell="Z9" sqref="Z9"/>
      <selection pane="topRight" activeCell="Z9" sqref="Z9"/>
      <selection pane="bottomLeft" activeCell="Z9" sqref="Z9"/>
      <selection pane="bottomRight" activeCell="Z55" sqref="Z5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12" width="15.5546875" customWidth="1"/>
    <col min="13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4530348</v>
      </c>
      <c r="E11" s="38">
        <f>SUM(G11,I11,K11,M11,O11,Q11,S11,U11,W11,Y11,AA11,AC11,AE11)</f>
        <v>9258206.3699999992</v>
      </c>
      <c r="F11" s="60">
        <f>'TIE-OUT'!R11+RECLASS!P11</f>
        <v>0</v>
      </c>
      <c r="G11" s="38">
        <f>'TIE-OUT'!S11+RECLASS!Q11</f>
        <v>0</v>
      </c>
      <c r="H11" s="120">
        <f>+Actuals!E204</f>
        <v>4504172</v>
      </c>
      <c r="I11" s="121">
        <f>+Actuals!F204</f>
        <v>9179512.2799999993</v>
      </c>
      <c r="J11" s="120">
        <f>+Actuals!G204</f>
        <v>16128</v>
      </c>
      <c r="K11" s="121">
        <f>+Actuals!H204</f>
        <v>48610.65</v>
      </c>
      <c r="L11" s="120">
        <f>+Actuals!I204</f>
        <v>10050</v>
      </c>
      <c r="M11" s="121">
        <f>+Actuals!J204</f>
        <v>30087.51</v>
      </c>
      <c r="N11" s="120">
        <f>+Actuals!K204</f>
        <v>-1</v>
      </c>
      <c r="O11" s="121">
        <f>+Actuals!L204</f>
        <v>-2.14</v>
      </c>
      <c r="P11" s="120">
        <f>+Actuals!M204</f>
        <v>0</v>
      </c>
      <c r="Q11" s="121">
        <f>+Actuals!N204</f>
        <v>0</v>
      </c>
      <c r="R11" s="120">
        <f>+Actuals!O204</f>
        <v>0</v>
      </c>
      <c r="S11" s="121">
        <f>+Actuals!P204</f>
        <v>0</v>
      </c>
      <c r="T11" s="120">
        <f>+Actuals!Q204</f>
        <v>-1</v>
      </c>
      <c r="U11" s="121">
        <f>+Actuals!R204</f>
        <v>-1.93</v>
      </c>
      <c r="V11" s="120">
        <f>+Actuals!S204</f>
        <v>0</v>
      </c>
      <c r="W11" s="121">
        <f>+Actuals!T204</f>
        <v>0</v>
      </c>
      <c r="X11" s="120">
        <f>+Actuals!U204</f>
        <v>0</v>
      </c>
      <c r="Y11" s="121">
        <f>+Actuals!V204</f>
        <v>0</v>
      </c>
      <c r="Z11" s="120">
        <f>+Actuals!W204</f>
        <v>0</v>
      </c>
      <c r="AA11" s="121">
        <f>+Actuals!X204</f>
        <v>0</v>
      </c>
      <c r="AB11" s="120">
        <f>+Actuals!Y204</f>
        <v>0</v>
      </c>
      <c r="AC11" s="121">
        <f>+Actuals!Z204</f>
        <v>0</v>
      </c>
      <c r="AD11" s="120">
        <f>+Actuals!AA204</f>
        <v>0</v>
      </c>
      <c r="AE11" s="121">
        <f>+Actuals!AB204</f>
        <v>0</v>
      </c>
      <c r="AF11" s="120">
        <f>+Actuals!AC204</f>
        <v>0</v>
      </c>
      <c r="AG11" s="121">
        <f>+Actuals!AD204</f>
        <v>0</v>
      </c>
      <c r="AH11" s="120">
        <f>+Actuals!AE204</f>
        <v>0</v>
      </c>
      <c r="AI11" s="121">
        <f>+Actuals!AF204</f>
        <v>0</v>
      </c>
      <c r="AJ11" s="120">
        <f>+Actuals!AG204</f>
        <v>0</v>
      </c>
      <c r="AK11" s="121">
        <f>+Actuals!AH204</f>
        <v>0</v>
      </c>
      <c r="AL11" s="120">
        <f>+Actuals!AI204</f>
        <v>0</v>
      </c>
      <c r="AM11" s="121">
        <f>+Actuals!AJ204</f>
        <v>0</v>
      </c>
      <c r="AN11" s="120">
        <f>+Actuals!AK204</f>
        <v>0</v>
      </c>
      <c r="AO11" s="121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91147.839999999997</v>
      </c>
      <c r="F12" s="60">
        <f>'TIE-OUT'!R12+RECLASS!P12</f>
        <v>0</v>
      </c>
      <c r="G12" s="38">
        <f>'TIE-OUT'!S12+RECLASS!Q12</f>
        <v>91147.839999999997</v>
      </c>
      <c r="H12" s="120">
        <f>+Actuals!E205</f>
        <v>0</v>
      </c>
      <c r="I12" s="121">
        <f>+Actuals!F205</f>
        <v>0</v>
      </c>
      <c r="J12" s="120">
        <f>+Actuals!G205</f>
        <v>0</v>
      </c>
      <c r="K12" s="121">
        <f>+Actuals!H205</f>
        <v>0</v>
      </c>
      <c r="L12" s="120">
        <f>+Actuals!I205</f>
        <v>0</v>
      </c>
      <c r="M12" s="121">
        <f>+Actuals!J205</f>
        <v>0</v>
      </c>
      <c r="N12" s="120">
        <f>+Actuals!K205</f>
        <v>0</v>
      </c>
      <c r="O12" s="121">
        <f>+Actuals!L205</f>
        <v>0</v>
      </c>
      <c r="P12" s="120">
        <f>+Actuals!M205</f>
        <v>0</v>
      </c>
      <c r="Q12" s="121">
        <f>+Actuals!N205</f>
        <v>0</v>
      </c>
      <c r="R12" s="120">
        <f>+Actuals!O205</f>
        <v>0</v>
      </c>
      <c r="S12" s="121">
        <f>+Actuals!P205</f>
        <v>0</v>
      </c>
      <c r="T12" s="120">
        <f>+Actuals!Q205</f>
        <v>0</v>
      </c>
      <c r="U12" s="121">
        <f>+Actuals!R205</f>
        <v>0</v>
      </c>
      <c r="V12" s="120">
        <f>+Actuals!S205</f>
        <v>0</v>
      </c>
      <c r="W12" s="121">
        <f>+Actuals!T205</f>
        <v>0</v>
      </c>
      <c r="X12" s="120">
        <f>+Actuals!U205</f>
        <v>0</v>
      </c>
      <c r="Y12" s="121">
        <f>+Actuals!V205</f>
        <v>0</v>
      </c>
      <c r="Z12" s="120">
        <f>+Actuals!W205</f>
        <v>0</v>
      </c>
      <c r="AA12" s="121">
        <f>+Actuals!X205</f>
        <v>0</v>
      </c>
      <c r="AB12" s="120">
        <f>+Actuals!Y205</f>
        <v>0</v>
      </c>
      <c r="AC12" s="121">
        <f>+Actuals!Z205</f>
        <v>0</v>
      </c>
      <c r="AD12" s="120">
        <f>+Actuals!AA205</f>
        <v>0</v>
      </c>
      <c r="AE12" s="121">
        <f>+Actuals!AB205</f>
        <v>0</v>
      </c>
      <c r="AF12" s="120">
        <f>+Actuals!AC205</f>
        <v>0</v>
      </c>
      <c r="AG12" s="121">
        <f>+Actuals!AD205</f>
        <v>0</v>
      </c>
      <c r="AH12" s="120">
        <f>+Actuals!AE205</f>
        <v>0</v>
      </c>
      <c r="AI12" s="121">
        <f>+Actuals!AF205</f>
        <v>0</v>
      </c>
      <c r="AJ12" s="120">
        <f>+Actuals!AG205</f>
        <v>0</v>
      </c>
      <c r="AK12" s="121">
        <f>+Actuals!AH205</f>
        <v>0</v>
      </c>
      <c r="AL12" s="120">
        <f>+Actuals!AI205</f>
        <v>0</v>
      </c>
      <c r="AM12" s="121">
        <f>+Actuals!AJ205</f>
        <v>0</v>
      </c>
      <c r="AN12" s="120">
        <f>+Actuals!AK205</f>
        <v>0</v>
      </c>
      <c r="AO12" s="121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'TIE-OUT'!R13+RECLASS!P13</f>
        <v>0</v>
      </c>
      <c r="G13" s="38">
        <f>'TIE-OUT'!S13+RECLASS!Q13</f>
        <v>0</v>
      </c>
      <c r="H13" s="120">
        <f>+Actuals!E206</f>
        <v>96357</v>
      </c>
      <c r="I13" s="121">
        <f>+Actuals!F206</f>
        <v>219509</v>
      </c>
      <c r="J13" s="120">
        <f>+Actuals!G206</f>
        <v>9</v>
      </c>
      <c r="K13" s="121">
        <f>+Actuals!H206</f>
        <v>-144</v>
      </c>
      <c r="L13" s="120">
        <f>+Actuals!I206</f>
        <v>0</v>
      </c>
      <c r="M13" s="121">
        <f>+Actuals!J206</f>
        <v>-9</v>
      </c>
      <c r="N13" s="120">
        <f>+Actuals!K206</f>
        <v>0</v>
      </c>
      <c r="O13" s="121">
        <f>+Actuals!L206</f>
        <v>0</v>
      </c>
      <c r="P13" s="120">
        <f>+Actuals!M206</f>
        <v>0</v>
      </c>
      <c r="Q13" s="121">
        <f>+Actuals!N206</f>
        <v>0</v>
      </c>
      <c r="R13" s="120">
        <f>+Actuals!O206</f>
        <v>0</v>
      </c>
      <c r="S13" s="121">
        <f>+Actuals!P206</f>
        <v>0</v>
      </c>
      <c r="T13" s="120">
        <f>+Actuals!Q206</f>
        <v>-96366</v>
      </c>
      <c r="U13" s="121">
        <f>+Actuals!R206</f>
        <v>-219356</v>
      </c>
      <c r="V13" s="120">
        <f>+Actuals!S206</f>
        <v>0</v>
      </c>
      <c r="W13" s="121">
        <f>+Actuals!T206</f>
        <v>0</v>
      </c>
      <c r="X13" s="120">
        <f>+Actuals!U206</f>
        <v>0</v>
      </c>
      <c r="Y13" s="121">
        <f>+Actuals!V206</f>
        <v>0</v>
      </c>
      <c r="Z13" s="120">
        <f>+Actuals!W206</f>
        <v>0</v>
      </c>
      <c r="AA13" s="121">
        <f>+Actuals!X206</f>
        <v>0</v>
      </c>
      <c r="AB13" s="120">
        <f>+Actuals!Y206</f>
        <v>0</v>
      </c>
      <c r="AC13" s="121">
        <f>+Actuals!Z206</f>
        <v>0</v>
      </c>
      <c r="AD13" s="120">
        <f>+Actuals!AA206</f>
        <v>0</v>
      </c>
      <c r="AE13" s="121">
        <f>+Actuals!AB206</f>
        <v>0</v>
      </c>
      <c r="AF13" s="120">
        <f>+Actuals!AC206</f>
        <v>0</v>
      </c>
      <c r="AG13" s="121">
        <f>+Actuals!AD206</f>
        <v>0</v>
      </c>
      <c r="AH13" s="120">
        <f>+Actuals!AE206</f>
        <v>0</v>
      </c>
      <c r="AI13" s="121">
        <f>+Actuals!AF206</f>
        <v>0</v>
      </c>
      <c r="AJ13" s="120">
        <f>+Actuals!AG206</f>
        <v>0</v>
      </c>
      <c r="AK13" s="121">
        <f>+Actuals!AH206</f>
        <v>0</v>
      </c>
      <c r="AL13" s="120">
        <f>+Actuals!AI206</f>
        <v>0</v>
      </c>
      <c r="AM13" s="121">
        <f>+Actuals!AJ206</f>
        <v>0</v>
      </c>
      <c r="AN13" s="120">
        <f>+Actuals!AK206</f>
        <v>0</v>
      </c>
      <c r="AO13" s="121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20">
        <f>+Actuals!E207</f>
        <v>0</v>
      </c>
      <c r="I14" s="121">
        <f>+Actuals!F207</f>
        <v>0</v>
      </c>
      <c r="J14" s="120">
        <f>+Actuals!G207</f>
        <v>0</v>
      </c>
      <c r="K14" s="121">
        <f>+Actuals!H207</f>
        <v>0</v>
      </c>
      <c r="L14" s="120">
        <f>+Actuals!I207</f>
        <v>0</v>
      </c>
      <c r="M14" s="121">
        <f>+Actuals!J207</f>
        <v>0</v>
      </c>
      <c r="N14" s="120">
        <f>+Actuals!K207</f>
        <v>0</v>
      </c>
      <c r="O14" s="121">
        <f>+Actuals!L207</f>
        <v>0</v>
      </c>
      <c r="P14" s="120">
        <f>+Actuals!M207</f>
        <v>0</v>
      </c>
      <c r="Q14" s="121">
        <f>+Actuals!N207</f>
        <v>0</v>
      </c>
      <c r="R14" s="120">
        <f>+Actuals!O207</f>
        <v>0</v>
      </c>
      <c r="S14" s="121">
        <f>+Actuals!P207</f>
        <v>0</v>
      </c>
      <c r="T14" s="120">
        <f>+Actuals!Q207</f>
        <v>0</v>
      </c>
      <c r="U14" s="121">
        <f>+Actuals!R207</f>
        <v>0</v>
      </c>
      <c r="V14" s="120">
        <f>+Actuals!S207</f>
        <v>0</v>
      </c>
      <c r="W14" s="121">
        <f>+Actuals!T207</f>
        <v>0</v>
      </c>
      <c r="X14" s="120">
        <f>+Actuals!U207</f>
        <v>0</v>
      </c>
      <c r="Y14" s="121">
        <f>+Actuals!V207</f>
        <v>0</v>
      </c>
      <c r="Z14" s="120">
        <f>+Actuals!W207</f>
        <v>0</v>
      </c>
      <c r="AA14" s="121">
        <f>+Actuals!X207</f>
        <v>0</v>
      </c>
      <c r="AB14" s="120">
        <f>+Actuals!Y207</f>
        <v>0</v>
      </c>
      <c r="AC14" s="121">
        <f>+Actuals!Z207</f>
        <v>0</v>
      </c>
      <c r="AD14" s="120">
        <f>+Actuals!AA207</f>
        <v>0</v>
      </c>
      <c r="AE14" s="121">
        <f>+Actuals!AB207</f>
        <v>0</v>
      </c>
      <c r="AF14" s="120">
        <f>+Actuals!AC207</f>
        <v>0</v>
      </c>
      <c r="AG14" s="121">
        <f>+Actuals!AD207</f>
        <v>0</v>
      </c>
      <c r="AH14" s="120">
        <f>+Actuals!AE207</f>
        <v>0</v>
      </c>
      <c r="AI14" s="121">
        <f>+Actuals!AF207</f>
        <v>0</v>
      </c>
      <c r="AJ14" s="120">
        <f>+Actuals!AG207</f>
        <v>0</v>
      </c>
      <c r="AK14" s="121">
        <f>+Actuals!AH207</f>
        <v>0</v>
      </c>
      <c r="AL14" s="120">
        <f>+Actuals!AI207</f>
        <v>0</v>
      </c>
      <c r="AM14" s="121">
        <f>+Actuals!AJ207</f>
        <v>0</v>
      </c>
      <c r="AN14" s="120">
        <f>+Actuals!AK207</f>
        <v>0</v>
      </c>
      <c r="AO14" s="121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20">
        <f>+Actuals!E208</f>
        <v>0</v>
      </c>
      <c r="I15" s="121">
        <f>+Actuals!F208</f>
        <v>6132.42</v>
      </c>
      <c r="J15" s="120">
        <f>+Actuals!G208</f>
        <v>0</v>
      </c>
      <c r="K15" s="121">
        <f>+Actuals!H208</f>
        <v>0</v>
      </c>
      <c r="L15" s="120">
        <f>+Actuals!I208</f>
        <v>0</v>
      </c>
      <c r="M15" s="121">
        <f>+Actuals!J208</f>
        <v>0</v>
      </c>
      <c r="N15" s="120">
        <f>+Actuals!K208</f>
        <v>0</v>
      </c>
      <c r="O15" s="121">
        <f>+Actuals!L208</f>
        <v>0</v>
      </c>
      <c r="P15" s="120">
        <f>+Actuals!M208</f>
        <v>0</v>
      </c>
      <c r="Q15" s="121">
        <f>+Actuals!N208</f>
        <v>0</v>
      </c>
      <c r="R15" s="120">
        <f>+Actuals!O208</f>
        <v>0</v>
      </c>
      <c r="S15" s="121">
        <f>+Actuals!P208</f>
        <v>0</v>
      </c>
      <c r="T15" s="120">
        <f>+Actuals!Q208</f>
        <v>0</v>
      </c>
      <c r="U15" s="121">
        <f>+Actuals!R208</f>
        <v>0</v>
      </c>
      <c r="V15" s="120">
        <f>+Actuals!S208</f>
        <v>0</v>
      </c>
      <c r="W15" s="121">
        <f>+Actuals!T208</f>
        <v>0</v>
      </c>
      <c r="X15" s="120">
        <f>+Actuals!U208</f>
        <v>0</v>
      </c>
      <c r="Y15" s="121">
        <f>+Actuals!V208</f>
        <v>0</v>
      </c>
      <c r="Z15" s="120">
        <f>+Actuals!W208</f>
        <v>0</v>
      </c>
      <c r="AA15" s="121">
        <f>+Actuals!X208</f>
        <v>0</v>
      </c>
      <c r="AB15" s="120">
        <f>+Actuals!Y208</f>
        <v>0</v>
      </c>
      <c r="AC15" s="121">
        <f>+Actuals!Z208</f>
        <v>0</v>
      </c>
      <c r="AD15" s="120">
        <f>+Actuals!AA208</f>
        <v>0</v>
      </c>
      <c r="AE15" s="121">
        <f>+Actuals!AB208</f>
        <v>0</v>
      </c>
      <c r="AF15" s="120">
        <f>+Actuals!AC208</f>
        <v>0</v>
      </c>
      <c r="AG15" s="121">
        <f>+Actuals!AD208</f>
        <v>0</v>
      </c>
      <c r="AH15" s="120">
        <f>+Actuals!AE208</f>
        <v>0</v>
      </c>
      <c r="AI15" s="121">
        <f>+Actuals!AF208</f>
        <v>0</v>
      </c>
      <c r="AJ15" s="120">
        <f>+Actuals!AG208</f>
        <v>0</v>
      </c>
      <c r="AK15" s="121">
        <f>+Actuals!AH208</f>
        <v>0</v>
      </c>
      <c r="AL15" s="120">
        <f>+Actuals!AI208</f>
        <v>0</v>
      </c>
      <c r="AM15" s="121">
        <f>+Actuals!AJ208</f>
        <v>0</v>
      </c>
      <c r="AN15" s="120">
        <f>+Actuals!AK208</f>
        <v>0</v>
      </c>
      <c r="AO15" s="121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4530348</v>
      </c>
      <c r="E16" s="39">
        <f t="shared" si="1"/>
        <v>9355486.629999999</v>
      </c>
      <c r="F16" s="61">
        <f t="shared" si="1"/>
        <v>0</v>
      </c>
      <c r="G16" s="39">
        <f t="shared" si="1"/>
        <v>91147.839999999997</v>
      </c>
      <c r="H16" s="61">
        <f t="shared" si="1"/>
        <v>4600529</v>
      </c>
      <c r="I16" s="39">
        <f t="shared" si="1"/>
        <v>9405153.6999999993</v>
      </c>
      <c r="J16" s="61">
        <f t="shared" ref="J16:AO16" si="2">SUM(J11:J15)</f>
        <v>16137</v>
      </c>
      <c r="K16" s="39">
        <f t="shared" si="2"/>
        <v>48466.65</v>
      </c>
      <c r="L16" s="61">
        <f t="shared" si="2"/>
        <v>10050</v>
      </c>
      <c r="M16" s="39">
        <f t="shared" si="2"/>
        <v>30078.51</v>
      </c>
      <c r="N16" s="61">
        <f t="shared" ref="N16:S16" si="3">SUM(N11:N15)</f>
        <v>-1</v>
      </c>
      <c r="O16" s="39">
        <f t="shared" si="3"/>
        <v>-2.14</v>
      </c>
      <c r="P16" s="61">
        <f t="shared" si="3"/>
        <v>0</v>
      </c>
      <c r="Q16" s="39">
        <f t="shared" si="3"/>
        <v>0</v>
      </c>
      <c r="R16" s="61">
        <f t="shared" si="3"/>
        <v>0</v>
      </c>
      <c r="S16" s="39">
        <f t="shared" si="3"/>
        <v>0</v>
      </c>
      <c r="T16" s="61">
        <f t="shared" si="2"/>
        <v>-96367</v>
      </c>
      <c r="U16" s="39">
        <f t="shared" si="2"/>
        <v>-219357.93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-5308218</v>
      </c>
      <c r="E19" s="38">
        <f t="shared" si="4"/>
        <v>-10516586.24</v>
      </c>
      <c r="F19" s="64">
        <f>'TIE-OUT'!R19+RECLASS!P19</f>
        <v>0</v>
      </c>
      <c r="G19" s="68">
        <f>'TIE-OUT'!S19+RECLASS!Q19</f>
        <v>0</v>
      </c>
      <c r="H19" s="120">
        <f>+Actuals!E209</f>
        <v>-5014757</v>
      </c>
      <c r="I19" s="121">
        <f>+Actuals!F209</f>
        <v>-9920096.4900000002</v>
      </c>
      <c r="J19" s="120">
        <f>+Actuals!G209</f>
        <v>-274862</v>
      </c>
      <c r="K19" s="121">
        <f>+Actuals!H209</f>
        <v>-567305.32999999996</v>
      </c>
      <c r="L19" s="120">
        <f>+Actuals!I209</f>
        <v>-18599</v>
      </c>
      <c r="M19" s="121">
        <f>+Actuals!J209</f>
        <v>-95922.98</v>
      </c>
      <c r="N19" s="120">
        <f>+Actuals!K209</f>
        <v>0</v>
      </c>
      <c r="O19" s="121">
        <f>+Actuals!L209</f>
        <v>66738.559999999998</v>
      </c>
      <c r="P19" s="120">
        <f>+Actuals!M209</f>
        <v>0</v>
      </c>
      <c r="Q19" s="121">
        <f>+Actuals!N209</f>
        <v>0</v>
      </c>
      <c r="R19" s="120">
        <f>+Actuals!O209</f>
        <v>0</v>
      </c>
      <c r="S19" s="121">
        <f>+Actuals!P209</f>
        <v>0</v>
      </c>
      <c r="T19" s="120">
        <f>+Actuals!Q209</f>
        <v>0</v>
      </c>
      <c r="U19" s="121">
        <f>+Actuals!R209</f>
        <v>0</v>
      </c>
      <c r="V19" s="120">
        <f>+Actuals!S209</f>
        <v>0</v>
      </c>
      <c r="W19" s="121">
        <f>+Actuals!T209</f>
        <v>0</v>
      </c>
      <c r="X19" s="120">
        <f>+Actuals!U209</f>
        <v>0</v>
      </c>
      <c r="Y19" s="121">
        <f>+Actuals!V209</f>
        <v>0</v>
      </c>
      <c r="Z19" s="120">
        <f>+Actuals!W209</f>
        <v>0</v>
      </c>
      <c r="AA19" s="121">
        <f>+Actuals!X209</f>
        <v>0</v>
      </c>
      <c r="AB19" s="120">
        <f>+Actuals!Y209</f>
        <v>0</v>
      </c>
      <c r="AC19" s="121">
        <f>+Actuals!Z209</f>
        <v>0</v>
      </c>
      <c r="AD19" s="120">
        <f>+Actuals!AA209</f>
        <v>0</v>
      </c>
      <c r="AE19" s="121">
        <f>+Actuals!AB209</f>
        <v>0</v>
      </c>
      <c r="AF19" s="120">
        <f>+Actuals!AC209</f>
        <v>0</v>
      </c>
      <c r="AG19" s="121">
        <f>+Actuals!AD209</f>
        <v>0</v>
      </c>
      <c r="AH19" s="120">
        <f>+Actuals!AE209</f>
        <v>0</v>
      </c>
      <c r="AI19" s="121">
        <f>+Actuals!AF209</f>
        <v>0</v>
      </c>
      <c r="AJ19" s="120">
        <f>+Actuals!AG209</f>
        <v>0</v>
      </c>
      <c r="AK19" s="121">
        <f>+Actuals!AH209</f>
        <v>0</v>
      </c>
      <c r="AL19" s="120">
        <f>+Actuals!AI209</f>
        <v>0</v>
      </c>
      <c r="AM19" s="121">
        <f>+Actuals!AJ209</f>
        <v>0</v>
      </c>
      <c r="AN19" s="120">
        <f>+Actuals!AK209</f>
        <v>0</v>
      </c>
      <c r="AO19" s="121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-190939.56</v>
      </c>
      <c r="F20" s="60">
        <f>'TIE-OUT'!R20+RECLASS!P20</f>
        <v>0</v>
      </c>
      <c r="G20" s="38">
        <f>'TIE-OUT'!S20+RECLASS!Q20</f>
        <v>-190939.56</v>
      </c>
      <c r="H20" s="120">
        <f>+Actuals!E210</f>
        <v>0</v>
      </c>
      <c r="I20" s="121">
        <f>+Actuals!F210</f>
        <v>0</v>
      </c>
      <c r="J20" s="120">
        <f>+Actuals!G210</f>
        <v>0</v>
      </c>
      <c r="K20" s="121">
        <f>+Actuals!H210</f>
        <v>0</v>
      </c>
      <c r="L20" s="120">
        <f>+Actuals!I210</f>
        <v>0</v>
      </c>
      <c r="M20" s="121">
        <f>+Actuals!J210</f>
        <v>0</v>
      </c>
      <c r="N20" s="120">
        <f>+Actuals!K210</f>
        <v>0</v>
      </c>
      <c r="O20" s="121">
        <f>+Actuals!L210</f>
        <v>0</v>
      </c>
      <c r="P20" s="120">
        <f>+Actuals!M210</f>
        <v>0</v>
      </c>
      <c r="Q20" s="121">
        <f>+Actuals!N210</f>
        <v>0</v>
      </c>
      <c r="R20" s="120">
        <f>+Actuals!O210</f>
        <v>0</v>
      </c>
      <c r="S20" s="121">
        <f>+Actuals!P210</f>
        <v>0</v>
      </c>
      <c r="T20" s="120">
        <f>+Actuals!Q210</f>
        <v>0</v>
      </c>
      <c r="U20" s="121">
        <f>+Actuals!R210</f>
        <v>0</v>
      </c>
      <c r="V20" s="120">
        <f>+Actuals!S210</f>
        <v>0</v>
      </c>
      <c r="W20" s="121">
        <f>+Actuals!T210</f>
        <v>0</v>
      </c>
      <c r="X20" s="120">
        <f>+Actuals!U210</f>
        <v>0</v>
      </c>
      <c r="Y20" s="121">
        <f>+Actuals!V210</f>
        <v>0</v>
      </c>
      <c r="Z20" s="120">
        <f>+Actuals!W210</f>
        <v>0</v>
      </c>
      <c r="AA20" s="121">
        <f>+Actuals!X210</f>
        <v>0</v>
      </c>
      <c r="AB20" s="120">
        <f>+Actuals!Y210</f>
        <v>0</v>
      </c>
      <c r="AC20" s="121">
        <f>+Actuals!Z210</f>
        <v>0</v>
      </c>
      <c r="AD20" s="120">
        <f>+Actuals!AA210</f>
        <v>0</v>
      </c>
      <c r="AE20" s="121">
        <f>+Actuals!AB210</f>
        <v>0</v>
      </c>
      <c r="AF20" s="120">
        <f>+Actuals!AC210</f>
        <v>0</v>
      </c>
      <c r="AG20" s="121">
        <f>+Actuals!AD210</f>
        <v>0</v>
      </c>
      <c r="AH20" s="120">
        <f>+Actuals!AE210</f>
        <v>0</v>
      </c>
      <c r="AI20" s="121">
        <f>+Actuals!AF210</f>
        <v>0</v>
      </c>
      <c r="AJ20" s="120">
        <f>+Actuals!AG210</f>
        <v>0</v>
      </c>
      <c r="AK20" s="121">
        <f>+Actuals!AH210</f>
        <v>0</v>
      </c>
      <c r="AL20" s="120">
        <f>+Actuals!AI210</f>
        <v>0</v>
      </c>
      <c r="AM20" s="121">
        <f>+Actuals!AJ210</f>
        <v>0</v>
      </c>
      <c r="AN20" s="120">
        <f>+Actuals!AK210</f>
        <v>0</v>
      </c>
      <c r="AO20" s="121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0</v>
      </c>
      <c r="E21" s="38">
        <f t="shared" si="4"/>
        <v>0</v>
      </c>
      <c r="F21" s="60">
        <f>'TIE-OUT'!R21+RECLASS!P21</f>
        <v>0</v>
      </c>
      <c r="G21" s="38">
        <f>'TIE-OUT'!S21+RECLASS!Q21</f>
        <v>0</v>
      </c>
      <c r="H21" s="120">
        <f>+Actuals!E211</f>
        <v>-93</v>
      </c>
      <c r="I21" s="121">
        <f>+Actuals!F211</f>
        <v>-202</v>
      </c>
      <c r="J21" s="120">
        <f>+Actuals!G211</f>
        <v>0</v>
      </c>
      <c r="K21" s="121">
        <f>+Actuals!H211</f>
        <v>0</v>
      </c>
      <c r="L21" s="120">
        <f>+Actuals!I211</f>
        <v>0</v>
      </c>
      <c r="M21" s="121">
        <f>+Actuals!J211</f>
        <v>0</v>
      </c>
      <c r="N21" s="120">
        <f>+Actuals!K211</f>
        <v>0</v>
      </c>
      <c r="O21" s="121">
        <f>+Actuals!L211</f>
        <v>0</v>
      </c>
      <c r="P21" s="120">
        <f>+Actuals!M211</f>
        <v>0</v>
      </c>
      <c r="Q21" s="121">
        <f>+Actuals!N211</f>
        <v>0</v>
      </c>
      <c r="R21" s="120">
        <f>+Actuals!O211</f>
        <v>0</v>
      </c>
      <c r="S21" s="121">
        <f>+Actuals!P211</f>
        <v>0</v>
      </c>
      <c r="T21" s="120">
        <f>+Actuals!Q211</f>
        <v>93</v>
      </c>
      <c r="U21" s="121">
        <f>+Actuals!R211</f>
        <v>202</v>
      </c>
      <c r="V21" s="120">
        <f>+Actuals!S211</f>
        <v>0</v>
      </c>
      <c r="W21" s="121">
        <f>+Actuals!T211</f>
        <v>0</v>
      </c>
      <c r="X21" s="120">
        <f>+Actuals!U211</f>
        <v>0</v>
      </c>
      <c r="Y21" s="121">
        <f>+Actuals!V211</f>
        <v>0</v>
      </c>
      <c r="Z21" s="120">
        <f>+Actuals!W211</f>
        <v>0</v>
      </c>
      <c r="AA21" s="121">
        <f>+Actuals!X211</f>
        <v>0</v>
      </c>
      <c r="AB21" s="120">
        <f>+Actuals!Y211</f>
        <v>0</v>
      </c>
      <c r="AC21" s="121">
        <f>+Actuals!Z211</f>
        <v>0</v>
      </c>
      <c r="AD21" s="120">
        <f>+Actuals!AA211</f>
        <v>0</v>
      </c>
      <c r="AE21" s="121">
        <f>+Actuals!AB211</f>
        <v>0</v>
      </c>
      <c r="AF21" s="120">
        <f>+Actuals!AC211</f>
        <v>0</v>
      </c>
      <c r="AG21" s="121">
        <f>+Actuals!AD211</f>
        <v>0</v>
      </c>
      <c r="AH21" s="120">
        <f>+Actuals!AE211</f>
        <v>0</v>
      </c>
      <c r="AI21" s="121">
        <f>+Actuals!AF211</f>
        <v>0</v>
      </c>
      <c r="AJ21" s="120">
        <f>+Actuals!AG211</f>
        <v>0</v>
      </c>
      <c r="AK21" s="121">
        <f>+Actuals!AH211</f>
        <v>0</v>
      </c>
      <c r="AL21" s="120">
        <f>+Actuals!AI211</f>
        <v>0</v>
      </c>
      <c r="AM21" s="121">
        <f>+Actuals!AJ211</f>
        <v>0</v>
      </c>
      <c r="AN21" s="120">
        <f>+Actuals!AK211</f>
        <v>0</v>
      </c>
      <c r="AO21" s="121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'TIE-OUT'!R22+RECLASS!P22</f>
        <v>0</v>
      </c>
      <c r="G22" s="38">
        <f>'TIE-OUT'!S22+RECLASS!Q22</f>
        <v>0</v>
      </c>
      <c r="H22" s="120">
        <f>+Actuals!E212</f>
        <v>0</v>
      </c>
      <c r="I22" s="121">
        <f>+Actuals!F212</f>
        <v>0</v>
      </c>
      <c r="J22" s="120">
        <f>+Actuals!G212</f>
        <v>0</v>
      </c>
      <c r="K22" s="121">
        <f>+Actuals!H212</f>
        <v>0</v>
      </c>
      <c r="L22" s="120">
        <f>+Actuals!I212</f>
        <v>0</v>
      </c>
      <c r="M22" s="121">
        <f>+Actuals!J212</f>
        <v>0</v>
      </c>
      <c r="N22" s="120">
        <f>+Actuals!K212</f>
        <v>0</v>
      </c>
      <c r="O22" s="121">
        <f>+Actuals!L212</f>
        <v>0</v>
      </c>
      <c r="P22" s="120">
        <f>+Actuals!M212</f>
        <v>0</v>
      </c>
      <c r="Q22" s="121">
        <f>+Actuals!N212</f>
        <v>0</v>
      </c>
      <c r="R22" s="120">
        <f>+Actuals!O212</f>
        <v>0</v>
      </c>
      <c r="S22" s="121">
        <f>+Actuals!P212</f>
        <v>0</v>
      </c>
      <c r="T22" s="120">
        <f>+Actuals!Q212</f>
        <v>0</v>
      </c>
      <c r="U22" s="121">
        <f>+Actuals!R212</f>
        <v>0</v>
      </c>
      <c r="V22" s="120">
        <f>+Actuals!S212</f>
        <v>0</v>
      </c>
      <c r="W22" s="121">
        <f>+Actuals!T212</f>
        <v>0</v>
      </c>
      <c r="X22" s="120">
        <f>+Actuals!U212</f>
        <v>0</v>
      </c>
      <c r="Y22" s="121">
        <f>+Actuals!V212</f>
        <v>0</v>
      </c>
      <c r="Z22" s="120">
        <f>+Actuals!W212</f>
        <v>0</v>
      </c>
      <c r="AA22" s="121">
        <f>+Actuals!X212</f>
        <v>0</v>
      </c>
      <c r="AB22" s="120">
        <f>+Actuals!Y212</f>
        <v>0</v>
      </c>
      <c r="AC22" s="121">
        <f>+Actuals!Z212</f>
        <v>0</v>
      </c>
      <c r="AD22" s="120">
        <f>+Actuals!AA212</f>
        <v>0</v>
      </c>
      <c r="AE22" s="121">
        <f>+Actuals!AB212</f>
        <v>0</v>
      </c>
      <c r="AF22" s="120">
        <f>+Actuals!AC212</f>
        <v>0</v>
      </c>
      <c r="AG22" s="121">
        <f>+Actuals!AD212</f>
        <v>0</v>
      </c>
      <c r="AH22" s="120">
        <f>+Actuals!AE212</f>
        <v>0</v>
      </c>
      <c r="AI22" s="121">
        <f>+Actuals!AF212</f>
        <v>0</v>
      </c>
      <c r="AJ22" s="120">
        <f>+Actuals!AG212</f>
        <v>0</v>
      </c>
      <c r="AK22" s="121">
        <f>+Actuals!AH212</f>
        <v>0</v>
      </c>
      <c r="AL22" s="120">
        <f>+Actuals!AI212</f>
        <v>0</v>
      </c>
      <c r="AM22" s="121">
        <f>+Actuals!AJ212</f>
        <v>0</v>
      </c>
      <c r="AN22" s="120">
        <f>+Actuals!AK212</f>
        <v>0</v>
      </c>
      <c r="AO22" s="121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10465</v>
      </c>
      <c r="E23" s="38">
        <f t="shared" si="4"/>
        <v>21317.205000000002</v>
      </c>
      <c r="F23" s="81">
        <f>'TIE-OUT'!R23+RECLASS!P23</f>
        <v>0</v>
      </c>
      <c r="G23" s="82">
        <f>'TIE-OUT'!S23+RECLASS!Q23</f>
        <v>0</v>
      </c>
      <c r="H23" s="120">
        <f>+Actuals!E213</f>
        <v>0</v>
      </c>
      <c r="I23" s="121">
        <f>+Actuals!F213</f>
        <v>0</v>
      </c>
      <c r="J23" s="120">
        <f>+Actuals!G213</f>
        <v>535</v>
      </c>
      <c r="K23" s="121">
        <f>+Actuals!H213</f>
        <v>1089.7950000000001</v>
      </c>
      <c r="L23" s="120">
        <f>+Actuals!I213</f>
        <v>9930</v>
      </c>
      <c r="M23" s="121">
        <f>+Actuals!J213</f>
        <v>20227.41</v>
      </c>
      <c r="N23" s="120">
        <f>+Actuals!K213</f>
        <v>0</v>
      </c>
      <c r="O23" s="121">
        <f>+Actuals!L213</f>
        <v>0</v>
      </c>
      <c r="P23" s="120">
        <f>+Actuals!M213</f>
        <v>0</v>
      </c>
      <c r="Q23" s="121">
        <f>+Actuals!N213</f>
        <v>0</v>
      </c>
      <c r="R23" s="120">
        <f>+Actuals!O213</f>
        <v>0</v>
      </c>
      <c r="S23" s="121">
        <f>+Actuals!P213</f>
        <v>0</v>
      </c>
      <c r="T23" s="120">
        <f>+Actuals!Q213</f>
        <v>0</v>
      </c>
      <c r="U23" s="121">
        <f>+Actuals!R213</f>
        <v>0</v>
      </c>
      <c r="V23" s="120">
        <f>+Actuals!S213</f>
        <v>0</v>
      </c>
      <c r="W23" s="121">
        <f>+Actuals!T213</f>
        <v>0</v>
      </c>
      <c r="X23" s="120">
        <f>+Actuals!U213</f>
        <v>0</v>
      </c>
      <c r="Y23" s="121">
        <f>+Actuals!V213</f>
        <v>0</v>
      </c>
      <c r="Z23" s="120">
        <f>+Actuals!W213</f>
        <v>0</v>
      </c>
      <c r="AA23" s="121">
        <f>+Actuals!X213</f>
        <v>0</v>
      </c>
      <c r="AB23" s="120">
        <f>+Actuals!Y213</f>
        <v>0</v>
      </c>
      <c r="AC23" s="121">
        <f>+Actuals!Z213</f>
        <v>0</v>
      </c>
      <c r="AD23" s="120">
        <f>+Actuals!AA213</f>
        <v>0</v>
      </c>
      <c r="AE23" s="121">
        <f>+Actuals!AB213</f>
        <v>0</v>
      </c>
      <c r="AF23" s="120">
        <f>+Actuals!AC213</f>
        <v>0</v>
      </c>
      <c r="AG23" s="121">
        <f>+Actuals!AD213</f>
        <v>0</v>
      </c>
      <c r="AH23" s="120">
        <f>+Actuals!AE213</f>
        <v>0</v>
      </c>
      <c r="AI23" s="121">
        <f>+Actuals!AF213</f>
        <v>0</v>
      </c>
      <c r="AJ23" s="120">
        <f>+Actuals!AG213</f>
        <v>0</v>
      </c>
      <c r="AK23" s="121">
        <f>+Actuals!AH213</f>
        <v>0</v>
      </c>
      <c r="AL23" s="120">
        <f>+Actuals!AI213</f>
        <v>0</v>
      </c>
      <c r="AM23" s="121">
        <f>+Actuals!AJ213</f>
        <v>0</v>
      </c>
      <c r="AN23" s="120">
        <f>+Actuals!AK213</f>
        <v>0</v>
      </c>
      <c r="AO23" s="121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-5297753</v>
      </c>
      <c r="E24" s="39">
        <f t="shared" si="5"/>
        <v>-10686208.595000001</v>
      </c>
      <c r="F24" s="61">
        <f t="shared" si="5"/>
        <v>0</v>
      </c>
      <c r="G24" s="39">
        <f t="shared" si="5"/>
        <v>-190939.56</v>
      </c>
      <c r="H24" s="61">
        <f t="shared" si="5"/>
        <v>-5014850</v>
      </c>
      <c r="I24" s="39">
        <f t="shared" si="5"/>
        <v>-9920298.4900000002</v>
      </c>
      <c r="J24" s="61">
        <f t="shared" ref="J24:AO24" si="6">SUM(J19:J23)</f>
        <v>-274327</v>
      </c>
      <c r="K24" s="39">
        <f t="shared" si="6"/>
        <v>-566215.53499999992</v>
      </c>
      <c r="L24" s="61">
        <f t="shared" si="6"/>
        <v>-8669</v>
      </c>
      <c r="M24" s="39">
        <f t="shared" si="6"/>
        <v>-75695.569999999992</v>
      </c>
      <c r="N24" s="61">
        <f t="shared" ref="N24:S24" si="7">SUM(N19:N23)</f>
        <v>0</v>
      </c>
      <c r="O24" s="39">
        <f t="shared" si="7"/>
        <v>66738.559999999998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6"/>
        <v>93</v>
      </c>
      <c r="U24" s="39">
        <f t="shared" si="6"/>
        <v>202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20">
        <f>+Actuals!E214</f>
        <v>0</v>
      </c>
      <c r="I27" s="121">
        <f>+Actuals!F214</f>
        <v>0</v>
      </c>
      <c r="J27" s="120">
        <f>+Actuals!G214</f>
        <v>0</v>
      </c>
      <c r="K27" s="121">
        <f>+Actuals!H214</f>
        <v>0</v>
      </c>
      <c r="L27" s="120">
        <f>+Actuals!I214</f>
        <v>0</v>
      </c>
      <c r="M27" s="121">
        <f>+Actuals!J214</f>
        <v>0</v>
      </c>
      <c r="N27" s="120">
        <f>+Actuals!K214</f>
        <v>0</v>
      </c>
      <c r="O27" s="121">
        <f>+Actuals!L214</f>
        <v>0</v>
      </c>
      <c r="P27" s="120">
        <f>+Actuals!M214</f>
        <v>0</v>
      </c>
      <c r="Q27" s="121">
        <f>+Actuals!N214</f>
        <v>0</v>
      </c>
      <c r="R27" s="120">
        <f>+Actuals!O214</f>
        <v>0</v>
      </c>
      <c r="S27" s="121">
        <f>+Actuals!P214</f>
        <v>0</v>
      </c>
      <c r="T27" s="120">
        <f>+Actuals!Q214</f>
        <v>0</v>
      </c>
      <c r="U27" s="121">
        <f>+Actuals!R214</f>
        <v>0</v>
      </c>
      <c r="V27" s="120">
        <f>+Actuals!S214</f>
        <v>0</v>
      </c>
      <c r="W27" s="121">
        <f>+Actuals!T214</f>
        <v>0</v>
      </c>
      <c r="X27" s="120">
        <f>+Actuals!U214</f>
        <v>0</v>
      </c>
      <c r="Y27" s="121">
        <f>+Actuals!V214</f>
        <v>0</v>
      </c>
      <c r="Z27" s="120">
        <f>+Actuals!W214</f>
        <v>0</v>
      </c>
      <c r="AA27" s="121">
        <f>+Actuals!X214</f>
        <v>0</v>
      </c>
      <c r="AB27" s="120">
        <f>+Actuals!Y214</f>
        <v>0</v>
      </c>
      <c r="AC27" s="121">
        <f>+Actuals!Z214</f>
        <v>0</v>
      </c>
      <c r="AD27" s="120">
        <f>+Actuals!AA214</f>
        <v>0</v>
      </c>
      <c r="AE27" s="121">
        <f>+Actuals!AB214</f>
        <v>0</v>
      </c>
      <c r="AF27" s="120">
        <f>+Actuals!AC214</f>
        <v>0</v>
      </c>
      <c r="AG27" s="121">
        <f>+Actuals!AD214</f>
        <v>0</v>
      </c>
      <c r="AH27" s="120">
        <f>+Actuals!AE214</f>
        <v>0</v>
      </c>
      <c r="AI27" s="121">
        <f>+Actuals!AF214</f>
        <v>0</v>
      </c>
      <c r="AJ27" s="120">
        <f>+Actuals!AG214</f>
        <v>0</v>
      </c>
      <c r="AK27" s="121">
        <f>+Actuals!AH214</f>
        <v>0</v>
      </c>
      <c r="AL27" s="120">
        <f>+Actuals!AI214</f>
        <v>0</v>
      </c>
      <c r="AM27" s="121">
        <f>+Actuals!AJ214</f>
        <v>0</v>
      </c>
      <c r="AN27" s="120">
        <f>+Actuals!AK214</f>
        <v>0</v>
      </c>
      <c r="AO27" s="121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20">
        <f>+Actuals!E215</f>
        <v>0</v>
      </c>
      <c r="I28" s="121">
        <f>+Actuals!F215</f>
        <v>0</v>
      </c>
      <c r="J28" s="120">
        <f>+Actuals!G215</f>
        <v>0</v>
      </c>
      <c r="K28" s="121">
        <f>+Actuals!H215</f>
        <v>0</v>
      </c>
      <c r="L28" s="120">
        <f>+Actuals!I215</f>
        <v>0</v>
      </c>
      <c r="M28" s="121">
        <f>+Actuals!J215</f>
        <v>0</v>
      </c>
      <c r="N28" s="120">
        <f>+Actuals!K215</f>
        <v>0</v>
      </c>
      <c r="O28" s="121">
        <f>+Actuals!L215</f>
        <v>0</v>
      </c>
      <c r="P28" s="120">
        <f>+Actuals!M215</f>
        <v>0</v>
      </c>
      <c r="Q28" s="121">
        <f>+Actuals!N215</f>
        <v>0</v>
      </c>
      <c r="R28" s="120">
        <f>+Actuals!O215</f>
        <v>0</v>
      </c>
      <c r="S28" s="121">
        <f>+Actuals!P215</f>
        <v>0</v>
      </c>
      <c r="T28" s="120">
        <f>+Actuals!Q215</f>
        <v>0</v>
      </c>
      <c r="U28" s="121">
        <f>+Actuals!R215</f>
        <v>0</v>
      </c>
      <c r="V28" s="120">
        <f>+Actuals!S215</f>
        <v>0</v>
      </c>
      <c r="W28" s="121">
        <f>+Actuals!T215</f>
        <v>0</v>
      </c>
      <c r="X28" s="120">
        <f>+Actuals!U215</f>
        <v>0</v>
      </c>
      <c r="Y28" s="121">
        <f>+Actuals!V215</f>
        <v>0</v>
      </c>
      <c r="Z28" s="120">
        <f>+Actuals!W215</f>
        <v>0</v>
      </c>
      <c r="AA28" s="121">
        <f>+Actuals!X215</f>
        <v>0</v>
      </c>
      <c r="AB28" s="120">
        <f>+Actuals!Y215</f>
        <v>0</v>
      </c>
      <c r="AC28" s="121">
        <f>+Actuals!Z215</f>
        <v>0</v>
      </c>
      <c r="AD28" s="120">
        <f>+Actuals!AA215</f>
        <v>0</v>
      </c>
      <c r="AE28" s="121">
        <f>+Actuals!AB215</f>
        <v>0</v>
      </c>
      <c r="AF28" s="120">
        <f>+Actuals!AC215</f>
        <v>0</v>
      </c>
      <c r="AG28" s="121">
        <f>+Actuals!AD215</f>
        <v>0</v>
      </c>
      <c r="AH28" s="120">
        <f>+Actuals!AE215</f>
        <v>0</v>
      </c>
      <c r="AI28" s="121">
        <f>+Actuals!AF215</f>
        <v>0</v>
      </c>
      <c r="AJ28" s="120">
        <f>+Actuals!AG215</f>
        <v>0</v>
      </c>
      <c r="AK28" s="121">
        <f>+Actuals!AH215</f>
        <v>0</v>
      </c>
      <c r="AL28" s="120">
        <f>+Actuals!AI215</f>
        <v>0</v>
      </c>
      <c r="AM28" s="121">
        <f>+Actuals!AJ215</f>
        <v>0</v>
      </c>
      <c r="AN28" s="120">
        <f>+Actuals!AK215</f>
        <v>0</v>
      </c>
      <c r="AO28" s="121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S29" si="9">SUM(N27:N28)</f>
        <v>0</v>
      </c>
      <c r="O29" s="39">
        <f t="shared" si="9"/>
        <v>0</v>
      </c>
      <c r="P29" s="61">
        <f t="shared" si="9"/>
        <v>0</v>
      </c>
      <c r="Q29" s="39">
        <f t="shared" si="9"/>
        <v>0</v>
      </c>
      <c r="R29" s="61">
        <f t="shared" si="9"/>
        <v>0</v>
      </c>
      <c r="S29" s="39">
        <f t="shared" si="9"/>
        <v>0</v>
      </c>
      <c r="T29" s="61">
        <f t="shared" si="8"/>
        <v>0</v>
      </c>
      <c r="U29" s="39">
        <f t="shared" si="8"/>
        <v>0</v>
      </c>
      <c r="V29" s="61">
        <f t="shared" si="8"/>
        <v>0</v>
      </c>
      <c r="W29" s="39">
        <f t="shared" si="8"/>
        <v>0</v>
      </c>
      <c r="X29" s="61">
        <f t="shared" si="8"/>
        <v>0</v>
      </c>
      <c r="Y29" s="39">
        <f t="shared" si="8"/>
        <v>0</v>
      </c>
      <c r="Z29" s="61">
        <f t="shared" si="8"/>
        <v>0</v>
      </c>
      <c r="AA29" s="39">
        <f t="shared" si="8"/>
        <v>0</v>
      </c>
      <c r="AB29" s="61">
        <f t="shared" si="8"/>
        <v>0</v>
      </c>
      <c r="AC29" s="39">
        <f t="shared" si="8"/>
        <v>0</v>
      </c>
      <c r="AD29" s="61">
        <f t="shared" si="8"/>
        <v>0</v>
      </c>
      <c r="AE29" s="39">
        <f t="shared" si="8"/>
        <v>0</v>
      </c>
      <c r="AF29" s="61">
        <f t="shared" si="8"/>
        <v>0</v>
      </c>
      <c r="AG29" s="39">
        <f t="shared" si="8"/>
        <v>0</v>
      </c>
      <c r="AH29" s="61">
        <f t="shared" si="8"/>
        <v>0</v>
      </c>
      <c r="AI29" s="39">
        <f t="shared" si="8"/>
        <v>0</v>
      </c>
      <c r="AJ29" s="61">
        <f t="shared" si="8"/>
        <v>0</v>
      </c>
      <c r="AK29" s="39">
        <f t="shared" si="8"/>
        <v>0</v>
      </c>
      <c r="AL29" s="61">
        <f t="shared" si="8"/>
        <v>0</v>
      </c>
      <c r="AM29" s="39">
        <f t="shared" si="8"/>
        <v>0</v>
      </c>
      <c r="AN29" s="61">
        <f t="shared" si="8"/>
        <v>0</v>
      </c>
      <c r="AO29" s="39">
        <f t="shared" si="8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10">SUM(F32,H32,J32,L32,N32,P32,R32,T32,V32,X32,Z32,AB32,AD32)</f>
        <v>18095</v>
      </c>
      <c r="E32" s="38">
        <f t="shared" si="10"/>
        <v>66705.665000000008</v>
      </c>
      <c r="F32" s="64">
        <f>'TIE-OUT'!R32+RECLASS!P32</f>
        <v>0</v>
      </c>
      <c r="G32" s="68">
        <f>'TIE-OUT'!S32+RECLASS!Q32</f>
        <v>0</v>
      </c>
      <c r="H32" s="120">
        <f>+Actuals!E216</f>
        <v>0</v>
      </c>
      <c r="I32" s="121">
        <f>+Actuals!F216</f>
        <v>0</v>
      </c>
      <c r="J32" s="120">
        <f>+Actuals!G216</f>
        <v>28025</v>
      </c>
      <c r="K32" s="121">
        <f>+Actuals!H216</f>
        <v>61122.525000000001</v>
      </c>
      <c r="L32" s="120">
        <f>+Actuals!I216</f>
        <v>-9930</v>
      </c>
      <c r="M32" s="121">
        <f>+Actuals!J216</f>
        <v>5583.14</v>
      </c>
      <c r="N32" s="120">
        <f>+Actuals!K216</f>
        <v>0</v>
      </c>
      <c r="O32" s="121">
        <f>+Actuals!L216</f>
        <v>0</v>
      </c>
      <c r="P32" s="120">
        <f>+Actuals!M216</f>
        <v>0</v>
      </c>
      <c r="Q32" s="121">
        <f>+Actuals!N216</f>
        <v>0</v>
      </c>
      <c r="R32" s="120">
        <f>+Actuals!O216</f>
        <v>0</v>
      </c>
      <c r="S32" s="121">
        <f>+Actuals!P216</f>
        <v>0</v>
      </c>
      <c r="T32" s="120">
        <f>+Actuals!Q216</f>
        <v>0</v>
      </c>
      <c r="U32" s="121">
        <f>+Actuals!R216</f>
        <v>0</v>
      </c>
      <c r="V32" s="120">
        <f>+Actuals!S216</f>
        <v>0</v>
      </c>
      <c r="W32" s="121">
        <f>+Actuals!T216</f>
        <v>0</v>
      </c>
      <c r="X32" s="120">
        <f>+Actuals!U216</f>
        <v>0</v>
      </c>
      <c r="Y32" s="121">
        <f>+Actuals!V216</f>
        <v>0</v>
      </c>
      <c r="Z32" s="120">
        <f>+Actuals!W216</f>
        <v>0</v>
      </c>
      <c r="AA32" s="121">
        <f>+Actuals!X216</f>
        <v>0</v>
      </c>
      <c r="AB32" s="120">
        <f>+Actuals!Y216</f>
        <v>0</v>
      </c>
      <c r="AC32" s="121">
        <f>+Actuals!Z216</f>
        <v>0</v>
      </c>
      <c r="AD32" s="120">
        <f>+Actuals!AA216</f>
        <v>0</v>
      </c>
      <c r="AE32" s="121">
        <f>+Actuals!AB216</f>
        <v>0</v>
      </c>
      <c r="AF32" s="120">
        <f>+Actuals!AC216</f>
        <v>0</v>
      </c>
      <c r="AG32" s="121">
        <f>+Actuals!AD216</f>
        <v>0</v>
      </c>
      <c r="AH32" s="120">
        <f>+Actuals!AE216</f>
        <v>0</v>
      </c>
      <c r="AI32" s="121">
        <f>+Actuals!AF216</f>
        <v>0</v>
      </c>
      <c r="AJ32" s="120">
        <f>+Actuals!AG216</f>
        <v>0</v>
      </c>
      <c r="AK32" s="121">
        <f>+Actuals!AH216</f>
        <v>0</v>
      </c>
      <c r="AL32" s="120">
        <f>+Actuals!AI216</f>
        <v>0</v>
      </c>
      <c r="AM32" s="121">
        <f>+Actuals!AJ216</f>
        <v>0</v>
      </c>
      <c r="AN32" s="120">
        <f>+Actuals!AK216</f>
        <v>0</v>
      </c>
      <c r="AO32" s="121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0"/>
        <v>0</v>
      </c>
      <c r="E33" s="38">
        <f t="shared" si="10"/>
        <v>0</v>
      </c>
      <c r="F33" s="60">
        <f>'TIE-OUT'!R33+RECLASS!P33</f>
        <v>0</v>
      </c>
      <c r="G33" s="38">
        <f>'TIE-OUT'!S33+RECLASS!Q33</f>
        <v>0</v>
      </c>
      <c r="H33" s="120">
        <f>+Actuals!E217</f>
        <v>0</v>
      </c>
      <c r="I33" s="121">
        <f>+Actuals!F217</f>
        <v>0</v>
      </c>
      <c r="J33" s="120">
        <f>+Actuals!G217</f>
        <v>0</v>
      </c>
      <c r="K33" s="121">
        <f>+Actuals!H217</f>
        <v>0</v>
      </c>
      <c r="L33" s="120">
        <f>+Actuals!I217</f>
        <v>0</v>
      </c>
      <c r="M33" s="121">
        <f>+Actuals!J217</f>
        <v>0</v>
      </c>
      <c r="N33" s="120">
        <f>+Actuals!K217</f>
        <v>0</v>
      </c>
      <c r="O33" s="121">
        <f>+Actuals!L217</f>
        <v>0</v>
      </c>
      <c r="P33" s="120">
        <f>+Actuals!M217</f>
        <v>0</v>
      </c>
      <c r="Q33" s="121">
        <f>+Actuals!N217</f>
        <v>0</v>
      </c>
      <c r="R33" s="120">
        <f>+Actuals!O217</f>
        <v>0</v>
      </c>
      <c r="S33" s="121">
        <f>+Actuals!P217</f>
        <v>0</v>
      </c>
      <c r="T33" s="120">
        <f>+Actuals!Q217</f>
        <v>0</v>
      </c>
      <c r="U33" s="121">
        <f>+Actuals!R217</f>
        <v>0</v>
      </c>
      <c r="V33" s="120">
        <f>+Actuals!S217</f>
        <v>0</v>
      </c>
      <c r="W33" s="121">
        <f>+Actuals!T217</f>
        <v>0</v>
      </c>
      <c r="X33" s="120">
        <f>+Actuals!U217</f>
        <v>0</v>
      </c>
      <c r="Y33" s="121">
        <f>+Actuals!V217</f>
        <v>0</v>
      </c>
      <c r="Z33" s="120">
        <f>+Actuals!W217</f>
        <v>0</v>
      </c>
      <c r="AA33" s="121">
        <f>+Actuals!X217</f>
        <v>0</v>
      </c>
      <c r="AB33" s="120">
        <f>+Actuals!Y217</f>
        <v>0</v>
      </c>
      <c r="AC33" s="121">
        <f>+Actuals!Z217</f>
        <v>0</v>
      </c>
      <c r="AD33" s="120">
        <f>+Actuals!AA217</f>
        <v>0</v>
      </c>
      <c r="AE33" s="121">
        <f>+Actuals!AB217</f>
        <v>0</v>
      </c>
      <c r="AF33" s="120">
        <f>+Actuals!AC217</f>
        <v>0</v>
      </c>
      <c r="AG33" s="121">
        <f>+Actuals!AD217</f>
        <v>0</v>
      </c>
      <c r="AH33" s="120">
        <f>+Actuals!AE217</f>
        <v>0</v>
      </c>
      <c r="AI33" s="121">
        <f>+Actuals!AF217</f>
        <v>0</v>
      </c>
      <c r="AJ33" s="120">
        <f>+Actuals!AG217</f>
        <v>0</v>
      </c>
      <c r="AK33" s="121">
        <f>+Actuals!AH217</f>
        <v>0</v>
      </c>
      <c r="AL33" s="120">
        <f>+Actuals!AI217</f>
        <v>0</v>
      </c>
      <c r="AM33" s="121">
        <f>+Actuals!AJ217</f>
        <v>0</v>
      </c>
      <c r="AN33" s="120">
        <f>+Actuals!AK217</f>
        <v>0</v>
      </c>
      <c r="AO33" s="121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0"/>
        <v>0</v>
      </c>
      <c r="E34" s="38">
        <f t="shared" si="10"/>
        <v>0</v>
      </c>
      <c r="F34" s="60">
        <f>'TIE-OUT'!R34+RECLASS!P34</f>
        <v>0</v>
      </c>
      <c r="G34" s="38">
        <f>'TIE-OUT'!S34+RECLASS!Q34</f>
        <v>0</v>
      </c>
      <c r="H34" s="120">
        <f>+Actuals!E218</f>
        <v>0</v>
      </c>
      <c r="I34" s="121">
        <f>+Actuals!F218</f>
        <v>0</v>
      </c>
      <c r="J34" s="120">
        <f>+Actuals!G218</f>
        <v>0</v>
      </c>
      <c r="K34" s="121">
        <f>+Actuals!H218</f>
        <v>0</v>
      </c>
      <c r="L34" s="120">
        <f>+Actuals!I218</f>
        <v>0</v>
      </c>
      <c r="M34" s="121">
        <f>+Actuals!J218</f>
        <v>0</v>
      </c>
      <c r="N34" s="120">
        <f>+Actuals!K218</f>
        <v>0</v>
      </c>
      <c r="O34" s="121">
        <f>+Actuals!L218</f>
        <v>0</v>
      </c>
      <c r="P34" s="120">
        <f>+Actuals!M218</f>
        <v>0</v>
      </c>
      <c r="Q34" s="121">
        <f>+Actuals!N218</f>
        <v>0</v>
      </c>
      <c r="R34" s="120">
        <f>+Actuals!O218</f>
        <v>0</v>
      </c>
      <c r="S34" s="121">
        <f>+Actuals!P218</f>
        <v>0</v>
      </c>
      <c r="T34" s="120">
        <f>+Actuals!Q218</f>
        <v>0</v>
      </c>
      <c r="U34" s="121">
        <f>+Actuals!R218</f>
        <v>0</v>
      </c>
      <c r="V34" s="120">
        <f>+Actuals!S218</f>
        <v>0</v>
      </c>
      <c r="W34" s="121">
        <f>+Actuals!T218</f>
        <v>0</v>
      </c>
      <c r="X34" s="120">
        <f>+Actuals!U218</f>
        <v>0</v>
      </c>
      <c r="Y34" s="121">
        <f>+Actuals!V218</f>
        <v>0</v>
      </c>
      <c r="Z34" s="120">
        <f>+Actuals!W218</f>
        <v>0</v>
      </c>
      <c r="AA34" s="121">
        <f>+Actuals!X218</f>
        <v>0</v>
      </c>
      <c r="AB34" s="120">
        <f>+Actuals!Y218</f>
        <v>0</v>
      </c>
      <c r="AC34" s="121">
        <f>+Actuals!Z218</f>
        <v>0</v>
      </c>
      <c r="AD34" s="120">
        <f>+Actuals!AA218</f>
        <v>0</v>
      </c>
      <c r="AE34" s="121">
        <f>+Actuals!AB218</f>
        <v>0</v>
      </c>
      <c r="AF34" s="120">
        <f>+Actuals!AC218</f>
        <v>0</v>
      </c>
      <c r="AG34" s="121">
        <f>+Actuals!AD218</f>
        <v>0</v>
      </c>
      <c r="AH34" s="120">
        <f>+Actuals!AE218</f>
        <v>0</v>
      </c>
      <c r="AI34" s="121">
        <f>+Actuals!AF218</f>
        <v>0</v>
      </c>
      <c r="AJ34" s="120">
        <f>+Actuals!AG218</f>
        <v>0</v>
      </c>
      <c r="AK34" s="121">
        <f>+Actuals!AH218</f>
        <v>0</v>
      </c>
      <c r="AL34" s="120">
        <f>+Actuals!AI218</f>
        <v>0</v>
      </c>
      <c r="AM34" s="121">
        <f>+Actuals!AJ218</f>
        <v>0</v>
      </c>
      <c r="AN34" s="120">
        <f>+Actuals!AK218</f>
        <v>0</v>
      </c>
      <c r="AO34" s="121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0"/>
        <v>0</v>
      </c>
      <c r="E35" s="38">
        <f t="shared" si="10"/>
        <v>0</v>
      </c>
      <c r="F35" s="81">
        <f>'TIE-OUT'!R35+RECLASS!P35</f>
        <v>0</v>
      </c>
      <c r="G35" s="82">
        <f>'TIE-OUT'!S35+RECLASS!Q35</f>
        <v>0</v>
      </c>
      <c r="H35" s="120">
        <f>+Actuals!E219</f>
        <v>0</v>
      </c>
      <c r="I35" s="121">
        <f>+Actuals!F219</f>
        <v>0</v>
      </c>
      <c r="J35" s="120">
        <f>+Actuals!G219</f>
        <v>0</v>
      </c>
      <c r="K35" s="121">
        <f>+Actuals!H219</f>
        <v>0</v>
      </c>
      <c r="L35" s="120">
        <f>+Actuals!I219</f>
        <v>0</v>
      </c>
      <c r="M35" s="121">
        <f>+Actuals!J219</f>
        <v>0</v>
      </c>
      <c r="N35" s="120">
        <f>+Actuals!K219</f>
        <v>0</v>
      </c>
      <c r="O35" s="121">
        <f>+Actuals!L219</f>
        <v>0</v>
      </c>
      <c r="P35" s="120">
        <f>+Actuals!M219</f>
        <v>0</v>
      </c>
      <c r="Q35" s="121">
        <f>+Actuals!N219</f>
        <v>0</v>
      </c>
      <c r="R35" s="120">
        <f>+Actuals!O219</f>
        <v>0</v>
      </c>
      <c r="S35" s="121">
        <f>+Actuals!P219</f>
        <v>0</v>
      </c>
      <c r="T35" s="120">
        <f>+Actuals!Q219</f>
        <v>0</v>
      </c>
      <c r="U35" s="121">
        <f>+Actuals!R219</f>
        <v>0</v>
      </c>
      <c r="V35" s="120">
        <f>+Actuals!S219</f>
        <v>0</v>
      </c>
      <c r="W35" s="121">
        <f>+Actuals!T219</f>
        <v>0</v>
      </c>
      <c r="X35" s="120">
        <f>+Actuals!U219</f>
        <v>0</v>
      </c>
      <c r="Y35" s="121">
        <f>+Actuals!V219</f>
        <v>0</v>
      </c>
      <c r="Z35" s="120">
        <f>+Actuals!W219</f>
        <v>0</v>
      </c>
      <c r="AA35" s="121">
        <f>+Actuals!X219</f>
        <v>0</v>
      </c>
      <c r="AB35" s="120">
        <f>+Actuals!Y219</f>
        <v>0</v>
      </c>
      <c r="AC35" s="121">
        <f>+Actuals!Z219</f>
        <v>0</v>
      </c>
      <c r="AD35" s="120">
        <f>+Actuals!AA219</f>
        <v>0</v>
      </c>
      <c r="AE35" s="121">
        <f>+Actuals!AB219</f>
        <v>0</v>
      </c>
      <c r="AF35" s="120">
        <f>+Actuals!AC219</f>
        <v>0</v>
      </c>
      <c r="AG35" s="121">
        <f>+Actuals!AD219</f>
        <v>0</v>
      </c>
      <c r="AH35" s="120">
        <f>+Actuals!AE219</f>
        <v>0</v>
      </c>
      <c r="AI35" s="121">
        <f>+Actuals!AF219</f>
        <v>0</v>
      </c>
      <c r="AJ35" s="120">
        <f>+Actuals!AG219</f>
        <v>0</v>
      </c>
      <c r="AK35" s="121">
        <f>+Actuals!AH219</f>
        <v>0</v>
      </c>
      <c r="AL35" s="120">
        <f>+Actuals!AI219</f>
        <v>0</v>
      </c>
      <c r="AM35" s="121">
        <f>+Actuals!AJ219</f>
        <v>0</v>
      </c>
      <c r="AN35" s="120">
        <f>+Actuals!AK219</f>
        <v>0</v>
      </c>
      <c r="AO35" s="121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11">SUM(D32:D35)</f>
        <v>18095</v>
      </c>
      <c r="E36" s="39">
        <f t="shared" si="11"/>
        <v>66705.665000000008</v>
      </c>
      <c r="F36" s="61">
        <f t="shared" si="11"/>
        <v>0</v>
      </c>
      <c r="G36" s="39">
        <f t="shared" si="11"/>
        <v>0</v>
      </c>
      <c r="H36" s="61">
        <f t="shared" si="11"/>
        <v>0</v>
      </c>
      <c r="I36" s="39">
        <f t="shared" si="11"/>
        <v>0</v>
      </c>
      <c r="J36" s="61">
        <f t="shared" ref="J36:AO36" si="12">SUM(J32:J35)</f>
        <v>28025</v>
      </c>
      <c r="K36" s="39">
        <f t="shared" si="12"/>
        <v>61122.525000000001</v>
      </c>
      <c r="L36" s="61">
        <f t="shared" si="12"/>
        <v>-9930</v>
      </c>
      <c r="M36" s="39">
        <f t="shared" si="12"/>
        <v>5583.14</v>
      </c>
      <c r="N36" s="61">
        <f t="shared" ref="N36:S36" si="13">SUM(N32:N35)</f>
        <v>0</v>
      </c>
      <c r="O36" s="39">
        <f t="shared" si="13"/>
        <v>0</v>
      </c>
      <c r="P36" s="61">
        <f t="shared" si="13"/>
        <v>0</v>
      </c>
      <c r="Q36" s="39">
        <f t="shared" si="13"/>
        <v>0</v>
      </c>
      <c r="R36" s="61">
        <f t="shared" si="13"/>
        <v>0</v>
      </c>
      <c r="S36" s="39">
        <f t="shared" si="13"/>
        <v>0</v>
      </c>
      <c r="T36" s="61">
        <f t="shared" si="12"/>
        <v>0</v>
      </c>
      <c r="U36" s="39">
        <f t="shared" si="12"/>
        <v>0</v>
      </c>
      <c r="V36" s="61">
        <f t="shared" si="12"/>
        <v>0</v>
      </c>
      <c r="W36" s="39">
        <f t="shared" si="12"/>
        <v>0</v>
      </c>
      <c r="X36" s="61">
        <f t="shared" si="12"/>
        <v>0</v>
      </c>
      <c r="Y36" s="39">
        <f t="shared" si="12"/>
        <v>0</v>
      </c>
      <c r="Z36" s="61">
        <f t="shared" si="12"/>
        <v>0</v>
      </c>
      <c r="AA36" s="39">
        <f t="shared" si="12"/>
        <v>0</v>
      </c>
      <c r="AB36" s="61">
        <f t="shared" si="12"/>
        <v>0</v>
      </c>
      <c r="AC36" s="39">
        <f t="shared" si="12"/>
        <v>0</v>
      </c>
      <c r="AD36" s="61">
        <f t="shared" si="12"/>
        <v>0</v>
      </c>
      <c r="AE36" s="39">
        <f t="shared" si="12"/>
        <v>0</v>
      </c>
      <c r="AF36" s="61">
        <f t="shared" si="12"/>
        <v>0</v>
      </c>
      <c r="AG36" s="39">
        <f t="shared" si="12"/>
        <v>0</v>
      </c>
      <c r="AH36" s="61">
        <f t="shared" si="12"/>
        <v>0</v>
      </c>
      <c r="AI36" s="39">
        <f t="shared" si="12"/>
        <v>0</v>
      </c>
      <c r="AJ36" s="61">
        <f t="shared" si="12"/>
        <v>0</v>
      </c>
      <c r="AK36" s="39">
        <f t="shared" si="12"/>
        <v>0</v>
      </c>
      <c r="AL36" s="61">
        <f t="shared" si="12"/>
        <v>0</v>
      </c>
      <c r="AM36" s="39">
        <f t="shared" si="12"/>
        <v>0</v>
      </c>
      <c r="AN36" s="61">
        <f t="shared" si="12"/>
        <v>0</v>
      </c>
      <c r="AO36" s="39">
        <f t="shared" si="12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4">SUM(F39,H39,J39,L39,N39,P39,R39,T39,V39,X39,Z39,AB39,AD39)</f>
        <v>0</v>
      </c>
      <c r="E39" s="38">
        <f t="shared" si="14"/>
        <v>0</v>
      </c>
      <c r="F39" s="64">
        <f>'TIE-OUT'!R39+RECLASS!P39</f>
        <v>0</v>
      </c>
      <c r="G39" s="68">
        <f>'TIE-OUT'!S39+RECLASS!Q39</f>
        <v>0</v>
      </c>
      <c r="H39" s="120">
        <f>+Actuals!E220</f>
        <v>0</v>
      </c>
      <c r="I39" s="121">
        <f>+Actuals!F220</f>
        <v>0</v>
      </c>
      <c r="J39" s="120">
        <f>+Actuals!G220</f>
        <v>0</v>
      </c>
      <c r="K39" s="121">
        <f>+Actuals!H220</f>
        <v>0</v>
      </c>
      <c r="L39" s="120">
        <f>+Actuals!I220</f>
        <v>0</v>
      </c>
      <c r="M39" s="121">
        <f>+Actuals!J220</f>
        <v>0</v>
      </c>
      <c r="N39" s="120">
        <f>+Actuals!K220</f>
        <v>0</v>
      </c>
      <c r="O39" s="121">
        <f>+Actuals!L220</f>
        <v>0</v>
      </c>
      <c r="P39" s="120">
        <f>+Actuals!M220</f>
        <v>0</v>
      </c>
      <c r="Q39" s="121">
        <f>+Actuals!N220</f>
        <v>0</v>
      </c>
      <c r="R39" s="120">
        <f>+Actuals!O220</f>
        <v>0</v>
      </c>
      <c r="S39" s="121">
        <f>+Actuals!P220</f>
        <v>0</v>
      </c>
      <c r="T39" s="120">
        <f>+Actuals!Q220</f>
        <v>0</v>
      </c>
      <c r="U39" s="121">
        <f>+Actuals!R220</f>
        <v>0</v>
      </c>
      <c r="V39" s="120">
        <f>+Actuals!S220</f>
        <v>0</v>
      </c>
      <c r="W39" s="121">
        <f>+Actuals!T220</f>
        <v>0</v>
      </c>
      <c r="X39" s="120">
        <f>+Actuals!U220</f>
        <v>0</v>
      </c>
      <c r="Y39" s="121">
        <f>+Actuals!V220</f>
        <v>0</v>
      </c>
      <c r="Z39" s="120">
        <f>+Actuals!W220</f>
        <v>0</v>
      </c>
      <c r="AA39" s="121">
        <f>+Actuals!X220</f>
        <v>0</v>
      </c>
      <c r="AB39" s="120">
        <f>+Actuals!Y220</f>
        <v>0</v>
      </c>
      <c r="AC39" s="121">
        <f>+Actuals!Z220</f>
        <v>0</v>
      </c>
      <c r="AD39" s="120">
        <f>+Actuals!AA220</f>
        <v>0</v>
      </c>
      <c r="AE39" s="121">
        <f>+Actuals!AB220</f>
        <v>0</v>
      </c>
      <c r="AF39" s="120">
        <f>+Actuals!AC220</f>
        <v>0</v>
      </c>
      <c r="AG39" s="121">
        <f>+Actuals!AD220</f>
        <v>0</v>
      </c>
      <c r="AH39" s="120">
        <f>+Actuals!AE220</f>
        <v>0</v>
      </c>
      <c r="AI39" s="121">
        <f>+Actuals!AF220</f>
        <v>0</v>
      </c>
      <c r="AJ39" s="120">
        <f>+Actuals!AG220</f>
        <v>0</v>
      </c>
      <c r="AK39" s="121">
        <f>+Actuals!AH220</f>
        <v>0</v>
      </c>
      <c r="AL39" s="120">
        <f>+Actuals!AI220</f>
        <v>0</v>
      </c>
      <c r="AM39" s="121">
        <f>+Actuals!AJ220</f>
        <v>0</v>
      </c>
      <c r="AN39" s="120">
        <f>+Actuals!AK220</f>
        <v>0</v>
      </c>
      <c r="AO39" s="121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4"/>
        <v>0</v>
      </c>
      <c r="E40" s="38">
        <f t="shared" si="14"/>
        <v>0</v>
      </c>
      <c r="F40" s="60">
        <f>'TIE-OUT'!R40+RECLASS!P40</f>
        <v>0</v>
      </c>
      <c r="G40" s="38">
        <f>'TIE-OUT'!S40+RECLASS!Q40</f>
        <v>0</v>
      </c>
      <c r="H40" s="120">
        <f>+Actuals!E221</f>
        <v>0</v>
      </c>
      <c r="I40" s="121">
        <f>+Actuals!F221</f>
        <v>0</v>
      </c>
      <c r="J40" s="120">
        <f>+Actuals!G221</f>
        <v>0</v>
      </c>
      <c r="K40" s="121">
        <f>+Actuals!H221</f>
        <v>0</v>
      </c>
      <c r="L40" s="120">
        <f>+Actuals!I221</f>
        <v>0</v>
      </c>
      <c r="M40" s="121">
        <f>+Actuals!J221</f>
        <v>0</v>
      </c>
      <c r="N40" s="120">
        <f>+Actuals!K221</f>
        <v>0</v>
      </c>
      <c r="O40" s="121">
        <f>+Actuals!L221</f>
        <v>0</v>
      </c>
      <c r="P40" s="120">
        <f>+Actuals!M221</f>
        <v>0</v>
      </c>
      <c r="Q40" s="121">
        <f>+Actuals!N221</f>
        <v>0</v>
      </c>
      <c r="R40" s="120">
        <f>+Actuals!O221</f>
        <v>0</v>
      </c>
      <c r="S40" s="121">
        <f>+Actuals!P221</f>
        <v>0</v>
      </c>
      <c r="T40" s="120">
        <f>+Actuals!Q221</f>
        <v>0</v>
      </c>
      <c r="U40" s="121">
        <f>+Actuals!R221</f>
        <v>0</v>
      </c>
      <c r="V40" s="120">
        <f>+Actuals!S221</f>
        <v>0</v>
      </c>
      <c r="W40" s="121">
        <f>+Actuals!T221</f>
        <v>0</v>
      </c>
      <c r="X40" s="120">
        <f>+Actuals!U221</f>
        <v>0</v>
      </c>
      <c r="Y40" s="121">
        <f>+Actuals!V221</f>
        <v>0</v>
      </c>
      <c r="Z40" s="120">
        <f>+Actuals!W221</f>
        <v>0</v>
      </c>
      <c r="AA40" s="121">
        <f>+Actuals!X221</f>
        <v>0</v>
      </c>
      <c r="AB40" s="120">
        <f>+Actuals!Y221</f>
        <v>0</v>
      </c>
      <c r="AC40" s="121">
        <f>+Actuals!Z221</f>
        <v>0</v>
      </c>
      <c r="AD40" s="120">
        <f>+Actuals!AA221</f>
        <v>0</v>
      </c>
      <c r="AE40" s="121">
        <f>+Actuals!AB221</f>
        <v>0</v>
      </c>
      <c r="AF40" s="120">
        <f>+Actuals!AC221</f>
        <v>0</v>
      </c>
      <c r="AG40" s="121">
        <f>+Actuals!AD221</f>
        <v>0</v>
      </c>
      <c r="AH40" s="120">
        <f>+Actuals!AE221</f>
        <v>0</v>
      </c>
      <c r="AI40" s="121">
        <f>+Actuals!AF221</f>
        <v>0</v>
      </c>
      <c r="AJ40" s="120">
        <f>+Actuals!AG221</f>
        <v>0</v>
      </c>
      <c r="AK40" s="121">
        <f>+Actuals!AH221</f>
        <v>0</v>
      </c>
      <c r="AL40" s="120">
        <f>+Actuals!AI221</f>
        <v>0</v>
      </c>
      <c r="AM40" s="121">
        <f>+Actuals!AJ221</f>
        <v>0</v>
      </c>
      <c r="AN40" s="120">
        <f>+Actuals!AK221</f>
        <v>0</v>
      </c>
      <c r="AO40" s="121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4"/>
        <v>0</v>
      </c>
      <c r="E41" s="38">
        <f t="shared" si="14"/>
        <v>0</v>
      </c>
      <c r="F41" s="81">
        <f>'TIE-OUT'!R41+RECLASS!P41</f>
        <v>0</v>
      </c>
      <c r="G41" s="82">
        <f>'TIE-OUT'!S41+RECLASS!Q41</f>
        <v>0</v>
      </c>
      <c r="H41" s="120">
        <f>+Actuals!E222</f>
        <v>0</v>
      </c>
      <c r="I41" s="121">
        <f>+Actuals!F222</f>
        <v>0</v>
      </c>
      <c r="J41" s="120">
        <f>+Actuals!G222</f>
        <v>0</v>
      </c>
      <c r="K41" s="121">
        <f>+Actuals!H222</f>
        <v>0</v>
      </c>
      <c r="L41" s="120">
        <f>+Actuals!I222</f>
        <v>0</v>
      </c>
      <c r="M41" s="121">
        <f>+Actuals!J222</f>
        <v>0</v>
      </c>
      <c r="N41" s="120">
        <f>+Actuals!K222</f>
        <v>0</v>
      </c>
      <c r="O41" s="121">
        <f>+Actuals!L222</f>
        <v>0</v>
      </c>
      <c r="P41" s="120">
        <f>+Actuals!M222</f>
        <v>0</v>
      </c>
      <c r="Q41" s="121">
        <f>+Actuals!N222</f>
        <v>0</v>
      </c>
      <c r="R41" s="120">
        <f>+Actuals!O222</f>
        <v>0</v>
      </c>
      <c r="S41" s="121">
        <f>+Actuals!P222</f>
        <v>0</v>
      </c>
      <c r="T41" s="120">
        <f>+Actuals!Q222</f>
        <v>0</v>
      </c>
      <c r="U41" s="121">
        <f>+Actuals!R222</f>
        <v>0</v>
      </c>
      <c r="V41" s="120">
        <f>+Actuals!S222</f>
        <v>0</v>
      </c>
      <c r="W41" s="121">
        <f>+Actuals!T222</f>
        <v>0</v>
      </c>
      <c r="X41" s="120">
        <f>+Actuals!U222</f>
        <v>0</v>
      </c>
      <c r="Y41" s="121">
        <f>+Actuals!V222</f>
        <v>0</v>
      </c>
      <c r="Z41" s="120">
        <f>+Actuals!W222</f>
        <v>0</v>
      </c>
      <c r="AA41" s="121">
        <f>+Actuals!X222</f>
        <v>0</v>
      </c>
      <c r="AB41" s="120">
        <f>+Actuals!Y222</f>
        <v>0</v>
      </c>
      <c r="AC41" s="121">
        <f>+Actuals!Z222</f>
        <v>0</v>
      </c>
      <c r="AD41" s="120">
        <f>+Actuals!AA222</f>
        <v>0</v>
      </c>
      <c r="AE41" s="121">
        <f>+Actuals!AB222</f>
        <v>0</v>
      </c>
      <c r="AF41" s="120">
        <f>+Actuals!AC222</f>
        <v>0</v>
      </c>
      <c r="AG41" s="121">
        <f>+Actuals!AD222</f>
        <v>0</v>
      </c>
      <c r="AH41" s="120">
        <f>+Actuals!AE222</f>
        <v>0</v>
      </c>
      <c r="AI41" s="121">
        <f>+Actuals!AF222</f>
        <v>0</v>
      </c>
      <c r="AJ41" s="120">
        <f>+Actuals!AG222</f>
        <v>0</v>
      </c>
      <c r="AK41" s="121">
        <f>+Actuals!AH222</f>
        <v>0</v>
      </c>
      <c r="AL41" s="120">
        <f>+Actuals!AI222</f>
        <v>0</v>
      </c>
      <c r="AM41" s="121">
        <f>+Actuals!AJ222</f>
        <v>0</v>
      </c>
      <c r="AN41" s="120">
        <f>+Actuals!AK222</f>
        <v>0</v>
      </c>
      <c r="AO41" s="121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5">SUM(D40:D41)</f>
        <v>0</v>
      </c>
      <c r="E42" s="39">
        <f t="shared" si="15"/>
        <v>0</v>
      </c>
      <c r="F42" s="61">
        <f t="shared" si="15"/>
        <v>0</v>
      </c>
      <c r="G42" s="39">
        <f t="shared" si="15"/>
        <v>0</v>
      </c>
      <c r="H42" s="61">
        <f t="shared" si="15"/>
        <v>0</v>
      </c>
      <c r="I42" s="39">
        <f t="shared" si="15"/>
        <v>0</v>
      </c>
      <c r="J42" s="61">
        <f t="shared" ref="J42:AO42" si="16">SUM(J40:J41)</f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S42" si="17">SUM(N40:N41)</f>
        <v>0</v>
      </c>
      <c r="O42" s="39">
        <f t="shared" si="17"/>
        <v>0</v>
      </c>
      <c r="P42" s="61">
        <f t="shared" si="17"/>
        <v>0</v>
      </c>
      <c r="Q42" s="39">
        <f t="shared" si="17"/>
        <v>0</v>
      </c>
      <c r="R42" s="61">
        <f t="shared" si="17"/>
        <v>0</v>
      </c>
      <c r="S42" s="39">
        <f t="shared" si="17"/>
        <v>0</v>
      </c>
      <c r="T42" s="61">
        <f t="shared" si="16"/>
        <v>0</v>
      </c>
      <c r="U42" s="39">
        <f t="shared" si="16"/>
        <v>0</v>
      </c>
      <c r="V42" s="61">
        <f t="shared" si="16"/>
        <v>0</v>
      </c>
      <c r="W42" s="39">
        <f t="shared" si="16"/>
        <v>0</v>
      </c>
      <c r="X42" s="61">
        <f t="shared" si="16"/>
        <v>0</v>
      </c>
      <c r="Y42" s="39">
        <f t="shared" si="16"/>
        <v>0</v>
      </c>
      <c r="Z42" s="61">
        <f t="shared" si="16"/>
        <v>0</v>
      </c>
      <c r="AA42" s="39">
        <f t="shared" si="16"/>
        <v>0</v>
      </c>
      <c r="AB42" s="61">
        <f t="shared" si="16"/>
        <v>0</v>
      </c>
      <c r="AC42" s="39">
        <f t="shared" si="16"/>
        <v>0</v>
      </c>
      <c r="AD42" s="61">
        <f t="shared" si="16"/>
        <v>0</v>
      </c>
      <c r="AE42" s="39">
        <f t="shared" si="16"/>
        <v>0</v>
      </c>
      <c r="AF42" s="61">
        <f t="shared" si="16"/>
        <v>0</v>
      </c>
      <c r="AG42" s="39">
        <f t="shared" si="16"/>
        <v>0</v>
      </c>
      <c r="AH42" s="61">
        <f t="shared" si="16"/>
        <v>0</v>
      </c>
      <c r="AI42" s="39">
        <f t="shared" si="16"/>
        <v>0</v>
      </c>
      <c r="AJ42" s="61">
        <f t="shared" si="16"/>
        <v>0</v>
      </c>
      <c r="AK42" s="39">
        <f t="shared" si="16"/>
        <v>0</v>
      </c>
      <c r="AL42" s="61">
        <f t="shared" si="16"/>
        <v>0</v>
      </c>
      <c r="AM42" s="39">
        <f t="shared" si="16"/>
        <v>0</v>
      </c>
      <c r="AN42" s="61">
        <f t="shared" si="16"/>
        <v>0</v>
      </c>
      <c r="AO42" s="39">
        <f t="shared" si="16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8">D42+D39</f>
        <v>0</v>
      </c>
      <c r="E43" s="39">
        <f t="shared" si="18"/>
        <v>0</v>
      </c>
      <c r="F43" s="61">
        <f t="shared" si="18"/>
        <v>0</v>
      </c>
      <c r="G43" s="39">
        <f t="shared" si="18"/>
        <v>0</v>
      </c>
      <c r="H43" s="61">
        <f t="shared" si="18"/>
        <v>0</v>
      </c>
      <c r="I43" s="39">
        <f t="shared" si="18"/>
        <v>0</v>
      </c>
      <c r="J43" s="61">
        <f t="shared" ref="J43:AO43" si="19">J42+J39</f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S43" si="20">N42+N39</f>
        <v>0</v>
      </c>
      <c r="O43" s="39">
        <f t="shared" si="20"/>
        <v>0</v>
      </c>
      <c r="P43" s="61">
        <f t="shared" si="20"/>
        <v>0</v>
      </c>
      <c r="Q43" s="39">
        <f t="shared" si="20"/>
        <v>0</v>
      </c>
      <c r="R43" s="61">
        <f t="shared" si="20"/>
        <v>0</v>
      </c>
      <c r="S43" s="39">
        <f t="shared" si="20"/>
        <v>0</v>
      </c>
      <c r="T43" s="61">
        <f t="shared" si="19"/>
        <v>0</v>
      </c>
      <c r="U43" s="39">
        <f t="shared" si="19"/>
        <v>0</v>
      </c>
      <c r="V43" s="61">
        <f t="shared" si="19"/>
        <v>0</v>
      </c>
      <c r="W43" s="39">
        <f t="shared" si="19"/>
        <v>0</v>
      </c>
      <c r="X43" s="61">
        <f t="shared" si="19"/>
        <v>0</v>
      </c>
      <c r="Y43" s="39">
        <f t="shared" si="19"/>
        <v>0</v>
      </c>
      <c r="Z43" s="61">
        <f t="shared" si="19"/>
        <v>0</v>
      </c>
      <c r="AA43" s="39">
        <f t="shared" si="19"/>
        <v>0</v>
      </c>
      <c r="AB43" s="61">
        <f t="shared" si="19"/>
        <v>0</v>
      </c>
      <c r="AC43" s="39">
        <f t="shared" si="19"/>
        <v>0</v>
      </c>
      <c r="AD43" s="61">
        <f t="shared" si="19"/>
        <v>0</v>
      </c>
      <c r="AE43" s="39">
        <f t="shared" si="19"/>
        <v>0</v>
      </c>
      <c r="AF43" s="61">
        <f t="shared" si="19"/>
        <v>0</v>
      </c>
      <c r="AG43" s="39">
        <f t="shared" si="19"/>
        <v>0</v>
      </c>
      <c r="AH43" s="61">
        <f t="shared" si="19"/>
        <v>0</v>
      </c>
      <c r="AI43" s="39">
        <f t="shared" si="19"/>
        <v>0</v>
      </c>
      <c r="AJ43" s="61">
        <f t="shared" si="19"/>
        <v>0</v>
      </c>
      <c r="AK43" s="39">
        <f t="shared" si="19"/>
        <v>0</v>
      </c>
      <c r="AL43" s="61">
        <f t="shared" si="19"/>
        <v>0</v>
      </c>
      <c r="AM43" s="39">
        <f t="shared" si="19"/>
        <v>0</v>
      </c>
      <c r="AN43" s="61">
        <f t="shared" si="19"/>
        <v>0</v>
      </c>
      <c r="AO43" s="39">
        <f t="shared" si="1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20">
        <f>+Actuals!E223</f>
        <v>0</v>
      </c>
      <c r="I45" s="121">
        <f>+Actuals!F223</f>
        <v>0</v>
      </c>
      <c r="J45" s="120">
        <f>+Actuals!G223</f>
        <v>0</v>
      </c>
      <c r="K45" s="121">
        <f>+Actuals!H223</f>
        <v>0</v>
      </c>
      <c r="L45" s="120">
        <f>+Actuals!I223</f>
        <v>0</v>
      </c>
      <c r="M45" s="121">
        <f>+Actuals!J223</f>
        <v>0</v>
      </c>
      <c r="N45" s="120">
        <f>+Actuals!K223</f>
        <v>0</v>
      </c>
      <c r="O45" s="121">
        <f>+Actuals!L223</f>
        <v>0</v>
      </c>
      <c r="P45" s="120">
        <f>+Actuals!M223</f>
        <v>0</v>
      </c>
      <c r="Q45" s="121">
        <f>+Actuals!N223</f>
        <v>0</v>
      </c>
      <c r="R45" s="120">
        <f>+Actuals!O223</f>
        <v>0</v>
      </c>
      <c r="S45" s="121">
        <f>+Actuals!P223</f>
        <v>0</v>
      </c>
      <c r="T45" s="120">
        <f>+Actuals!Q223</f>
        <v>0</v>
      </c>
      <c r="U45" s="121">
        <f>+Actuals!R223</f>
        <v>0</v>
      </c>
      <c r="V45" s="120">
        <f>+Actuals!S223</f>
        <v>0</v>
      </c>
      <c r="W45" s="121">
        <f>+Actuals!T223</f>
        <v>0</v>
      </c>
      <c r="X45" s="120">
        <f>+Actuals!U223</f>
        <v>0</v>
      </c>
      <c r="Y45" s="121">
        <f>+Actuals!V223</f>
        <v>0</v>
      </c>
      <c r="Z45" s="120">
        <f>+Actuals!W223</f>
        <v>0</v>
      </c>
      <c r="AA45" s="121">
        <f>+Actuals!X223</f>
        <v>0</v>
      </c>
      <c r="AB45" s="120">
        <f>+Actuals!Y223</f>
        <v>0</v>
      </c>
      <c r="AC45" s="121">
        <f>+Actuals!Z223</f>
        <v>0</v>
      </c>
      <c r="AD45" s="120">
        <f>+Actuals!AA223</f>
        <v>0</v>
      </c>
      <c r="AE45" s="121">
        <f>+Actuals!AB223</f>
        <v>0</v>
      </c>
      <c r="AF45" s="120">
        <f>+Actuals!AC223</f>
        <v>0</v>
      </c>
      <c r="AG45" s="121">
        <f>+Actuals!AD223</f>
        <v>0</v>
      </c>
      <c r="AH45" s="120">
        <f>+Actuals!AE223</f>
        <v>0</v>
      </c>
      <c r="AI45" s="121">
        <f>+Actuals!AF223</f>
        <v>0</v>
      </c>
      <c r="AJ45" s="120">
        <f>+Actuals!AG223</f>
        <v>0</v>
      </c>
      <c r="AK45" s="121">
        <f>+Actuals!AH223</f>
        <v>0</v>
      </c>
      <c r="AL45" s="120">
        <f>+Actuals!AI223</f>
        <v>0</v>
      </c>
      <c r="AM45" s="121">
        <f>+Actuals!AJ223</f>
        <v>0</v>
      </c>
      <c r="AN45" s="120">
        <f>+Actuals!AK223</f>
        <v>0</v>
      </c>
      <c r="AO45" s="121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20">
        <f>+Actuals!E224</f>
        <v>0</v>
      </c>
      <c r="I47" s="121">
        <f>+Actuals!F224</f>
        <v>0</v>
      </c>
      <c r="J47" s="120">
        <f>+Actuals!G224</f>
        <v>0</v>
      </c>
      <c r="K47" s="121">
        <f>+Actuals!H224</f>
        <v>0</v>
      </c>
      <c r="L47" s="120">
        <f>+Actuals!I224</f>
        <v>0</v>
      </c>
      <c r="M47" s="121">
        <f>+Actuals!J224</f>
        <v>0</v>
      </c>
      <c r="N47" s="120">
        <f>+Actuals!K224</f>
        <v>0</v>
      </c>
      <c r="O47" s="121">
        <f>+Actuals!L224</f>
        <v>0</v>
      </c>
      <c r="P47" s="120">
        <f>+Actuals!M224</f>
        <v>0</v>
      </c>
      <c r="Q47" s="121">
        <f>+Actuals!N224</f>
        <v>0</v>
      </c>
      <c r="R47" s="120">
        <f>+Actuals!O224</f>
        <v>0</v>
      </c>
      <c r="S47" s="121">
        <f>+Actuals!P224</f>
        <v>0</v>
      </c>
      <c r="T47" s="120">
        <f>+Actuals!Q224</f>
        <v>0</v>
      </c>
      <c r="U47" s="121">
        <f>+Actuals!R224</f>
        <v>0</v>
      </c>
      <c r="V47" s="120">
        <f>+Actuals!S224</f>
        <v>0</v>
      </c>
      <c r="W47" s="121">
        <f>+Actuals!T224</f>
        <v>0</v>
      </c>
      <c r="X47" s="120">
        <f>+Actuals!U224</f>
        <v>0</v>
      </c>
      <c r="Y47" s="121">
        <f>+Actuals!V224</f>
        <v>0</v>
      </c>
      <c r="Z47" s="120">
        <f>+Actuals!W224</f>
        <v>0</v>
      </c>
      <c r="AA47" s="121">
        <f>+Actuals!X224</f>
        <v>0</v>
      </c>
      <c r="AB47" s="120">
        <f>+Actuals!Y224</f>
        <v>0</v>
      </c>
      <c r="AC47" s="121">
        <f>+Actuals!Z224</f>
        <v>0</v>
      </c>
      <c r="AD47" s="120">
        <f>+Actuals!AA224</f>
        <v>0</v>
      </c>
      <c r="AE47" s="121">
        <f>+Actuals!AB224</f>
        <v>0</v>
      </c>
      <c r="AF47" s="120">
        <f>+Actuals!AC224</f>
        <v>0</v>
      </c>
      <c r="AG47" s="121">
        <f>+Actuals!AD224</f>
        <v>0</v>
      </c>
      <c r="AH47" s="120">
        <f>+Actuals!AE224</f>
        <v>0</v>
      </c>
      <c r="AI47" s="121">
        <f>+Actuals!AF224</f>
        <v>0</v>
      </c>
      <c r="AJ47" s="120">
        <f>+Actuals!AG224</f>
        <v>0</v>
      </c>
      <c r="AK47" s="121">
        <f>+Actuals!AH224</f>
        <v>0</v>
      </c>
      <c r="AL47" s="120">
        <f>+Actuals!AI224</f>
        <v>0</v>
      </c>
      <c r="AM47" s="121">
        <f>+Actuals!AJ224</f>
        <v>0</v>
      </c>
      <c r="AN47" s="120">
        <f>+Actuals!AK224</f>
        <v>0</v>
      </c>
      <c r="AO47" s="121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749310</v>
      </c>
      <c r="E49" s="38">
        <f>SUM(G49,I49,K49,M49,O49,Q49,S49,U49,W49,Y49,AA49,AC49,AE49)</f>
        <v>1526344.4700000002</v>
      </c>
      <c r="F49" s="60">
        <f>'TIE-OUT'!R49+RECLASS!P49</f>
        <v>0</v>
      </c>
      <c r="G49" s="38">
        <f>'TIE-OUT'!S49+RECLASS!Q49</f>
        <v>0</v>
      </c>
      <c r="H49" s="120">
        <f>+Actuals!E225</f>
        <v>414321</v>
      </c>
      <c r="I49" s="121">
        <f>+Actuals!F225</f>
        <v>843971.87699999998</v>
      </c>
      <c r="J49" s="120">
        <f>+Actuals!G225</f>
        <v>230165</v>
      </c>
      <c r="K49" s="121">
        <f>+Actuals!H225</f>
        <v>468846.1050000001</v>
      </c>
      <c r="L49" s="120">
        <f>+Actuals!I225</f>
        <v>8549</v>
      </c>
      <c r="M49" s="121">
        <f>+Actuals!J225</f>
        <v>17414.312999999998</v>
      </c>
      <c r="N49" s="120">
        <f>+Actuals!K225</f>
        <v>1</v>
      </c>
      <c r="O49" s="121">
        <f>+Actuals!L225</f>
        <v>2.0369999999999999</v>
      </c>
      <c r="P49" s="120">
        <f>+Actuals!M225</f>
        <v>0</v>
      </c>
      <c r="Q49" s="121">
        <f>+Actuals!N225</f>
        <v>0</v>
      </c>
      <c r="R49" s="120">
        <f>+Actuals!O225</f>
        <v>0</v>
      </c>
      <c r="S49" s="121">
        <f>+Actuals!P225</f>
        <v>0</v>
      </c>
      <c r="T49" s="120">
        <f>+Actuals!Q225</f>
        <v>96274</v>
      </c>
      <c r="U49" s="121">
        <f>+Actuals!R225</f>
        <v>196110.13800000001</v>
      </c>
      <c r="V49" s="120">
        <f>+Actuals!S224</f>
        <v>0</v>
      </c>
      <c r="W49" s="121">
        <f>+Actuals!T224</f>
        <v>0</v>
      </c>
      <c r="X49" s="120">
        <f>+Actuals!U225</f>
        <v>0</v>
      </c>
      <c r="Y49" s="121">
        <f>+Actuals!V225</f>
        <v>0</v>
      </c>
      <c r="Z49" s="120">
        <f>+Actuals!W225</f>
        <v>0</v>
      </c>
      <c r="AA49" s="121">
        <f>+Actuals!X225</f>
        <v>0</v>
      </c>
      <c r="AB49" s="120">
        <f>+Actuals!Y225</f>
        <v>0</v>
      </c>
      <c r="AC49" s="121">
        <f>+Actuals!Z225</f>
        <v>0</v>
      </c>
      <c r="AD49" s="120">
        <f>+Actuals!AA225</f>
        <v>0</v>
      </c>
      <c r="AE49" s="121">
        <f>+Actuals!AB225</f>
        <v>0</v>
      </c>
      <c r="AF49" s="120">
        <f>+Actuals!AC225</f>
        <v>0</v>
      </c>
      <c r="AG49" s="121">
        <f>+Actuals!AD225</f>
        <v>0</v>
      </c>
      <c r="AH49" s="120">
        <f>+Actuals!AE225</f>
        <v>0</v>
      </c>
      <c r="AI49" s="121">
        <f>+Actuals!AF225</f>
        <v>0</v>
      </c>
      <c r="AJ49" s="120">
        <f>+Actuals!AG225</f>
        <v>0</v>
      </c>
      <c r="AK49" s="121">
        <f>+Actuals!AH225</f>
        <v>0</v>
      </c>
      <c r="AL49" s="120">
        <f>+Actuals!AI225</f>
        <v>0</v>
      </c>
      <c r="AM49" s="121">
        <f>+Actuals!AJ225</f>
        <v>0</v>
      </c>
      <c r="AN49" s="120">
        <f>+Actuals!AK225</f>
        <v>0</v>
      </c>
      <c r="AO49" s="121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-10465</v>
      </c>
      <c r="E51" s="38">
        <f>SUM(G51,I51,K51,M51,O51,Q51,S51,U51,W51,Y51,AA51,AC51,AE51)</f>
        <v>-21317.205000000002</v>
      </c>
      <c r="F51" s="60">
        <f>'TIE-OUT'!R51+RECLASS!P51</f>
        <v>0</v>
      </c>
      <c r="G51" s="38">
        <f>'TIE-OUT'!S51+RECLASS!Q51</f>
        <v>0</v>
      </c>
      <c r="H51" s="120">
        <f>+Actuals!E226</f>
        <v>0</v>
      </c>
      <c r="I51" s="121">
        <f>+Actuals!F226</f>
        <v>0</v>
      </c>
      <c r="J51" s="120">
        <f>+Actuals!G226</f>
        <v>-535</v>
      </c>
      <c r="K51" s="121">
        <f>+Actuals!H226</f>
        <v>-1089.7950000000001</v>
      </c>
      <c r="L51" s="120">
        <f>+Actuals!I226</f>
        <v>-9930</v>
      </c>
      <c r="M51" s="121">
        <f>+Actuals!J226</f>
        <v>-20227.41</v>
      </c>
      <c r="N51" s="120">
        <f>+Actuals!K226</f>
        <v>0</v>
      </c>
      <c r="O51" s="121">
        <f>+Actuals!L226</f>
        <v>0</v>
      </c>
      <c r="P51" s="120">
        <f>+Actuals!M226</f>
        <v>0</v>
      </c>
      <c r="Q51" s="121">
        <f>+Actuals!N226</f>
        <v>0</v>
      </c>
      <c r="R51" s="120">
        <f>+Actuals!O226</f>
        <v>0</v>
      </c>
      <c r="S51" s="121">
        <f>+Actuals!P226</f>
        <v>0</v>
      </c>
      <c r="T51" s="120">
        <f>+Actuals!Q226</f>
        <v>0</v>
      </c>
      <c r="U51" s="121">
        <f>+Actuals!R226</f>
        <v>0</v>
      </c>
      <c r="V51" s="120">
        <f>+Actuals!S226</f>
        <v>0</v>
      </c>
      <c r="W51" s="121">
        <f>+Actuals!T226</f>
        <v>0</v>
      </c>
      <c r="X51" s="120">
        <f>+Actuals!U226</f>
        <v>0</v>
      </c>
      <c r="Y51" s="121">
        <f>+Actuals!V226</f>
        <v>0</v>
      </c>
      <c r="Z51" s="120">
        <f>+Actuals!W226</f>
        <v>0</v>
      </c>
      <c r="AA51" s="121">
        <f>+Actuals!X226</f>
        <v>0</v>
      </c>
      <c r="AB51" s="120">
        <f>+Actuals!Y226</f>
        <v>0</v>
      </c>
      <c r="AC51" s="121">
        <f>+Actuals!Z226</f>
        <v>0</v>
      </c>
      <c r="AD51" s="120">
        <f>+Actuals!AA226</f>
        <v>0</v>
      </c>
      <c r="AE51" s="121">
        <f>+Actuals!AB226</f>
        <v>0</v>
      </c>
      <c r="AF51" s="120">
        <f>+Actuals!AC226</f>
        <v>0</v>
      </c>
      <c r="AG51" s="121">
        <f>+Actuals!AD226</f>
        <v>0</v>
      </c>
      <c r="AH51" s="120">
        <f>+Actuals!AE226</f>
        <v>0</v>
      </c>
      <c r="AI51" s="121">
        <f>+Actuals!AF226</f>
        <v>0</v>
      </c>
      <c r="AJ51" s="120">
        <f>+Actuals!AG226</f>
        <v>0</v>
      </c>
      <c r="AK51" s="121">
        <f>+Actuals!AH226</f>
        <v>0</v>
      </c>
      <c r="AL51" s="120">
        <f>+Actuals!AI226</f>
        <v>0</v>
      </c>
      <c r="AM51" s="121">
        <f>+Actuals!AJ226</f>
        <v>0</v>
      </c>
      <c r="AN51" s="120">
        <f>+Actuals!AK226</f>
        <v>0</v>
      </c>
      <c r="AO51" s="121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-5197519</v>
      </c>
      <c r="E54" s="38">
        <f>SUM(G54,I54,K54,M54,O54,Q54,S54,U54,W54,Y54,AA54,AC54,AE54)</f>
        <v>378102.19</v>
      </c>
      <c r="F54" s="64">
        <f>'TIE-OUT'!R54+RECLASS!P54</f>
        <v>0</v>
      </c>
      <c r="G54" s="68">
        <f>'TIE-OUT'!S54+RECLASS!Q54</f>
        <v>0</v>
      </c>
      <c r="H54" s="120">
        <f>+Actuals!E227</f>
        <v>-4688311</v>
      </c>
      <c r="I54" s="121">
        <f>+Actuals!F227</f>
        <v>-10243.65</v>
      </c>
      <c r="J54" s="120">
        <f>+Actuals!G227</f>
        <v>-860633</v>
      </c>
      <c r="K54" s="121">
        <f>+Actuals!H227</f>
        <v>405070.17</v>
      </c>
      <c r="L54" s="120">
        <f>+Actuals!I227</f>
        <v>8911</v>
      </c>
      <c r="M54" s="121">
        <f>+Actuals!J227</f>
        <v>-435685.68</v>
      </c>
      <c r="N54" s="120">
        <f>+Actuals!K227</f>
        <v>1</v>
      </c>
      <c r="O54" s="121">
        <f>+Actuals!L227</f>
        <v>3528.98</v>
      </c>
      <c r="P54" s="120">
        <f>+Actuals!M227</f>
        <v>0</v>
      </c>
      <c r="Q54" s="121">
        <f>+Actuals!N227</f>
        <v>-175.58</v>
      </c>
      <c r="R54" s="120">
        <f>+Actuals!O227</f>
        <v>0</v>
      </c>
      <c r="S54" s="121">
        <f>+Actuals!P227</f>
        <v>-63.38</v>
      </c>
      <c r="T54" s="120">
        <f>+Actuals!Q227</f>
        <v>1</v>
      </c>
      <c r="U54" s="121">
        <f>+Actuals!R227</f>
        <v>-1636.38</v>
      </c>
      <c r="V54" s="120">
        <v>429161</v>
      </c>
      <c r="W54" s="121">
        <v>417307.71</v>
      </c>
      <c r="X54" s="120">
        <v>-86654</v>
      </c>
      <c r="Y54" s="121">
        <f>+Actuals!V227</f>
        <v>0</v>
      </c>
      <c r="Z54" s="120">
        <v>5</v>
      </c>
      <c r="AA54" s="121">
        <f>+Actuals!X227</f>
        <v>0</v>
      </c>
      <c r="AB54" s="120">
        <f>+Actuals!Y227</f>
        <v>0</v>
      </c>
      <c r="AC54" s="121">
        <f>+Actuals!Z227</f>
        <v>0</v>
      </c>
      <c r="AD54" s="120">
        <f>+Actuals!AA227</f>
        <v>0</v>
      </c>
      <c r="AE54" s="121">
        <f>+Actuals!AB227</f>
        <v>0</v>
      </c>
      <c r="AF54" s="120">
        <f>+Actuals!AC227</f>
        <v>0</v>
      </c>
      <c r="AG54" s="121">
        <f>+Actuals!AD227</f>
        <v>0</v>
      </c>
      <c r="AH54" s="120">
        <f>+Actuals!AE227</f>
        <v>0</v>
      </c>
      <c r="AI54" s="121">
        <f>+Actuals!AF227</f>
        <v>0</v>
      </c>
      <c r="AJ54" s="120">
        <f>+Actuals!AG227</f>
        <v>0</v>
      </c>
      <c r="AK54" s="121">
        <f>+Actuals!AH227</f>
        <v>0</v>
      </c>
      <c r="AL54" s="120">
        <f>+Actuals!AI227</f>
        <v>0</v>
      </c>
      <c r="AM54" s="121">
        <f>+Actuals!AJ227</f>
        <v>0</v>
      </c>
      <c r="AN54" s="120">
        <f>+Actuals!AK227</f>
        <v>0</v>
      </c>
      <c r="AO54" s="121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-295247.57000000007</v>
      </c>
      <c r="F55" s="81">
        <f>'TIE-OUT'!R55+RECLASS!P55</f>
        <v>0</v>
      </c>
      <c r="G55" s="82">
        <f>'TIE-OUT'!S55+RECLASS!Q55</f>
        <v>0</v>
      </c>
      <c r="H55" s="120">
        <f>+Actuals!E228</f>
        <v>0</v>
      </c>
      <c r="I55" s="121">
        <f>+Actuals!F228</f>
        <v>-698171.26</v>
      </c>
      <c r="J55" s="120">
        <f>+Actuals!G228</f>
        <v>0</v>
      </c>
      <c r="K55" s="121">
        <f>+Actuals!H228</f>
        <v>-16484.64</v>
      </c>
      <c r="L55" s="120">
        <f>+Actuals!I228</f>
        <v>0</v>
      </c>
      <c r="M55" s="121">
        <f>+Actuals!J228</f>
        <v>93020.23</v>
      </c>
      <c r="N55" s="120">
        <f>+Actuals!K228</f>
        <v>0</v>
      </c>
      <c r="O55" s="141">
        <f>+Actuals!L228+416492</f>
        <v>416492</v>
      </c>
      <c r="P55" s="120">
        <f>+Actuals!M228</f>
        <v>0</v>
      </c>
      <c r="Q55" s="121">
        <f>+Actuals!N228</f>
        <v>-90103.9</v>
      </c>
      <c r="R55" s="120">
        <f>+Actuals!O228</f>
        <v>0</v>
      </c>
      <c r="S55" s="121">
        <f>+Actuals!P228</f>
        <v>0</v>
      </c>
      <c r="T55" s="120">
        <f>+Actuals!Q228</f>
        <v>0</v>
      </c>
      <c r="U55" s="121">
        <f>+Actuals!R228</f>
        <v>0</v>
      </c>
      <c r="V55" s="120">
        <f>+Actuals!S228</f>
        <v>0</v>
      </c>
      <c r="W55" s="121">
        <f>+Actuals!T228</f>
        <v>0</v>
      </c>
      <c r="X55" s="120">
        <f>+Actuals!U228</f>
        <v>0</v>
      </c>
      <c r="Y55" s="121">
        <f>+Actuals!V228</f>
        <v>0</v>
      </c>
      <c r="Z55" s="120">
        <f>+Actuals!W228</f>
        <v>0</v>
      </c>
      <c r="AA55" s="121">
        <f>+Actuals!X228</f>
        <v>0</v>
      </c>
      <c r="AB55" s="120">
        <f>+Actuals!Y228</f>
        <v>0</v>
      </c>
      <c r="AC55" s="121">
        <f>+Actuals!Z228</f>
        <v>0</v>
      </c>
      <c r="AD55" s="120">
        <f>+Actuals!AA228</f>
        <v>0</v>
      </c>
      <c r="AE55" s="121">
        <f>+Actuals!AB228</f>
        <v>0</v>
      </c>
      <c r="AF55" s="120">
        <f>+Actuals!AC228</f>
        <v>0</v>
      </c>
      <c r="AG55" s="121">
        <f>+Actuals!AD228</f>
        <v>0</v>
      </c>
      <c r="AH55" s="120">
        <f>+Actuals!AE228</f>
        <v>0</v>
      </c>
      <c r="AI55" s="121">
        <f>+Actuals!AF228</f>
        <v>0</v>
      </c>
      <c r="AJ55" s="120">
        <f>+Actuals!AG228</f>
        <v>0</v>
      </c>
      <c r="AK55" s="121">
        <f>+Actuals!AH228</f>
        <v>0</v>
      </c>
      <c r="AL55" s="120">
        <f>+Actuals!AI228</f>
        <v>0</v>
      </c>
      <c r="AM55" s="121">
        <f>+Actuals!AJ228</f>
        <v>0</v>
      </c>
      <c r="AN55" s="120">
        <f>+Actuals!AK228</f>
        <v>0</v>
      </c>
      <c r="AO55" s="121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21">SUM(D54:D55)</f>
        <v>-5197519</v>
      </c>
      <c r="E56" s="39">
        <f t="shared" si="21"/>
        <v>82854.619999999937</v>
      </c>
      <c r="F56" s="61">
        <f t="shared" si="21"/>
        <v>0</v>
      </c>
      <c r="G56" s="39">
        <f t="shared" si="21"/>
        <v>0</v>
      </c>
      <c r="H56" s="61">
        <f t="shared" si="21"/>
        <v>-4688311</v>
      </c>
      <c r="I56" s="39">
        <f t="shared" si="21"/>
        <v>-708414.91</v>
      </c>
      <c r="J56" s="61">
        <f t="shared" si="21"/>
        <v>-860633</v>
      </c>
      <c r="K56" s="39">
        <f t="shared" si="21"/>
        <v>388585.52999999997</v>
      </c>
      <c r="L56" s="61">
        <f t="shared" si="21"/>
        <v>8911</v>
      </c>
      <c r="M56" s="39">
        <f t="shared" si="21"/>
        <v>-342665.45</v>
      </c>
      <c r="N56" s="61">
        <f t="shared" ref="N56:S56" si="22">SUM(N54:N55)</f>
        <v>1</v>
      </c>
      <c r="O56" s="39">
        <f t="shared" si="22"/>
        <v>420020.98</v>
      </c>
      <c r="P56" s="61">
        <f t="shared" si="22"/>
        <v>0</v>
      </c>
      <c r="Q56" s="39">
        <f t="shared" si="22"/>
        <v>-90279.48</v>
      </c>
      <c r="R56" s="61">
        <f t="shared" si="22"/>
        <v>0</v>
      </c>
      <c r="S56" s="39">
        <f t="shared" si="22"/>
        <v>-63.38</v>
      </c>
      <c r="T56" s="61">
        <f t="shared" si="21"/>
        <v>1</v>
      </c>
      <c r="U56" s="39">
        <f t="shared" si="21"/>
        <v>-1636.38</v>
      </c>
      <c r="V56" s="61">
        <f t="shared" si="21"/>
        <v>429161</v>
      </c>
      <c r="W56" s="39">
        <f t="shared" si="21"/>
        <v>417307.71</v>
      </c>
      <c r="X56" s="61">
        <f t="shared" si="21"/>
        <v>-86654</v>
      </c>
      <c r="Y56" s="39">
        <f t="shared" si="21"/>
        <v>0</v>
      </c>
      <c r="Z56" s="61">
        <f t="shared" si="21"/>
        <v>5</v>
      </c>
      <c r="AA56" s="39">
        <f t="shared" si="21"/>
        <v>0</v>
      </c>
      <c r="AB56" s="61">
        <f t="shared" si="21"/>
        <v>0</v>
      </c>
      <c r="AC56" s="39">
        <f t="shared" si="21"/>
        <v>0</v>
      </c>
      <c r="AD56" s="61">
        <f t="shared" si="21"/>
        <v>0</v>
      </c>
      <c r="AE56" s="39">
        <f t="shared" si="21"/>
        <v>0</v>
      </c>
      <c r="AF56" s="61">
        <f t="shared" si="21"/>
        <v>0</v>
      </c>
      <c r="AG56" s="39">
        <f t="shared" si="21"/>
        <v>0</v>
      </c>
      <c r="AH56" s="61">
        <f t="shared" si="21"/>
        <v>0</v>
      </c>
      <c r="AI56" s="39">
        <f t="shared" si="21"/>
        <v>0</v>
      </c>
      <c r="AJ56" s="61">
        <f t="shared" si="21"/>
        <v>0</v>
      </c>
      <c r="AK56" s="39">
        <f t="shared" si="21"/>
        <v>0</v>
      </c>
      <c r="AL56" s="61">
        <f t="shared" si="21"/>
        <v>0</v>
      </c>
      <c r="AM56" s="39">
        <f t="shared" si="21"/>
        <v>0</v>
      </c>
      <c r="AN56" s="61">
        <f t="shared" si="21"/>
        <v>0</v>
      </c>
      <c r="AO56" s="39">
        <f t="shared" si="21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20">
        <f>+Actuals!E229</f>
        <v>0</v>
      </c>
      <c r="I59" s="121">
        <f>+Actuals!F229</f>
        <v>0</v>
      </c>
      <c r="J59" s="120">
        <f>+Actuals!G229</f>
        <v>0</v>
      </c>
      <c r="K59" s="121">
        <f>+Actuals!H229</f>
        <v>0</v>
      </c>
      <c r="L59" s="120">
        <f>+Actuals!I229</f>
        <v>0</v>
      </c>
      <c r="M59" s="121">
        <f>+Actuals!J229</f>
        <v>0</v>
      </c>
      <c r="N59" s="120">
        <f>+Actuals!K229</f>
        <v>0</v>
      </c>
      <c r="O59" s="121">
        <f>+Actuals!L229</f>
        <v>0</v>
      </c>
      <c r="P59" s="120">
        <f>+Actuals!M229</f>
        <v>0</v>
      </c>
      <c r="Q59" s="121">
        <f>+Actuals!N229</f>
        <v>0</v>
      </c>
      <c r="R59" s="120">
        <f>+Actuals!O229</f>
        <v>0</v>
      </c>
      <c r="S59" s="121">
        <f>+Actuals!P229</f>
        <v>0</v>
      </c>
      <c r="T59" s="120">
        <f>+Actuals!Q229</f>
        <v>0</v>
      </c>
      <c r="U59" s="121">
        <f>+Actuals!R229</f>
        <v>0</v>
      </c>
      <c r="V59" s="120">
        <f>+Actuals!S229</f>
        <v>0</v>
      </c>
      <c r="W59" s="121">
        <f>+Actuals!T229</f>
        <v>0</v>
      </c>
      <c r="X59" s="120">
        <f>+Actuals!U229</f>
        <v>0</v>
      </c>
      <c r="Y59" s="121">
        <f>+Actuals!V229</f>
        <v>0</v>
      </c>
      <c r="Z59" s="120">
        <f>+Actuals!W229</f>
        <v>0</v>
      </c>
      <c r="AA59" s="121">
        <f>+Actuals!X229</f>
        <v>0</v>
      </c>
      <c r="AB59" s="120">
        <f>+Actuals!Y229</f>
        <v>0</v>
      </c>
      <c r="AC59" s="121">
        <f>+Actuals!Z229</f>
        <v>0</v>
      </c>
      <c r="AD59" s="120">
        <f>+Actuals!AA229</f>
        <v>0</v>
      </c>
      <c r="AE59" s="121">
        <f>+Actuals!AB229</f>
        <v>0</v>
      </c>
      <c r="AF59" s="120">
        <f>+Actuals!AC229</f>
        <v>0</v>
      </c>
      <c r="AG59" s="121">
        <f>+Actuals!AD229</f>
        <v>0</v>
      </c>
      <c r="AH59" s="120">
        <f>+Actuals!AE229</f>
        <v>0</v>
      </c>
      <c r="AI59" s="121">
        <f>+Actuals!AF229</f>
        <v>0</v>
      </c>
      <c r="AJ59" s="120">
        <f>+Actuals!AG229</f>
        <v>0</v>
      </c>
      <c r="AK59" s="121">
        <f>+Actuals!AH229</f>
        <v>0</v>
      </c>
      <c r="AL59" s="120">
        <f>+Actuals!AI229</f>
        <v>0</v>
      </c>
      <c r="AM59" s="121">
        <f>+Actuals!AJ229</f>
        <v>0</v>
      </c>
      <c r="AN59" s="120">
        <f>+Actuals!AK229</f>
        <v>0</v>
      </c>
      <c r="AO59" s="121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20">
        <f>+Actuals!E230</f>
        <v>0</v>
      </c>
      <c r="I60" s="121">
        <f>+Actuals!F230</f>
        <v>0</v>
      </c>
      <c r="J60" s="120">
        <f>+Actuals!G230</f>
        <v>0</v>
      </c>
      <c r="K60" s="121">
        <f>+Actuals!H230</f>
        <v>0</v>
      </c>
      <c r="L60" s="120">
        <f>+Actuals!I230</f>
        <v>0</v>
      </c>
      <c r="M60" s="121">
        <f>+Actuals!J230</f>
        <v>0</v>
      </c>
      <c r="N60" s="120">
        <f>+Actuals!K230</f>
        <v>0</v>
      </c>
      <c r="O60" s="121">
        <f>+Actuals!L230</f>
        <v>0</v>
      </c>
      <c r="P60" s="120">
        <f>+Actuals!M230</f>
        <v>0</v>
      </c>
      <c r="Q60" s="121">
        <f>+Actuals!N230</f>
        <v>0</v>
      </c>
      <c r="R60" s="120">
        <f>+Actuals!O230</f>
        <v>0</v>
      </c>
      <c r="S60" s="121">
        <f>+Actuals!P230</f>
        <v>0</v>
      </c>
      <c r="T60" s="120">
        <f>+Actuals!Q230</f>
        <v>0</v>
      </c>
      <c r="U60" s="121">
        <f>+Actuals!R230</f>
        <v>0</v>
      </c>
      <c r="V60" s="120">
        <f>+Actuals!S230</f>
        <v>0</v>
      </c>
      <c r="W60" s="121">
        <f>+Actuals!T230</f>
        <v>0</v>
      </c>
      <c r="X60" s="120">
        <f>+Actuals!U230</f>
        <v>0</v>
      </c>
      <c r="Y60" s="121">
        <f>+Actuals!V230</f>
        <v>0</v>
      </c>
      <c r="Z60" s="120">
        <f>+Actuals!W230</f>
        <v>0</v>
      </c>
      <c r="AA60" s="121">
        <f>+Actuals!X230</f>
        <v>0</v>
      </c>
      <c r="AB60" s="120">
        <f>+Actuals!Y230</f>
        <v>0</v>
      </c>
      <c r="AC60" s="121">
        <f>+Actuals!Z230</f>
        <v>0</v>
      </c>
      <c r="AD60" s="120">
        <f>+Actuals!AA230</f>
        <v>0</v>
      </c>
      <c r="AE60" s="121">
        <f>+Actuals!AB230</f>
        <v>0</v>
      </c>
      <c r="AF60" s="120">
        <f>+Actuals!AC230</f>
        <v>0</v>
      </c>
      <c r="AG60" s="121">
        <f>+Actuals!AD230</f>
        <v>0</v>
      </c>
      <c r="AH60" s="120">
        <f>+Actuals!AE230</f>
        <v>0</v>
      </c>
      <c r="AI60" s="121">
        <f>+Actuals!AF230</f>
        <v>0</v>
      </c>
      <c r="AJ60" s="120">
        <f>+Actuals!AG230</f>
        <v>0</v>
      </c>
      <c r="AK60" s="121">
        <f>+Actuals!AH230</f>
        <v>0</v>
      </c>
      <c r="AL60" s="120">
        <f>+Actuals!AI230</f>
        <v>0</v>
      </c>
      <c r="AM60" s="121">
        <f>+Actuals!AJ230</f>
        <v>0</v>
      </c>
      <c r="AN60" s="120">
        <f>+Actuals!AK230</f>
        <v>0</v>
      </c>
      <c r="AO60" s="121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23">SUM(D59:D60)</f>
        <v>0</v>
      </c>
      <c r="E61" s="39">
        <f t="shared" si="23"/>
        <v>0</v>
      </c>
      <c r="F61" s="61">
        <f t="shared" si="23"/>
        <v>0</v>
      </c>
      <c r="G61" s="39">
        <f t="shared" si="23"/>
        <v>0</v>
      </c>
      <c r="H61" s="61">
        <f t="shared" si="23"/>
        <v>0</v>
      </c>
      <c r="I61" s="39">
        <f t="shared" si="23"/>
        <v>0</v>
      </c>
      <c r="J61" s="61">
        <f t="shared" si="23"/>
        <v>0</v>
      </c>
      <c r="K61" s="39">
        <f t="shared" si="23"/>
        <v>0</v>
      </c>
      <c r="L61" s="61">
        <f t="shared" si="23"/>
        <v>0</v>
      </c>
      <c r="M61" s="39">
        <f t="shared" si="23"/>
        <v>0</v>
      </c>
      <c r="N61" s="61">
        <f t="shared" ref="N61:S61" si="24">SUM(N59:N60)</f>
        <v>0</v>
      </c>
      <c r="O61" s="39">
        <f t="shared" si="24"/>
        <v>0</v>
      </c>
      <c r="P61" s="61">
        <f t="shared" si="24"/>
        <v>0</v>
      </c>
      <c r="Q61" s="39">
        <f t="shared" si="24"/>
        <v>0</v>
      </c>
      <c r="R61" s="61">
        <f t="shared" si="24"/>
        <v>0</v>
      </c>
      <c r="S61" s="39">
        <f t="shared" si="24"/>
        <v>0</v>
      </c>
      <c r="T61" s="61">
        <f t="shared" si="23"/>
        <v>0</v>
      </c>
      <c r="U61" s="39">
        <f t="shared" si="23"/>
        <v>0</v>
      </c>
      <c r="V61" s="61">
        <f t="shared" si="23"/>
        <v>0</v>
      </c>
      <c r="W61" s="39">
        <f t="shared" si="23"/>
        <v>0</v>
      </c>
      <c r="X61" s="61">
        <f t="shared" si="23"/>
        <v>0</v>
      </c>
      <c r="Y61" s="39">
        <f t="shared" si="23"/>
        <v>0</v>
      </c>
      <c r="Z61" s="61">
        <f t="shared" si="23"/>
        <v>0</v>
      </c>
      <c r="AA61" s="39">
        <f t="shared" si="23"/>
        <v>0</v>
      </c>
      <c r="AB61" s="61">
        <f t="shared" si="23"/>
        <v>0</v>
      </c>
      <c r="AC61" s="39">
        <f t="shared" si="23"/>
        <v>0</v>
      </c>
      <c r="AD61" s="61">
        <f t="shared" si="23"/>
        <v>0</v>
      </c>
      <c r="AE61" s="39">
        <f t="shared" si="23"/>
        <v>0</v>
      </c>
      <c r="AF61" s="61">
        <f t="shared" si="23"/>
        <v>0</v>
      </c>
      <c r="AG61" s="39">
        <f t="shared" si="23"/>
        <v>0</v>
      </c>
      <c r="AH61" s="61">
        <f t="shared" si="23"/>
        <v>0</v>
      </c>
      <c r="AI61" s="39">
        <f t="shared" si="23"/>
        <v>0</v>
      </c>
      <c r="AJ61" s="61">
        <f t="shared" si="23"/>
        <v>0</v>
      </c>
      <c r="AK61" s="39">
        <f t="shared" si="23"/>
        <v>0</v>
      </c>
      <c r="AL61" s="61">
        <f t="shared" si="23"/>
        <v>0</v>
      </c>
      <c r="AM61" s="39">
        <f t="shared" si="23"/>
        <v>0</v>
      </c>
      <c r="AN61" s="61">
        <f t="shared" si="23"/>
        <v>0</v>
      </c>
      <c r="AO61" s="39">
        <f t="shared" si="23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20">
        <f>+Actuals!E231</f>
        <v>0</v>
      </c>
      <c r="I64" s="121">
        <f>+Actuals!F231</f>
        <v>0</v>
      </c>
      <c r="J64" s="120">
        <f>+Actuals!G231</f>
        <v>0</v>
      </c>
      <c r="K64" s="121">
        <f>+Actuals!H231</f>
        <v>0</v>
      </c>
      <c r="L64" s="120">
        <f>+Actuals!I231</f>
        <v>0</v>
      </c>
      <c r="M64" s="121">
        <f>+Actuals!J231</f>
        <v>0</v>
      </c>
      <c r="N64" s="120">
        <f>+Actuals!K231</f>
        <v>0</v>
      </c>
      <c r="O64" s="121">
        <f>+Actuals!L231</f>
        <v>0</v>
      </c>
      <c r="P64" s="120">
        <f>+Actuals!M231</f>
        <v>0</v>
      </c>
      <c r="Q64" s="121">
        <f>+Actuals!N231</f>
        <v>0</v>
      </c>
      <c r="R64" s="120">
        <f>+Actuals!O231</f>
        <v>0</v>
      </c>
      <c r="S64" s="121">
        <f>+Actuals!P231</f>
        <v>0</v>
      </c>
      <c r="T64" s="120">
        <f>+Actuals!Q231</f>
        <v>0</v>
      </c>
      <c r="U64" s="121">
        <f>+Actuals!R231</f>
        <v>0</v>
      </c>
      <c r="V64" s="120">
        <f>+Actuals!S231</f>
        <v>0</v>
      </c>
      <c r="W64" s="121">
        <f>+Actuals!T231</f>
        <v>0</v>
      </c>
      <c r="X64" s="120">
        <f>+Actuals!U231</f>
        <v>0</v>
      </c>
      <c r="Y64" s="121">
        <f>+Actuals!V231</f>
        <v>0</v>
      </c>
      <c r="Z64" s="120">
        <f>+Actuals!W231</f>
        <v>0</v>
      </c>
      <c r="AA64" s="121">
        <f>+Actuals!X231</f>
        <v>0</v>
      </c>
      <c r="AB64" s="120">
        <f>+Actuals!Y231</f>
        <v>0</v>
      </c>
      <c r="AC64" s="121">
        <f>+Actuals!Z231</f>
        <v>0</v>
      </c>
      <c r="AD64" s="120">
        <f>+Actuals!AA231</f>
        <v>0</v>
      </c>
      <c r="AE64" s="121">
        <f>+Actuals!AB231</f>
        <v>0</v>
      </c>
      <c r="AF64" s="120">
        <f>+Actuals!AC231</f>
        <v>0</v>
      </c>
      <c r="AG64" s="121">
        <f>+Actuals!AD231</f>
        <v>0</v>
      </c>
      <c r="AH64" s="120">
        <f>+Actuals!AE231</f>
        <v>0</v>
      </c>
      <c r="AI64" s="121">
        <f>+Actuals!AF231</f>
        <v>0</v>
      </c>
      <c r="AJ64" s="120">
        <f>+Actuals!AG231</f>
        <v>0</v>
      </c>
      <c r="AK64" s="121">
        <f>+Actuals!AH231</f>
        <v>0</v>
      </c>
      <c r="AL64" s="120">
        <f>+Actuals!AI231</f>
        <v>0</v>
      </c>
      <c r="AM64" s="121">
        <f>+Actuals!AJ231</f>
        <v>0</v>
      </c>
      <c r="AN64" s="120">
        <f>+Actuals!AK231</f>
        <v>0</v>
      </c>
      <c r="AO64" s="121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20">
        <f>+Actuals!E232</f>
        <v>0</v>
      </c>
      <c r="I65" s="121">
        <f>+Actuals!F232</f>
        <v>0</v>
      </c>
      <c r="J65" s="120">
        <f>+Actuals!G232</f>
        <v>0</v>
      </c>
      <c r="K65" s="121">
        <f>+Actuals!H232</f>
        <v>0</v>
      </c>
      <c r="L65" s="120">
        <f>+Actuals!I232</f>
        <v>0</v>
      </c>
      <c r="M65" s="121">
        <f>+Actuals!J232</f>
        <v>0</v>
      </c>
      <c r="N65" s="120">
        <f>+Actuals!K232</f>
        <v>0</v>
      </c>
      <c r="O65" s="121">
        <f>+Actuals!L232</f>
        <v>0</v>
      </c>
      <c r="P65" s="120">
        <f>+Actuals!M232</f>
        <v>0</v>
      </c>
      <c r="Q65" s="121">
        <f>+Actuals!N232</f>
        <v>0</v>
      </c>
      <c r="R65" s="120">
        <f>+Actuals!O232</f>
        <v>0</v>
      </c>
      <c r="S65" s="121">
        <f>+Actuals!P232</f>
        <v>0</v>
      </c>
      <c r="T65" s="120">
        <f>+Actuals!Q232</f>
        <v>0</v>
      </c>
      <c r="U65" s="121">
        <f>+Actuals!R232</f>
        <v>0</v>
      </c>
      <c r="V65" s="120">
        <f>+Actuals!S232</f>
        <v>0</v>
      </c>
      <c r="W65" s="121">
        <f>+Actuals!T232</f>
        <v>0</v>
      </c>
      <c r="X65" s="120">
        <f>+Actuals!U232</f>
        <v>0</v>
      </c>
      <c r="Y65" s="121">
        <f>+Actuals!V232</f>
        <v>0</v>
      </c>
      <c r="Z65" s="120">
        <f>+Actuals!W232</f>
        <v>0</v>
      </c>
      <c r="AA65" s="121">
        <f>+Actuals!X232</f>
        <v>0</v>
      </c>
      <c r="AB65" s="120">
        <f>+Actuals!Y232</f>
        <v>0</v>
      </c>
      <c r="AC65" s="121">
        <f>+Actuals!Z232</f>
        <v>0</v>
      </c>
      <c r="AD65" s="120">
        <f>+Actuals!AA232</f>
        <v>0</v>
      </c>
      <c r="AE65" s="121">
        <f>+Actuals!AB232</f>
        <v>0</v>
      </c>
      <c r="AF65" s="120">
        <f>+Actuals!AC232</f>
        <v>0</v>
      </c>
      <c r="AG65" s="121">
        <f>+Actuals!AD232</f>
        <v>0</v>
      </c>
      <c r="AH65" s="120">
        <f>+Actuals!AE232</f>
        <v>0</v>
      </c>
      <c r="AI65" s="121">
        <f>+Actuals!AF232</f>
        <v>0</v>
      </c>
      <c r="AJ65" s="120">
        <f>+Actuals!AG232</f>
        <v>0</v>
      </c>
      <c r="AK65" s="121">
        <f>+Actuals!AH232</f>
        <v>0</v>
      </c>
      <c r="AL65" s="120">
        <f>+Actuals!AI232</f>
        <v>0</v>
      </c>
      <c r="AM65" s="121">
        <f>+Actuals!AJ232</f>
        <v>0</v>
      </c>
      <c r="AN65" s="120">
        <f>+Actuals!AK232</f>
        <v>0</v>
      </c>
      <c r="AO65" s="121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25">SUM(D64:D65)</f>
        <v>0</v>
      </c>
      <c r="E66" s="39">
        <f t="shared" si="25"/>
        <v>0</v>
      </c>
      <c r="F66" s="61">
        <f t="shared" si="25"/>
        <v>0</v>
      </c>
      <c r="G66" s="39">
        <f t="shared" si="25"/>
        <v>0</v>
      </c>
      <c r="H66" s="61">
        <f t="shared" si="25"/>
        <v>0</v>
      </c>
      <c r="I66" s="39">
        <f t="shared" si="25"/>
        <v>0</v>
      </c>
      <c r="J66" s="61">
        <f t="shared" si="25"/>
        <v>0</v>
      </c>
      <c r="K66" s="39">
        <f t="shared" si="25"/>
        <v>0</v>
      </c>
      <c r="L66" s="61">
        <f t="shared" si="25"/>
        <v>0</v>
      </c>
      <c r="M66" s="39">
        <f t="shared" si="25"/>
        <v>0</v>
      </c>
      <c r="N66" s="61">
        <f t="shared" ref="N66:S66" si="26">SUM(N64:N65)</f>
        <v>0</v>
      </c>
      <c r="O66" s="39">
        <f t="shared" si="26"/>
        <v>0</v>
      </c>
      <c r="P66" s="61">
        <f t="shared" si="26"/>
        <v>0</v>
      </c>
      <c r="Q66" s="39">
        <f t="shared" si="26"/>
        <v>0</v>
      </c>
      <c r="R66" s="61">
        <f t="shared" si="26"/>
        <v>0</v>
      </c>
      <c r="S66" s="39">
        <f t="shared" si="26"/>
        <v>0</v>
      </c>
      <c r="T66" s="61">
        <f t="shared" si="25"/>
        <v>0</v>
      </c>
      <c r="U66" s="39">
        <f t="shared" si="25"/>
        <v>0</v>
      </c>
      <c r="V66" s="61">
        <f t="shared" si="25"/>
        <v>0</v>
      </c>
      <c r="W66" s="39">
        <f t="shared" si="25"/>
        <v>0</v>
      </c>
      <c r="X66" s="61">
        <f t="shared" si="25"/>
        <v>0</v>
      </c>
      <c r="Y66" s="39">
        <f t="shared" si="25"/>
        <v>0</v>
      </c>
      <c r="Z66" s="61">
        <f t="shared" si="25"/>
        <v>0</v>
      </c>
      <c r="AA66" s="39">
        <f t="shared" si="25"/>
        <v>0</v>
      </c>
      <c r="AB66" s="61">
        <f t="shared" si="25"/>
        <v>0</v>
      </c>
      <c r="AC66" s="39">
        <f t="shared" si="25"/>
        <v>0</v>
      </c>
      <c r="AD66" s="61">
        <f t="shared" si="25"/>
        <v>0</v>
      </c>
      <c r="AE66" s="39">
        <f t="shared" si="25"/>
        <v>0</v>
      </c>
      <c r="AF66" s="61">
        <f t="shared" si="25"/>
        <v>0</v>
      </c>
      <c r="AG66" s="39">
        <f t="shared" si="25"/>
        <v>0</v>
      </c>
      <c r="AH66" s="61">
        <f t="shared" si="25"/>
        <v>0</v>
      </c>
      <c r="AI66" s="39">
        <f t="shared" si="25"/>
        <v>0</v>
      </c>
      <c r="AJ66" s="61">
        <f t="shared" si="25"/>
        <v>0</v>
      </c>
      <c r="AK66" s="39">
        <f t="shared" si="25"/>
        <v>0</v>
      </c>
      <c r="AL66" s="61">
        <f t="shared" si="25"/>
        <v>0</v>
      </c>
      <c r="AM66" s="39">
        <f t="shared" si="25"/>
        <v>0</v>
      </c>
      <c r="AN66" s="61">
        <f t="shared" si="25"/>
        <v>0</v>
      </c>
      <c r="AO66" s="39">
        <f t="shared" si="25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20">
        <f>+Actuals!E233</f>
        <v>0</v>
      </c>
      <c r="I70" s="121">
        <f>+Actuals!F233</f>
        <v>0</v>
      </c>
      <c r="J70" s="120">
        <f>+Actuals!G233</f>
        <v>0</v>
      </c>
      <c r="K70" s="121">
        <f>+Actuals!H233</f>
        <v>0</v>
      </c>
      <c r="L70" s="120">
        <f>+Actuals!I233</f>
        <v>0</v>
      </c>
      <c r="M70" s="121">
        <f>+Actuals!J233</f>
        <v>0</v>
      </c>
      <c r="N70" s="120">
        <f>+Actuals!K233</f>
        <v>0</v>
      </c>
      <c r="O70" s="121">
        <f>+Actuals!L233</f>
        <v>0</v>
      </c>
      <c r="P70" s="120">
        <f>+Actuals!M233</f>
        <v>0</v>
      </c>
      <c r="Q70" s="121">
        <f>+Actuals!N233</f>
        <v>0</v>
      </c>
      <c r="R70" s="120">
        <f>+Actuals!O233</f>
        <v>0</v>
      </c>
      <c r="S70" s="121">
        <f>+Actuals!P233</f>
        <v>0</v>
      </c>
      <c r="T70" s="120">
        <f>+Actuals!Q233</f>
        <v>0</v>
      </c>
      <c r="U70" s="121">
        <f>+Actuals!R233</f>
        <v>0</v>
      </c>
      <c r="V70" s="120">
        <f>+Actuals!S233</f>
        <v>0</v>
      </c>
      <c r="W70" s="121">
        <f>+Actuals!T233</f>
        <v>0</v>
      </c>
      <c r="X70" s="120">
        <f>+Actuals!U233</f>
        <v>0</v>
      </c>
      <c r="Y70" s="121">
        <f>+Actuals!V233</f>
        <v>0</v>
      </c>
      <c r="Z70" s="120">
        <f>+Actuals!W233</f>
        <v>0</v>
      </c>
      <c r="AA70" s="121">
        <f>+Actuals!X233</f>
        <v>0</v>
      </c>
      <c r="AB70" s="120">
        <f>+Actuals!Y233</f>
        <v>0</v>
      </c>
      <c r="AC70" s="121">
        <f>+Actuals!Z233</f>
        <v>0</v>
      </c>
      <c r="AD70" s="120">
        <f>+Actuals!AA233</f>
        <v>0</v>
      </c>
      <c r="AE70" s="121">
        <f>+Actuals!AB233</f>
        <v>0</v>
      </c>
      <c r="AF70" s="120">
        <f>+Actuals!AC233</f>
        <v>0</v>
      </c>
      <c r="AG70" s="121">
        <f>+Actuals!AD233</f>
        <v>0</v>
      </c>
      <c r="AH70" s="120">
        <f>+Actuals!AE233</f>
        <v>0</v>
      </c>
      <c r="AI70" s="121">
        <f>+Actuals!AF233</f>
        <v>0</v>
      </c>
      <c r="AJ70" s="120">
        <f>+Actuals!AG233</f>
        <v>0</v>
      </c>
      <c r="AK70" s="121">
        <f>+Actuals!AH233</f>
        <v>0</v>
      </c>
      <c r="AL70" s="120">
        <f>+Actuals!AI233</f>
        <v>0</v>
      </c>
      <c r="AM70" s="121">
        <f>+Actuals!AJ233</f>
        <v>0</v>
      </c>
      <c r="AN70" s="120">
        <f>+Actuals!AK233</f>
        <v>0</v>
      </c>
      <c r="AO70" s="121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20">
        <f>+Actuals!E234</f>
        <v>0</v>
      </c>
      <c r="I71" s="121">
        <f>+Actuals!F234</f>
        <v>0</v>
      </c>
      <c r="J71" s="120">
        <f>+Actuals!G234</f>
        <v>0</v>
      </c>
      <c r="K71" s="121">
        <f>+Actuals!H234</f>
        <v>0</v>
      </c>
      <c r="L71" s="120">
        <f>+Actuals!I234</f>
        <v>0</v>
      </c>
      <c r="M71" s="121">
        <f>+Actuals!J234</f>
        <v>0</v>
      </c>
      <c r="N71" s="120">
        <f>+Actuals!K234</f>
        <v>0</v>
      </c>
      <c r="O71" s="121">
        <f>+Actuals!L234</f>
        <v>0</v>
      </c>
      <c r="P71" s="120">
        <f>+Actuals!M234</f>
        <v>0</v>
      </c>
      <c r="Q71" s="121">
        <f>+Actuals!N234</f>
        <v>0</v>
      </c>
      <c r="R71" s="120">
        <f>+Actuals!O234</f>
        <v>0</v>
      </c>
      <c r="S71" s="121">
        <f>+Actuals!P234</f>
        <v>0</v>
      </c>
      <c r="T71" s="120">
        <f>+Actuals!Q234</f>
        <v>0</v>
      </c>
      <c r="U71" s="121">
        <f>+Actuals!R234</f>
        <v>0</v>
      </c>
      <c r="V71" s="120">
        <f>+Actuals!S234</f>
        <v>0</v>
      </c>
      <c r="W71" s="121">
        <f>+Actuals!T234</f>
        <v>0</v>
      </c>
      <c r="X71" s="120">
        <f>+Actuals!U234</f>
        <v>0</v>
      </c>
      <c r="Y71" s="121">
        <f>+Actuals!V234</f>
        <v>0</v>
      </c>
      <c r="Z71" s="120">
        <f>+Actuals!W234</f>
        <v>0</v>
      </c>
      <c r="AA71" s="121">
        <f>+Actuals!X234</f>
        <v>0</v>
      </c>
      <c r="AB71" s="120">
        <f>+Actuals!Y234</f>
        <v>0</v>
      </c>
      <c r="AC71" s="121">
        <f>+Actuals!Z234</f>
        <v>0</v>
      </c>
      <c r="AD71" s="120">
        <f>+Actuals!AA234</f>
        <v>0</v>
      </c>
      <c r="AE71" s="121">
        <f>+Actuals!AB234</f>
        <v>0</v>
      </c>
      <c r="AF71" s="120">
        <f>+Actuals!AC234</f>
        <v>0</v>
      </c>
      <c r="AG71" s="121">
        <f>+Actuals!AD234</f>
        <v>0</v>
      </c>
      <c r="AH71" s="120">
        <f>+Actuals!AE234</f>
        <v>0</v>
      </c>
      <c r="AI71" s="121">
        <f>+Actuals!AF234</f>
        <v>0</v>
      </c>
      <c r="AJ71" s="120">
        <f>+Actuals!AG234</f>
        <v>0</v>
      </c>
      <c r="AK71" s="121">
        <f>+Actuals!AH234</f>
        <v>0</v>
      </c>
      <c r="AL71" s="120">
        <f>+Actuals!AI234</f>
        <v>0</v>
      </c>
      <c r="AM71" s="121">
        <f>+Actuals!AJ234</f>
        <v>0</v>
      </c>
      <c r="AN71" s="120">
        <f>+Actuals!AK234</f>
        <v>0</v>
      </c>
      <c r="AO71" s="121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27">SUM(D70:D71)</f>
        <v>0</v>
      </c>
      <c r="E72" s="39">
        <f t="shared" si="27"/>
        <v>0</v>
      </c>
      <c r="F72" s="61">
        <f t="shared" si="27"/>
        <v>0</v>
      </c>
      <c r="G72" s="39">
        <f t="shared" si="27"/>
        <v>0</v>
      </c>
      <c r="H72" s="61">
        <f t="shared" si="27"/>
        <v>0</v>
      </c>
      <c r="I72" s="39">
        <f t="shared" si="27"/>
        <v>0</v>
      </c>
      <c r="J72" s="61">
        <f t="shared" ref="J72:AO72" si="28">SUM(J70:J71)</f>
        <v>0</v>
      </c>
      <c r="K72" s="39">
        <f t="shared" si="28"/>
        <v>0</v>
      </c>
      <c r="L72" s="61">
        <f t="shared" si="28"/>
        <v>0</v>
      </c>
      <c r="M72" s="39">
        <f t="shared" si="28"/>
        <v>0</v>
      </c>
      <c r="N72" s="61">
        <f t="shared" ref="N72:S72" si="29">SUM(N70:N71)</f>
        <v>0</v>
      </c>
      <c r="O72" s="39">
        <f t="shared" si="29"/>
        <v>0</v>
      </c>
      <c r="P72" s="61">
        <f t="shared" si="29"/>
        <v>0</v>
      </c>
      <c r="Q72" s="39">
        <f t="shared" si="29"/>
        <v>0</v>
      </c>
      <c r="R72" s="61">
        <f t="shared" si="29"/>
        <v>0</v>
      </c>
      <c r="S72" s="39">
        <f t="shared" si="29"/>
        <v>0</v>
      </c>
      <c r="T72" s="61">
        <f t="shared" si="28"/>
        <v>0</v>
      </c>
      <c r="U72" s="39">
        <f t="shared" si="28"/>
        <v>0</v>
      </c>
      <c r="V72" s="61">
        <f t="shared" si="28"/>
        <v>0</v>
      </c>
      <c r="W72" s="39">
        <f t="shared" si="28"/>
        <v>0</v>
      </c>
      <c r="X72" s="61">
        <f t="shared" si="28"/>
        <v>0</v>
      </c>
      <c r="Y72" s="39">
        <f t="shared" si="28"/>
        <v>0</v>
      </c>
      <c r="Z72" s="61">
        <f t="shared" si="28"/>
        <v>0</v>
      </c>
      <c r="AA72" s="39">
        <f t="shared" si="28"/>
        <v>0</v>
      </c>
      <c r="AB72" s="61">
        <f t="shared" si="28"/>
        <v>0</v>
      </c>
      <c r="AC72" s="39">
        <f t="shared" si="28"/>
        <v>0</v>
      </c>
      <c r="AD72" s="61">
        <f t="shared" si="28"/>
        <v>0</v>
      </c>
      <c r="AE72" s="39">
        <f t="shared" si="28"/>
        <v>0</v>
      </c>
      <c r="AF72" s="61">
        <f t="shared" si="28"/>
        <v>0</v>
      </c>
      <c r="AG72" s="39">
        <f t="shared" si="28"/>
        <v>0</v>
      </c>
      <c r="AH72" s="61">
        <f t="shared" si="28"/>
        <v>0</v>
      </c>
      <c r="AI72" s="39">
        <f t="shared" si="28"/>
        <v>0</v>
      </c>
      <c r="AJ72" s="61">
        <f t="shared" si="28"/>
        <v>0</v>
      </c>
      <c r="AK72" s="39">
        <f t="shared" si="28"/>
        <v>0</v>
      </c>
      <c r="AL72" s="61">
        <f t="shared" si="28"/>
        <v>0</v>
      </c>
      <c r="AM72" s="39">
        <f t="shared" si="28"/>
        <v>0</v>
      </c>
      <c r="AN72" s="61">
        <f t="shared" si="28"/>
        <v>0</v>
      </c>
      <c r="AO72" s="39">
        <f t="shared" si="28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0">SUM(F73,H73,J73,L73,N73,P73,R73,T73,V73,X73,Z73,AB73,AD73)</f>
        <v>0</v>
      </c>
      <c r="E73" s="38">
        <f t="shared" si="30"/>
        <v>0</v>
      </c>
      <c r="F73" s="60">
        <f>'TIE-OUT'!R73+RECLASS!P73</f>
        <v>0</v>
      </c>
      <c r="G73" s="60">
        <f>'TIE-OUT'!S73+RECLASS!Q73</f>
        <v>0</v>
      </c>
      <c r="H73" s="120">
        <f>+Actuals!E235</f>
        <v>0</v>
      </c>
      <c r="I73" s="121">
        <f>+Actuals!F235</f>
        <v>0</v>
      </c>
      <c r="J73" s="120">
        <f>+Actuals!G235</f>
        <v>0</v>
      </c>
      <c r="K73" s="121">
        <f>+Actuals!H235</f>
        <v>0</v>
      </c>
      <c r="L73" s="120">
        <f>+Actuals!I235</f>
        <v>0</v>
      </c>
      <c r="M73" s="121">
        <f>+Actuals!J235</f>
        <v>0</v>
      </c>
      <c r="N73" s="120">
        <f>+Actuals!K235</f>
        <v>0</v>
      </c>
      <c r="O73" s="121">
        <f>+Actuals!L235</f>
        <v>0</v>
      </c>
      <c r="P73" s="120">
        <f>+Actuals!M235</f>
        <v>0</v>
      </c>
      <c r="Q73" s="121">
        <f>+Actuals!N235</f>
        <v>0</v>
      </c>
      <c r="R73" s="120">
        <f>+Actuals!O235</f>
        <v>0</v>
      </c>
      <c r="S73" s="121">
        <f>+Actuals!P235</f>
        <v>0</v>
      </c>
      <c r="T73" s="120">
        <f>+Actuals!Q235</f>
        <v>0</v>
      </c>
      <c r="U73" s="121">
        <f>+Actuals!R235</f>
        <v>0</v>
      </c>
      <c r="V73" s="120">
        <f>+Actuals!S235</f>
        <v>0</v>
      </c>
      <c r="W73" s="121">
        <f>+Actuals!T235</f>
        <v>0</v>
      </c>
      <c r="X73" s="120">
        <f>+Actuals!U235</f>
        <v>0</v>
      </c>
      <c r="Y73" s="121">
        <f>+Actuals!V235</f>
        <v>0</v>
      </c>
      <c r="Z73" s="120">
        <f>+Actuals!W235</f>
        <v>0</v>
      </c>
      <c r="AA73" s="121">
        <f>+Actuals!X235</f>
        <v>0</v>
      </c>
      <c r="AB73" s="120">
        <f>+Actuals!Y235</f>
        <v>0</v>
      </c>
      <c r="AC73" s="121">
        <f>+Actuals!Z235</f>
        <v>0</v>
      </c>
      <c r="AD73" s="120">
        <f>+Actuals!AA235</f>
        <v>0</v>
      </c>
      <c r="AE73" s="121">
        <f>+Actuals!AB235</f>
        <v>0</v>
      </c>
      <c r="AF73" s="120">
        <f>+Actuals!AC235</f>
        <v>0</v>
      </c>
      <c r="AG73" s="121">
        <f>+Actuals!AD235</f>
        <v>0</v>
      </c>
      <c r="AH73" s="120">
        <f>+Actuals!AE235</f>
        <v>0</v>
      </c>
      <c r="AI73" s="121">
        <f>+Actuals!AF235</f>
        <v>0</v>
      </c>
      <c r="AJ73" s="120">
        <f>+Actuals!AG235</f>
        <v>0</v>
      </c>
      <c r="AK73" s="121">
        <f>+Actuals!AH235</f>
        <v>0</v>
      </c>
      <c r="AL73" s="120">
        <f>+Actuals!AI235</f>
        <v>0</v>
      </c>
      <c r="AM73" s="121">
        <f>+Actuals!AJ235</f>
        <v>0</v>
      </c>
      <c r="AN73" s="120">
        <f>+Actuals!AK235</f>
        <v>0</v>
      </c>
      <c r="AO73" s="121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0"/>
        <v>0</v>
      </c>
      <c r="E74" s="38">
        <f t="shared" si="30"/>
        <v>-151335</v>
      </c>
      <c r="F74" s="60">
        <f>'TIE-OUT'!R74+RECLASS!P74</f>
        <v>0</v>
      </c>
      <c r="G74" s="60">
        <f>'TIE-OUT'!S74+RECLASS!Q74</f>
        <v>-151335</v>
      </c>
      <c r="H74" s="120">
        <f>+Actuals!E236</f>
        <v>0</v>
      </c>
      <c r="I74" s="121">
        <f>+Actuals!F236</f>
        <v>0</v>
      </c>
      <c r="J74" s="120">
        <f>+Actuals!G236</f>
        <v>0</v>
      </c>
      <c r="K74" s="121">
        <f>+Actuals!H236</f>
        <v>0</v>
      </c>
      <c r="L74" s="120">
        <f>+Actuals!I236</f>
        <v>0</v>
      </c>
      <c r="M74" s="121">
        <f>+Actuals!J236</f>
        <v>0</v>
      </c>
      <c r="N74" s="120">
        <f>+Actuals!K236</f>
        <v>0</v>
      </c>
      <c r="O74" s="121">
        <f>+Actuals!L236</f>
        <v>0</v>
      </c>
      <c r="P74" s="120">
        <f>+Actuals!M236</f>
        <v>0</v>
      </c>
      <c r="Q74" s="121">
        <f>+Actuals!N236</f>
        <v>0</v>
      </c>
      <c r="R74" s="120">
        <f>+Actuals!O236</f>
        <v>0</v>
      </c>
      <c r="S74" s="121">
        <f>+Actuals!P236</f>
        <v>0</v>
      </c>
      <c r="T74" s="120">
        <f>+Actuals!Q236</f>
        <v>0</v>
      </c>
      <c r="U74" s="121">
        <f>+Actuals!R236</f>
        <v>0</v>
      </c>
      <c r="V74" s="120">
        <f>+Actuals!S236</f>
        <v>0</v>
      </c>
      <c r="W74" s="121">
        <f>+Actuals!T236</f>
        <v>0</v>
      </c>
      <c r="X74" s="120">
        <f>+Actuals!U236</f>
        <v>0</v>
      </c>
      <c r="Y74" s="121">
        <f>+Actuals!V236</f>
        <v>0</v>
      </c>
      <c r="Z74" s="120">
        <f>+Actuals!W236</f>
        <v>0</v>
      </c>
      <c r="AA74" s="121">
        <f>+Actuals!X236</f>
        <v>0</v>
      </c>
      <c r="AB74" s="120">
        <f>+Actuals!Y236</f>
        <v>0</v>
      </c>
      <c r="AC74" s="121">
        <f>+Actuals!Z236</f>
        <v>0</v>
      </c>
      <c r="AD74" s="120">
        <f>+Actuals!AA236</f>
        <v>0</v>
      </c>
      <c r="AE74" s="121">
        <f>+Actuals!AB236</f>
        <v>0</v>
      </c>
      <c r="AF74" s="120">
        <f>+Actuals!AC236</f>
        <v>0</v>
      </c>
      <c r="AG74" s="121">
        <f>+Actuals!AD236</f>
        <v>0</v>
      </c>
      <c r="AH74" s="120">
        <f>+Actuals!AE236</f>
        <v>0</v>
      </c>
      <c r="AI74" s="121">
        <f>+Actuals!AF236</f>
        <v>0</v>
      </c>
      <c r="AJ74" s="120">
        <f>+Actuals!AG236</f>
        <v>0</v>
      </c>
      <c r="AK74" s="121">
        <f>+Actuals!AH236</f>
        <v>0</v>
      </c>
      <c r="AL74" s="120">
        <f>+Actuals!AI236</f>
        <v>0</v>
      </c>
      <c r="AM74" s="121">
        <f>+Actuals!AJ236</f>
        <v>0</v>
      </c>
      <c r="AN74" s="120">
        <f>+Actuals!AK236</f>
        <v>0</v>
      </c>
      <c r="AO74" s="121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0"/>
        <v>0</v>
      </c>
      <c r="E75" s="38">
        <f t="shared" si="30"/>
        <v>0</v>
      </c>
      <c r="F75" s="60">
        <f>'TIE-OUT'!R75+RECLASS!P75</f>
        <v>0</v>
      </c>
      <c r="G75" s="60">
        <f>'TIE-OUT'!S75+RECLASS!Q75</f>
        <v>0</v>
      </c>
      <c r="H75" s="120">
        <f>+Actuals!E237</f>
        <v>0</v>
      </c>
      <c r="I75" s="121">
        <f>+Actuals!F237</f>
        <v>0</v>
      </c>
      <c r="J75" s="120">
        <f>+Actuals!G237</f>
        <v>0</v>
      </c>
      <c r="K75" s="121">
        <f>+Actuals!H237</f>
        <v>0</v>
      </c>
      <c r="L75" s="120">
        <f>+Actuals!I237</f>
        <v>0</v>
      </c>
      <c r="M75" s="121">
        <f>+Actuals!J237</f>
        <v>0</v>
      </c>
      <c r="N75" s="120">
        <f>+Actuals!K237</f>
        <v>0</v>
      </c>
      <c r="O75" s="121">
        <f>+Actuals!L237</f>
        <v>0</v>
      </c>
      <c r="P75" s="120">
        <f>+Actuals!M237</f>
        <v>0</v>
      </c>
      <c r="Q75" s="121">
        <f>+Actuals!N237</f>
        <v>0</v>
      </c>
      <c r="R75" s="120">
        <f>+Actuals!O237</f>
        <v>0</v>
      </c>
      <c r="S75" s="121">
        <f>+Actuals!P237</f>
        <v>0</v>
      </c>
      <c r="T75" s="120">
        <f>+Actuals!Q237</f>
        <v>0</v>
      </c>
      <c r="U75" s="121">
        <f>+Actuals!R237</f>
        <v>0</v>
      </c>
      <c r="V75" s="120">
        <f>+Actuals!S237</f>
        <v>0</v>
      </c>
      <c r="W75" s="121">
        <f>+Actuals!T237</f>
        <v>0</v>
      </c>
      <c r="X75" s="120">
        <f>+Actuals!U237</f>
        <v>0</v>
      </c>
      <c r="Y75" s="121">
        <f>+Actuals!V237</f>
        <v>0</v>
      </c>
      <c r="Z75" s="120">
        <f>+Actuals!W237</f>
        <v>0</v>
      </c>
      <c r="AA75" s="121">
        <f>+Actuals!X237</f>
        <v>0</v>
      </c>
      <c r="AB75" s="120">
        <f>+Actuals!Y237</f>
        <v>0</v>
      </c>
      <c r="AC75" s="121">
        <f>+Actuals!Z237</f>
        <v>0</v>
      </c>
      <c r="AD75" s="120">
        <f>+Actuals!AA237</f>
        <v>0</v>
      </c>
      <c r="AE75" s="121">
        <f>+Actuals!AB237</f>
        <v>0</v>
      </c>
      <c r="AF75" s="120">
        <f>+Actuals!AC237</f>
        <v>0</v>
      </c>
      <c r="AG75" s="121">
        <f>+Actuals!AD237</f>
        <v>0</v>
      </c>
      <c r="AH75" s="120">
        <f>+Actuals!AE237</f>
        <v>0</v>
      </c>
      <c r="AI75" s="121">
        <f>+Actuals!AF237</f>
        <v>0</v>
      </c>
      <c r="AJ75" s="120">
        <f>+Actuals!AG237</f>
        <v>0</v>
      </c>
      <c r="AK75" s="121">
        <f>+Actuals!AH237</f>
        <v>0</v>
      </c>
      <c r="AL75" s="120">
        <f>+Actuals!AI237</f>
        <v>0</v>
      </c>
      <c r="AM75" s="121">
        <f>+Actuals!AJ237</f>
        <v>0</v>
      </c>
      <c r="AN75" s="120">
        <f>+Actuals!AK237</f>
        <v>0</v>
      </c>
      <c r="AO75" s="121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0"/>
        <v>0</v>
      </c>
      <c r="E76" s="38">
        <f t="shared" si="30"/>
        <v>0</v>
      </c>
      <c r="F76" s="60">
        <f>'TIE-OUT'!R76+RECLASS!P76</f>
        <v>0</v>
      </c>
      <c r="G76" s="60">
        <f>'TIE-OUT'!S76+RECLASS!Q76</f>
        <v>0</v>
      </c>
      <c r="H76" s="120">
        <f>+Actuals!E238</f>
        <v>0</v>
      </c>
      <c r="I76" s="121">
        <f>+Actuals!F238</f>
        <v>0</v>
      </c>
      <c r="J76" s="120">
        <f>+Actuals!G238</f>
        <v>0</v>
      </c>
      <c r="K76" s="121">
        <f>+Actuals!H238</f>
        <v>0</v>
      </c>
      <c r="L76" s="120">
        <f>+Actuals!I238</f>
        <v>0</v>
      </c>
      <c r="M76" s="121">
        <f>+Actuals!J238</f>
        <v>0</v>
      </c>
      <c r="N76" s="120">
        <f>+Actuals!K238</f>
        <v>0</v>
      </c>
      <c r="O76" s="121">
        <f>+Actuals!L238</f>
        <v>0</v>
      </c>
      <c r="P76" s="120">
        <f>+Actuals!M238</f>
        <v>0</v>
      </c>
      <c r="Q76" s="121">
        <f>+Actuals!N238</f>
        <v>0</v>
      </c>
      <c r="R76" s="120">
        <f>+Actuals!O238</f>
        <v>0</v>
      </c>
      <c r="S76" s="121">
        <f>+Actuals!P238</f>
        <v>0</v>
      </c>
      <c r="T76" s="120">
        <f>+Actuals!Q238</f>
        <v>0</v>
      </c>
      <c r="U76" s="121">
        <f>+Actuals!R238</f>
        <v>0</v>
      </c>
      <c r="V76" s="120">
        <f>+Actuals!S238</f>
        <v>0</v>
      </c>
      <c r="W76" s="121">
        <f>+Actuals!T238</f>
        <v>0</v>
      </c>
      <c r="X76" s="120">
        <f>+Actuals!U238</f>
        <v>0</v>
      </c>
      <c r="Y76" s="121">
        <f>+Actuals!V238</f>
        <v>0</v>
      </c>
      <c r="Z76" s="120">
        <f>+Actuals!W238</f>
        <v>0</v>
      </c>
      <c r="AA76" s="121">
        <f>+Actuals!X238</f>
        <v>0</v>
      </c>
      <c r="AB76" s="120">
        <f>+Actuals!Y238</f>
        <v>0</v>
      </c>
      <c r="AC76" s="121">
        <f>+Actuals!Z238</f>
        <v>0</v>
      </c>
      <c r="AD76" s="120">
        <f>+Actuals!AA238</f>
        <v>0</v>
      </c>
      <c r="AE76" s="121">
        <f>+Actuals!AB238</f>
        <v>0</v>
      </c>
      <c r="AF76" s="120">
        <f>+Actuals!AC238</f>
        <v>0</v>
      </c>
      <c r="AG76" s="121">
        <f>+Actuals!AD238</f>
        <v>0</v>
      </c>
      <c r="AH76" s="120">
        <f>+Actuals!AE238</f>
        <v>0</v>
      </c>
      <c r="AI76" s="121">
        <f>+Actuals!AF238</f>
        <v>0</v>
      </c>
      <c r="AJ76" s="120">
        <f>+Actuals!AG238</f>
        <v>0</v>
      </c>
      <c r="AK76" s="121">
        <f>+Actuals!AH238</f>
        <v>0</v>
      </c>
      <c r="AL76" s="120">
        <f>+Actuals!AI238</f>
        <v>0</v>
      </c>
      <c r="AM76" s="121">
        <f>+Actuals!AJ238</f>
        <v>0</v>
      </c>
      <c r="AN76" s="120">
        <f>+Actuals!AK238</f>
        <v>0</v>
      </c>
      <c r="AO76" s="121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0"/>
        <v>0</v>
      </c>
      <c r="E77" s="38">
        <f t="shared" si="30"/>
        <v>0</v>
      </c>
      <c r="F77" s="60">
        <f>'TIE-OUT'!R77+RECLASS!P77</f>
        <v>0</v>
      </c>
      <c r="G77" s="60">
        <f>'TIE-OUT'!S77+RECLASS!Q77</f>
        <v>0</v>
      </c>
      <c r="H77" s="120">
        <f>+Actuals!E239</f>
        <v>0</v>
      </c>
      <c r="I77" s="121">
        <f>+Actuals!F239</f>
        <v>0</v>
      </c>
      <c r="J77" s="120">
        <f>+Actuals!G239</f>
        <v>0</v>
      </c>
      <c r="K77" s="121">
        <f>+Actuals!H239</f>
        <v>0</v>
      </c>
      <c r="L77" s="120">
        <f>+Actuals!I239</f>
        <v>0</v>
      </c>
      <c r="M77" s="121">
        <f>+Actuals!J239</f>
        <v>0</v>
      </c>
      <c r="N77" s="120">
        <f>+Actuals!K239</f>
        <v>0</v>
      </c>
      <c r="O77" s="121">
        <f>+Actuals!L239</f>
        <v>0</v>
      </c>
      <c r="P77" s="120">
        <f>+Actuals!M239</f>
        <v>0</v>
      </c>
      <c r="Q77" s="121">
        <f>+Actuals!N239</f>
        <v>0</v>
      </c>
      <c r="R77" s="120">
        <f>+Actuals!O239</f>
        <v>0</v>
      </c>
      <c r="S77" s="121">
        <f>+Actuals!P239</f>
        <v>0</v>
      </c>
      <c r="T77" s="120">
        <f>+Actuals!Q239</f>
        <v>0</v>
      </c>
      <c r="U77" s="121">
        <f>+Actuals!R239</f>
        <v>0</v>
      </c>
      <c r="V77" s="120">
        <f>+Actuals!S239</f>
        <v>0</v>
      </c>
      <c r="W77" s="121">
        <f>+Actuals!T239</f>
        <v>0</v>
      </c>
      <c r="X77" s="120">
        <f>+Actuals!U239</f>
        <v>0</v>
      </c>
      <c r="Y77" s="121">
        <f>+Actuals!V239</f>
        <v>0</v>
      </c>
      <c r="Z77" s="120">
        <f>+Actuals!W239</f>
        <v>0</v>
      </c>
      <c r="AA77" s="121">
        <f>+Actuals!X239</f>
        <v>0</v>
      </c>
      <c r="AB77" s="120">
        <f>+Actuals!Y239</f>
        <v>0</v>
      </c>
      <c r="AC77" s="121">
        <f>+Actuals!Z239</f>
        <v>0</v>
      </c>
      <c r="AD77" s="120">
        <f>+Actuals!AA239</f>
        <v>0</v>
      </c>
      <c r="AE77" s="121">
        <f>+Actuals!AB239</f>
        <v>0</v>
      </c>
      <c r="AF77" s="120">
        <f>+Actuals!AC239</f>
        <v>0</v>
      </c>
      <c r="AG77" s="121">
        <f>+Actuals!AD239</f>
        <v>0</v>
      </c>
      <c r="AH77" s="120">
        <f>+Actuals!AE239</f>
        <v>0</v>
      </c>
      <c r="AI77" s="121">
        <f>+Actuals!AF239</f>
        <v>0</v>
      </c>
      <c r="AJ77" s="120">
        <f>+Actuals!AG239</f>
        <v>0</v>
      </c>
      <c r="AK77" s="121">
        <f>+Actuals!AH239</f>
        <v>0</v>
      </c>
      <c r="AL77" s="120">
        <f>+Actuals!AI239</f>
        <v>0</v>
      </c>
      <c r="AM77" s="121">
        <f>+Actuals!AJ239</f>
        <v>0</v>
      </c>
      <c r="AN77" s="120">
        <f>+Actuals!AK239</f>
        <v>0</v>
      </c>
      <c r="AO77" s="121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0"/>
        <v>0</v>
      </c>
      <c r="E78" s="38">
        <f t="shared" si="30"/>
        <v>0</v>
      </c>
      <c r="F78" s="60">
        <f>'TIE-OUT'!R78+RECLASS!P78</f>
        <v>0</v>
      </c>
      <c r="G78" s="60">
        <f>'TIE-OUT'!S78+RECLASS!Q78</f>
        <v>0</v>
      </c>
      <c r="H78" s="120">
        <f>+Actuals!E240</f>
        <v>0</v>
      </c>
      <c r="I78" s="121">
        <f>+Actuals!F240</f>
        <v>0</v>
      </c>
      <c r="J78" s="120">
        <f>+Actuals!G240</f>
        <v>0</v>
      </c>
      <c r="K78" s="121">
        <f>+Actuals!H240</f>
        <v>0</v>
      </c>
      <c r="L78" s="120">
        <f>+Actuals!I240</f>
        <v>0</v>
      </c>
      <c r="M78" s="121">
        <f>+Actuals!J240</f>
        <v>0</v>
      </c>
      <c r="N78" s="120">
        <f>+Actuals!K240</f>
        <v>0</v>
      </c>
      <c r="O78" s="121">
        <f>+Actuals!L240</f>
        <v>0</v>
      </c>
      <c r="P78" s="120">
        <f>+Actuals!M240</f>
        <v>0</v>
      </c>
      <c r="Q78" s="121">
        <f>+Actuals!N240</f>
        <v>0</v>
      </c>
      <c r="R78" s="120">
        <f>+Actuals!O240</f>
        <v>0</v>
      </c>
      <c r="S78" s="121">
        <f>+Actuals!P240</f>
        <v>0</v>
      </c>
      <c r="T78" s="120">
        <f>+Actuals!Q240</f>
        <v>0</v>
      </c>
      <c r="U78" s="121">
        <f>+Actuals!R240</f>
        <v>0</v>
      </c>
      <c r="V78" s="120">
        <f>+Actuals!S240</f>
        <v>0</v>
      </c>
      <c r="W78" s="121">
        <f>+Actuals!T240</f>
        <v>0</v>
      </c>
      <c r="X78" s="120">
        <f>+Actuals!U240</f>
        <v>0</v>
      </c>
      <c r="Y78" s="121">
        <f>+Actuals!V240</f>
        <v>0</v>
      </c>
      <c r="Z78" s="120">
        <f>+Actuals!W240</f>
        <v>0</v>
      </c>
      <c r="AA78" s="121">
        <f>+Actuals!X240</f>
        <v>0</v>
      </c>
      <c r="AB78" s="120">
        <f>+Actuals!Y240</f>
        <v>0</v>
      </c>
      <c r="AC78" s="121">
        <f>+Actuals!Z240</f>
        <v>0</v>
      </c>
      <c r="AD78" s="120">
        <f>+Actuals!AA240</f>
        <v>0</v>
      </c>
      <c r="AE78" s="121">
        <f>+Actuals!AB240</f>
        <v>0</v>
      </c>
      <c r="AF78" s="120">
        <f>+Actuals!AC240</f>
        <v>0</v>
      </c>
      <c r="AG78" s="121">
        <f>+Actuals!AD240</f>
        <v>0</v>
      </c>
      <c r="AH78" s="120">
        <f>+Actuals!AE240</f>
        <v>0</v>
      </c>
      <c r="AI78" s="121">
        <f>+Actuals!AF240</f>
        <v>0</v>
      </c>
      <c r="AJ78" s="120">
        <f>+Actuals!AG240</f>
        <v>0</v>
      </c>
      <c r="AK78" s="121">
        <f>+Actuals!AH240</f>
        <v>0</v>
      </c>
      <c r="AL78" s="120">
        <f>+Actuals!AI240</f>
        <v>0</v>
      </c>
      <c r="AM78" s="121">
        <f>+Actuals!AJ240</f>
        <v>0</v>
      </c>
      <c r="AN78" s="120">
        <f>+Actuals!AK240</f>
        <v>0</v>
      </c>
      <c r="AO78" s="121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0"/>
        <v>0</v>
      </c>
      <c r="E79" s="38">
        <f t="shared" si="30"/>
        <v>0</v>
      </c>
      <c r="F79" s="60">
        <f>'TIE-OUT'!R79+RECLASS!P79</f>
        <v>0</v>
      </c>
      <c r="G79" s="60">
        <f>'TIE-OUT'!S79+RECLASS!Q79</f>
        <v>0</v>
      </c>
      <c r="H79" s="120">
        <f>+Actuals!E241</f>
        <v>0</v>
      </c>
      <c r="I79" s="121">
        <f>+Actuals!F241</f>
        <v>0</v>
      </c>
      <c r="J79" s="120">
        <f>+Actuals!G241</f>
        <v>0</v>
      </c>
      <c r="K79" s="121">
        <f>+Actuals!H241</f>
        <v>0</v>
      </c>
      <c r="L79" s="120">
        <f>+Actuals!I241</f>
        <v>0</v>
      </c>
      <c r="M79" s="121">
        <f>+Actuals!J241</f>
        <v>0</v>
      </c>
      <c r="N79" s="120">
        <f>+Actuals!K241</f>
        <v>0</v>
      </c>
      <c r="O79" s="121">
        <f>+Actuals!L241</f>
        <v>0</v>
      </c>
      <c r="P79" s="120">
        <f>+Actuals!M241</f>
        <v>0</v>
      </c>
      <c r="Q79" s="121">
        <f>+Actuals!N241</f>
        <v>0</v>
      </c>
      <c r="R79" s="120">
        <f>+Actuals!O241</f>
        <v>0</v>
      </c>
      <c r="S79" s="121">
        <f>+Actuals!P241</f>
        <v>0</v>
      </c>
      <c r="T79" s="120">
        <f>+Actuals!Q241</f>
        <v>0</v>
      </c>
      <c r="U79" s="121">
        <f>+Actuals!R241</f>
        <v>0</v>
      </c>
      <c r="V79" s="120">
        <f>+Actuals!S241</f>
        <v>0</v>
      </c>
      <c r="W79" s="121">
        <f>+Actuals!T241</f>
        <v>0</v>
      </c>
      <c r="X79" s="120">
        <f>+Actuals!U241</f>
        <v>0</v>
      </c>
      <c r="Y79" s="121">
        <f>+Actuals!V241</f>
        <v>0</v>
      </c>
      <c r="Z79" s="120">
        <f>+Actuals!W241</f>
        <v>0</v>
      </c>
      <c r="AA79" s="121">
        <f>+Actuals!X241</f>
        <v>0</v>
      </c>
      <c r="AB79" s="120">
        <f>+Actuals!Y241</f>
        <v>0</v>
      </c>
      <c r="AC79" s="121">
        <f>+Actuals!Z241</f>
        <v>0</v>
      </c>
      <c r="AD79" s="120">
        <f>+Actuals!AA241</f>
        <v>0</v>
      </c>
      <c r="AE79" s="121">
        <f>+Actuals!AB241</f>
        <v>0</v>
      </c>
      <c r="AF79" s="120">
        <f>+Actuals!AC241</f>
        <v>0</v>
      </c>
      <c r="AG79" s="121">
        <f>+Actuals!AD241</f>
        <v>0</v>
      </c>
      <c r="AH79" s="120">
        <f>+Actuals!AE241</f>
        <v>0</v>
      </c>
      <c r="AI79" s="121">
        <f>+Actuals!AF241</f>
        <v>0</v>
      </c>
      <c r="AJ79" s="120">
        <f>+Actuals!AG241</f>
        <v>0</v>
      </c>
      <c r="AK79" s="121">
        <f>+Actuals!AH241</f>
        <v>0</v>
      </c>
      <c r="AL79" s="120">
        <f>+Actuals!AI241</f>
        <v>0</v>
      </c>
      <c r="AM79" s="121">
        <f>+Actuals!AJ241</f>
        <v>0</v>
      </c>
      <c r="AN79" s="120">
        <f>+Actuals!AK241</f>
        <v>0</v>
      </c>
      <c r="AO79" s="121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0"/>
        <v>0</v>
      </c>
      <c r="E80" s="38">
        <f t="shared" si="30"/>
        <v>0</v>
      </c>
      <c r="F80" s="60">
        <f>'TIE-OUT'!R80+RECLASS!P80</f>
        <v>0</v>
      </c>
      <c r="G80" s="60">
        <f>'TIE-OUT'!S80+RECLASS!Q80</f>
        <v>0</v>
      </c>
      <c r="H80" s="120">
        <f>+Actuals!E242</f>
        <v>0</v>
      </c>
      <c r="I80" s="121">
        <f>+Actuals!F242</f>
        <v>0</v>
      </c>
      <c r="J80" s="120">
        <f>+Actuals!G242</f>
        <v>0</v>
      </c>
      <c r="K80" s="121">
        <f>+Actuals!H242</f>
        <v>0</v>
      </c>
      <c r="L80" s="120">
        <f>+Actuals!I242</f>
        <v>0</v>
      </c>
      <c r="M80" s="121">
        <f>+Actuals!J242</f>
        <v>0</v>
      </c>
      <c r="N80" s="120">
        <f>+Actuals!K242</f>
        <v>0</v>
      </c>
      <c r="O80" s="121">
        <f>+Actuals!L242</f>
        <v>0</v>
      </c>
      <c r="P80" s="120">
        <f>+Actuals!M242</f>
        <v>0</v>
      </c>
      <c r="Q80" s="121">
        <f>+Actuals!N242</f>
        <v>0</v>
      </c>
      <c r="R80" s="120">
        <f>+Actuals!O242</f>
        <v>0</v>
      </c>
      <c r="S80" s="121">
        <f>+Actuals!P242</f>
        <v>0</v>
      </c>
      <c r="T80" s="120">
        <f>+Actuals!Q242</f>
        <v>0</v>
      </c>
      <c r="U80" s="121">
        <f>+Actuals!R242</f>
        <v>0</v>
      </c>
      <c r="V80" s="120">
        <f>+Actuals!S242</f>
        <v>0</v>
      </c>
      <c r="W80" s="121">
        <f>+Actuals!T242</f>
        <v>0</v>
      </c>
      <c r="X80" s="120">
        <f>+Actuals!U242</f>
        <v>0</v>
      </c>
      <c r="Y80" s="121">
        <f>+Actuals!V242</f>
        <v>0</v>
      </c>
      <c r="Z80" s="120">
        <f>+Actuals!W242</f>
        <v>0</v>
      </c>
      <c r="AA80" s="121">
        <f>+Actuals!X242</f>
        <v>0</v>
      </c>
      <c r="AB80" s="120">
        <f>+Actuals!Y242</f>
        <v>0</v>
      </c>
      <c r="AC80" s="121">
        <f>+Actuals!Z242</f>
        <v>0</v>
      </c>
      <c r="AD80" s="120">
        <f>+Actuals!AA242</f>
        <v>0</v>
      </c>
      <c r="AE80" s="121">
        <f>+Actuals!AB242</f>
        <v>0</v>
      </c>
      <c r="AF80" s="120">
        <f>+Actuals!AC242</f>
        <v>0</v>
      </c>
      <c r="AG80" s="121">
        <f>+Actuals!AD242</f>
        <v>0</v>
      </c>
      <c r="AH80" s="120">
        <f>+Actuals!AE242</f>
        <v>0</v>
      </c>
      <c r="AI80" s="121">
        <f>+Actuals!AF242</f>
        <v>0</v>
      </c>
      <c r="AJ80" s="120">
        <f>+Actuals!AG242</f>
        <v>0</v>
      </c>
      <c r="AK80" s="121">
        <f>+Actuals!AH242</f>
        <v>0</v>
      </c>
      <c r="AL80" s="120">
        <f>+Actuals!AI242</f>
        <v>0</v>
      </c>
      <c r="AM80" s="121">
        <f>+Actuals!AJ242</f>
        <v>0</v>
      </c>
      <c r="AN80" s="120">
        <f>+Actuals!AK242</f>
        <v>0</v>
      </c>
      <c r="AO80" s="121">
        <f>+Actuals!AL242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30"/>
        <v>0</v>
      </c>
      <c r="E81" s="38">
        <f t="shared" si="30"/>
        <v>0</v>
      </c>
      <c r="F81" s="60">
        <f>'TIE-OUT'!R81+RECLASS!P81</f>
        <v>0</v>
      </c>
      <c r="G81" s="60">
        <f>'TIE-OUT'!S81+RECLASS!Q81</f>
        <v>0</v>
      </c>
      <c r="H81" s="120">
        <f>+Actuals!E243</f>
        <v>0</v>
      </c>
      <c r="I81" s="121">
        <f>+Actuals!F243</f>
        <v>0</v>
      </c>
      <c r="J81" s="120">
        <f>+Actuals!G243</f>
        <v>0</v>
      </c>
      <c r="K81" s="121">
        <f>+Actuals!H243</f>
        <v>0</v>
      </c>
      <c r="L81" s="120">
        <f>+Actuals!I243</f>
        <v>0</v>
      </c>
      <c r="M81" s="121">
        <f>+Actuals!J243</f>
        <v>0</v>
      </c>
      <c r="N81" s="120">
        <f>+Actuals!K243</f>
        <v>0</v>
      </c>
      <c r="O81" s="121">
        <f>+Actuals!L243</f>
        <v>0</v>
      </c>
      <c r="P81" s="120">
        <f>+Actuals!M243</f>
        <v>0</v>
      </c>
      <c r="Q81" s="121">
        <f>+Actuals!N243</f>
        <v>0</v>
      </c>
      <c r="R81" s="120">
        <f>+Actuals!O243</f>
        <v>0</v>
      </c>
      <c r="S81" s="121">
        <f>+Actuals!P243</f>
        <v>0</v>
      </c>
      <c r="T81" s="120">
        <f>+Actuals!Q243</f>
        <v>0</v>
      </c>
      <c r="U81" s="121">
        <f>+Actuals!R243</f>
        <v>0</v>
      </c>
      <c r="V81" s="120">
        <f>+Actuals!S243</f>
        <v>0</v>
      </c>
      <c r="W81" s="121">
        <f>+Actuals!T243</f>
        <v>0</v>
      </c>
      <c r="X81" s="120">
        <f>+Actuals!U243</f>
        <v>0</v>
      </c>
      <c r="Y81" s="121">
        <f>+Actuals!V243</f>
        <v>0</v>
      </c>
      <c r="Z81" s="120">
        <f>+Actuals!W243</f>
        <v>0</v>
      </c>
      <c r="AA81" s="121">
        <f>+Actuals!X243</f>
        <v>0</v>
      </c>
      <c r="AB81" s="120">
        <f>+Actuals!Y243</f>
        <v>0</v>
      </c>
      <c r="AC81" s="121">
        <f>+Actuals!Z243</f>
        <v>0</v>
      </c>
      <c r="AD81" s="120">
        <f>+Actuals!AA243</f>
        <v>0</v>
      </c>
      <c r="AE81" s="121">
        <f>+Actuals!AB243</f>
        <v>0</v>
      </c>
      <c r="AF81" s="120">
        <f>+Actuals!AC243</f>
        <v>0</v>
      </c>
      <c r="AG81" s="121">
        <f>+Actuals!AD243</f>
        <v>0</v>
      </c>
      <c r="AH81" s="120">
        <f>+Actuals!AE243</f>
        <v>0</v>
      </c>
      <c r="AI81" s="121">
        <f>+Actuals!AF243</f>
        <v>0</v>
      </c>
      <c r="AJ81" s="120">
        <f>+Actuals!AG243</f>
        <v>0</v>
      </c>
      <c r="AK81" s="121">
        <f>+Actuals!AH243</f>
        <v>0</v>
      </c>
      <c r="AL81" s="120">
        <f>+Actuals!AI243</f>
        <v>0</v>
      </c>
      <c r="AM81" s="121">
        <f>+Actuals!AJ243</f>
        <v>0</v>
      </c>
      <c r="AN81" s="120">
        <f>+Actuals!AK243</f>
        <v>0</v>
      </c>
      <c r="AO81" s="121">
        <f>+Actuals!AL243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172530.58499999845</v>
      </c>
      <c r="F82" s="91">
        <f>F16+F24+F29+F36+F43+F45+F47+F49</f>
        <v>0</v>
      </c>
      <c r="G82" s="92">
        <f>SUM(G72:G81)+G16+G24+G29+G36+G43+G45+G47+G49+G51+G56+G61+G66</f>
        <v>-251126.72</v>
      </c>
      <c r="H82" s="91">
        <f>H16+H24+H29+H36+H43+H45+H47+H49</f>
        <v>0</v>
      </c>
      <c r="I82" s="92">
        <f>SUM(I72:I81)+I16+I24+I29+I36+I43+I45+I47+I49+I51+I56+I61+I66</f>
        <v>-379587.82300000102</v>
      </c>
      <c r="J82" s="91">
        <f>J16+J24+J29+J36+J43+J45+J47+J49</f>
        <v>0</v>
      </c>
      <c r="K82" s="139">
        <f>SUM(K72:K81)+K16+K24+K29+K36+K43+K45+K47+K49+K51+K56+K61+K66</f>
        <v>399715.48000000021</v>
      </c>
      <c r="L82" s="91">
        <f>L16+L24+L29+L36+L43+L45+L47+L49</f>
        <v>0</v>
      </c>
      <c r="M82" s="92">
        <f>SUM(M72:M81)+M16+M24+M29+M36+M43+M45+M47+M49+M51+M56+M61+M66</f>
        <v>-385512.467</v>
      </c>
      <c r="N82" s="91">
        <f>N16+N24+N29+N36+N43+N45+N47+N49</f>
        <v>0</v>
      </c>
      <c r="O82" s="92">
        <f>SUM(O72:O81)+O16+O24+O29+O36+O43+O45+O47+O49+O51+O56+O61+O66</f>
        <v>486759.43699999998</v>
      </c>
      <c r="P82" s="91">
        <f>P16+P24+P29+P36+P43+P45+P47+P49</f>
        <v>0</v>
      </c>
      <c r="Q82" s="92">
        <f>SUM(Q72:Q81)+Q16+Q24+Q29+Q36+Q43+Q45+Q47+Q49+Q51+Q56+Q61+Q66</f>
        <v>-90279.48</v>
      </c>
      <c r="R82" s="91">
        <f>R16+R24+R29+R36+R43+R45+R47+R49</f>
        <v>0</v>
      </c>
      <c r="S82" s="92">
        <f>SUM(S72:S81)+S16+S24+S29+S36+S43+S45+S47+S49+S51+S56+S61+S66</f>
        <v>-63.38</v>
      </c>
      <c r="T82" s="91">
        <f>T16+T24+T29+T36+T43+T45+T47+T49</f>
        <v>0</v>
      </c>
      <c r="U82" s="92">
        <f>SUM(U72:U81)+U16+U24+U29+U36+U43+U45+U47+U49+U51+U56+U61+U66</f>
        <v>-24682.171999999988</v>
      </c>
      <c r="V82" s="91">
        <f>V16+V24+V29+V36+V43+V45+V47+V49</f>
        <v>0</v>
      </c>
      <c r="W82" s="92">
        <f>SUM(W72:W81)+W16+W24+W29+W36+W43+W45+W47+W49+W51+W56+W61+W66</f>
        <v>417307.71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V179"/>
  <sheetViews>
    <sheetView zoomScale="75" workbookViewId="0">
      <pane xSplit="3" ySplit="9" topLeftCell="Q10" activePane="bottomRight" state="frozen"/>
      <selection activeCell="Z9" sqref="Z9"/>
      <selection pane="topRight" activeCell="Z9" sqref="Z9"/>
      <selection pane="bottomLeft" activeCell="Z9" sqref="Z9"/>
      <selection pane="bottomRight" activeCell="Z9" sqref="Z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18326831</v>
      </c>
      <c r="E11" s="38">
        <f>SUM(G11,I11,K11,M11,O11,Q11,S11,U11,W11,Y11,AA11,AC11,AE11)</f>
        <v>34814576.370000005</v>
      </c>
      <c r="F11" s="60">
        <f>'TIE-OUT'!AF11+RECLASS!AF11</f>
        <v>0</v>
      </c>
      <c r="G11" s="38">
        <f>'TIE-OUT'!AG11+RECLASS!AG11</f>
        <v>-10282920</v>
      </c>
      <c r="H11" s="120">
        <f>+Actuals!E124</f>
        <v>18373410</v>
      </c>
      <c r="I11" s="123">
        <f>+Actuals!F124</f>
        <v>44371609.640000001</v>
      </c>
      <c r="J11" s="120">
        <f>+Actuals!G124</f>
        <v>1006103</v>
      </c>
      <c r="K11" s="123">
        <f>+Actuals!H124</f>
        <v>1982197.95</v>
      </c>
      <c r="L11" s="120">
        <f>+Actuals!I124</f>
        <v>0</v>
      </c>
      <c r="M11" s="123">
        <f>+Actuals!J124</f>
        <v>590035.84</v>
      </c>
      <c r="N11" s="120">
        <f>+Actuals!K124</f>
        <v>-1125645</v>
      </c>
      <c r="O11" s="123">
        <f>+Actuals!L124</f>
        <v>-1852381.1</v>
      </c>
      <c r="P11" s="120">
        <f>+Actuals!M124</f>
        <v>0</v>
      </c>
      <c r="Q11" s="123">
        <f>+Actuals!N124</f>
        <v>0</v>
      </c>
      <c r="R11" s="120">
        <f>+Actuals!O124</f>
        <v>72963</v>
      </c>
      <c r="S11" s="123">
        <f>+Actuals!P124</f>
        <v>137724.57999999999</v>
      </c>
      <c r="T11" s="120">
        <f>+Actuals!Q124</f>
        <v>0</v>
      </c>
      <c r="U11" s="123">
        <f>+Actuals!R124</f>
        <v>-131690.54</v>
      </c>
      <c r="V11" s="120">
        <f>+Actuals!S124</f>
        <v>0</v>
      </c>
      <c r="W11" s="123">
        <f>+Actuals!T124</f>
        <v>0</v>
      </c>
      <c r="X11" s="120">
        <f>+Actuals!U124</f>
        <v>0</v>
      </c>
      <c r="Y11" s="123">
        <f>+Actuals!V124</f>
        <v>0</v>
      </c>
      <c r="Z11" s="120">
        <f>+Actuals!W124</f>
        <v>0</v>
      </c>
      <c r="AA11" s="123">
        <f>+Actuals!X124</f>
        <v>0</v>
      </c>
      <c r="AB11" s="120">
        <f>+Actuals!Y124</f>
        <v>0</v>
      </c>
      <c r="AC11" s="123">
        <f>+Actuals!Z124</f>
        <v>0</v>
      </c>
      <c r="AD11" s="120">
        <f>+Actuals!AA124</f>
        <v>0</v>
      </c>
      <c r="AE11" s="123">
        <f>+Actuals!AB124</f>
        <v>0</v>
      </c>
      <c r="AF11" s="120">
        <f>+Actuals!AC124</f>
        <v>0</v>
      </c>
      <c r="AG11" s="123">
        <f>+Actuals!AD124</f>
        <v>0</v>
      </c>
      <c r="AH11" s="120">
        <f>+Actuals!AE124</f>
        <v>0</v>
      </c>
      <c r="AI11" s="123">
        <f>+Actuals!AF124</f>
        <v>0</v>
      </c>
      <c r="AJ11" s="120">
        <f>+Actuals!AG124</f>
        <v>0</v>
      </c>
      <c r="AK11" s="123">
        <f>+Actuals!AH124</f>
        <v>0</v>
      </c>
      <c r="AL11" s="120">
        <f>+Actuals!AI124</f>
        <v>0</v>
      </c>
      <c r="AM11" s="123">
        <f>+Actuals!AJ124</f>
        <v>0</v>
      </c>
      <c r="AN11" s="120">
        <f>+Actuals!AK124</f>
        <v>0</v>
      </c>
      <c r="AO11" s="123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2">
        <f>+Actuals!E125</f>
        <v>0</v>
      </c>
      <c r="I12" s="123">
        <f>+Actuals!F125</f>
        <v>0</v>
      </c>
      <c r="J12" s="122">
        <f>+Actuals!G125</f>
        <v>0</v>
      </c>
      <c r="K12" s="123">
        <f>+Actuals!H125</f>
        <v>0</v>
      </c>
      <c r="L12" s="122">
        <f>+Actuals!I125</f>
        <v>0</v>
      </c>
      <c r="M12" s="123">
        <f>+Actuals!J125</f>
        <v>0</v>
      </c>
      <c r="N12" s="122">
        <f>+Actuals!K125</f>
        <v>0</v>
      </c>
      <c r="O12" s="123">
        <f>+Actuals!L125</f>
        <v>0</v>
      </c>
      <c r="P12" s="122">
        <f>+Actuals!M125</f>
        <v>0</v>
      </c>
      <c r="Q12" s="123">
        <f>+Actuals!N125</f>
        <v>0</v>
      </c>
      <c r="R12" s="122">
        <f>+Actuals!O125</f>
        <v>0</v>
      </c>
      <c r="S12" s="123">
        <f>+Actuals!P125</f>
        <v>0</v>
      </c>
      <c r="T12" s="122">
        <f>+Actuals!Q125</f>
        <v>0</v>
      </c>
      <c r="U12" s="123">
        <f>+Actuals!R125</f>
        <v>0</v>
      </c>
      <c r="V12" s="122">
        <f>+Actuals!S125</f>
        <v>0</v>
      </c>
      <c r="W12" s="123">
        <f>+Actuals!T125</f>
        <v>0</v>
      </c>
      <c r="X12" s="122">
        <f>+Actuals!U125</f>
        <v>0</v>
      </c>
      <c r="Y12" s="123">
        <f>+Actuals!V125</f>
        <v>0</v>
      </c>
      <c r="Z12" s="122">
        <f>+Actuals!W125</f>
        <v>0</v>
      </c>
      <c r="AA12" s="123">
        <f>+Actuals!X125</f>
        <v>0</v>
      </c>
      <c r="AB12" s="122">
        <f>+Actuals!Y125</f>
        <v>0</v>
      </c>
      <c r="AC12" s="123">
        <f>+Actuals!Z125</f>
        <v>0</v>
      </c>
      <c r="AD12" s="122">
        <f>+Actuals!AA125</f>
        <v>0</v>
      </c>
      <c r="AE12" s="123">
        <f>+Actuals!AB125</f>
        <v>0</v>
      </c>
      <c r="AF12" s="122">
        <f>+Actuals!AC125</f>
        <v>0</v>
      </c>
      <c r="AG12" s="123">
        <f>+Actuals!AD125</f>
        <v>0</v>
      </c>
      <c r="AH12" s="122">
        <f>+Actuals!AE125</f>
        <v>0</v>
      </c>
      <c r="AI12" s="123">
        <f>+Actuals!AF125</f>
        <v>0</v>
      </c>
      <c r="AJ12" s="122">
        <f>+Actuals!AG125</f>
        <v>0</v>
      </c>
      <c r="AK12" s="123">
        <f>+Actuals!AH125</f>
        <v>0</v>
      </c>
      <c r="AL12" s="122">
        <f>+Actuals!AI125</f>
        <v>0</v>
      </c>
      <c r="AM12" s="123">
        <f>+Actuals!AJ125</f>
        <v>0</v>
      </c>
      <c r="AN12" s="122">
        <f>+Actuals!AK125</f>
        <v>0</v>
      </c>
      <c r="AO12" s="123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41043766</v>
      </c>
      <c r="E13" s="38">
        <f t="shared" si="0"/>
        <v>118235966</v>
      </c>
      <c r="F13" s="60">
        <f>'TIE-OUT'!AF13+RECLASS!AF13</f>
        <v>0</v>
      </c>
      <c r="G13" s="38">
        <f>'TIE-OUT'!AG13+RECLASS!AG13</f>
        <v>0</v>
      </c>
      <c r="H13" s="122">
        <f>+Actuals!E126</f>
        <v>41028855</v>
      </c>
      <c r="I13" s="123">
        <f>+Actuals!F126</f>
        <v>118196541</v>
      </c>
      <c r="J13" s="122">
        <f>+Actuals!G126</f>
        <v>-31383249</v>
      </c>
      <c r="K13" s="123">
        <f>+Actuals!H126</f>
        <v>-93843164</v>
      </c>
      <c r="L13" s="122">
        <f>+Actuals!I126</f>
        <v>0</v>
      </c>
      <c r="M13" s="123">
        <f>+Actuals!J126</f>
        <v>0</v>
      </c>
      <c r="N13" s="122">
        <f>+Actuals!K126</f>
        <v>0</v>
      </c>
      <c r="O13" s="123">
        <f>+Actuals!L126</f>
        <v>0</v>
      </c>
      <c r="P13" s="122">
        <f>+Actuals!M126</f>
        <v>0</v>
      </c>
      <c r="Q13" s="123">
        <f>+Actuals!N126</f>
        <v>0</v>
      </c>
      <c r="R13" s="122">
        <f>+Actuals!O126</f>
        <v>0</v>
      </c>
      <c r="S13" s="123">
        <f>+Actuals!P126</f>
        <v>0</v>
      </c>
      <c r="T13" s="122">
        <f>+Actuals!Q126</f>
        <v>31398160</v>
      </c>
      <c r="U13" s="123">
        <f>+Actuals!R126</f>
        <v>93882589</v>
      </c>
      <c r="V13" s="122">
        <f>+Actuals!S126</f>
        <v>0</v>
      </c>
      <c r="W13" s="123">
        <f>+Actuals!T126</f>
        <v>0</v>
      </c>
      <c r="X13" s="122">
        <f>+Actuals!U126</f>
        <v>0</v>
      </c>
      <c r="Y13" s="123">
        <f>+Actuals!V126</f>
        <v>0</v>
      </c>
      <c r="Z13" s="122">
        <f>+Actuals!W126</f>
        <v>0</v>
      </c>
      <c r="AA13" s="123">
        <f>+Actuals!X126</f>
        <v>0</v>
      </c>
      <c r="AB13" s="122">
        <f>+Actuals!Y126</f>
        <v>0</v>
      </c>
      <c r="AC13" s="123">
        <f>+Actuals!Z126</f>
        <v>0</v>
      </c>
      <c r="AD13" s="122">
        <f>+Actuals!AA126</f>
        <v>0</v>
      </c>
      <c r="AE13" s="123">
        <f>+Actuals!AB126</f>
        <v>0</v>
      </c>
      <c r="AF13" s="122">
        <f>+Actuals!AC126</f>
        <v>0</v>
      </c>
      <c r="AG13" s="123">
        <f>+Actuals!AD126</f>
        <v>0</v>
      </c>
      <c r="AH13" s="122">
        <f>+Actuals!AE126</f>
        <v>0</v>
      </c>
      <c r="AI13" s="123">
        <f>+Actuals!AF126</f>
        <v>0</v>
      </c>
      <c r="AJ13" s="122">
        <f>+Actuals!AG126</f>
        <v>0</v>
      </c>
      <c r="AK13" s="123">
        <f>+Actuals!AH126</f>
        <v>0</v>
      </c>
      <c r="AL13" s="122">
        <f>+Actuals!AI126</f>
        <v>0</v>
      </c>
      <c r="AM13" s="123">
        <f>+Actuals!AJ126</f>
        <v>0</v>
      </c>
      <c r="AN13" s="122">
        <f>+Actuals!AK126</f>
        <v>0</v>
      </c>
      <c r="AO13" s="123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2">
        <f>+Actuals!E127</f>
        <v>0</v>
      </c>
      <c r="I14" s="123">
        <f>+Actuals!F127</f>
        <v>0</v>
      </c>
      <c r="J14" s="122">
        <f>+Actuals!G127</f>
        <v>0</v>
      </c>
      <c r="K14" s="123">
        <f>+Actuals!H127</f>
        <v>0</v>
      </c>
      <c r="L14" s="122">
        <f>+Actuals!I127</f>
        <v>0</v>
      </c>
      <c r="M14" s="123">
        <f>+Actuals!J127</f>
        <v>0</v>
      </c>
      <c r="N14" s="122">
        <f>+Actuals!K127</f>
        <v>0</v>
      </c>
      <c r="O14" s="123">
        <f>+Actuals!L127</f>
        <v>0</v>
      </c>
      <c r="P14" s="122">
        <f>+Actuals!M127</f>
        <v>0</v>
      </c>
      <c r="Q14" s="123">
        <f>+Actuals!N127</f>
        <v>0</v>
      </c>
      <c r="R14" s="122">
        <f>+Actuals!O127</f>
        <v>0</v>
      </c>
      <c r="S14" s="123">
        <f>+Actuals!P127</f>
        <v>0</v>
      </c>
      <c r="T14" s="122">
        <f>+Actuals!Q127</f>
        <v>0</v>
      </c>
      <c r="U14" s="123">
        <f>+Actuals!R127</f>
        <v>0</v>
      </c>
      <c r="V14" s="122">
        <f>+Actuals!S127</f>
        <v>0</v>
      </c>
      <c r="W14" s="123">
        <f>+Actuals!T127</f>
        <v>0</v>
      </c>
      <c r="X14" s="122">
        <f>+Actuals!U127</f>
        <v>0</v>
      </c>
      <c r="Y14" s="123">
        <f>+Actuals!V127</f>
        <v>0</v>
      </c>
      <c r="Z14" s="122">
        <f>+Actuals!W127</f>
        <v>0</v>
      </c>
      <c r="AA14" s="123">
        <f>+Actuals!X127</f>
        <v>0</v>
      </c>
      <c r="AB14" s="122">
        <f>+Actuals!Y127</f>
        <v>0</v>
      </c>
      <c r="AC14" s="123">
        <f>+Actuals!Z127</f>
        <v>0</v>
      </c>
      <c r="AD14" s="122">
        <f>+Actuals!AA127</f>
        <v>0</v>
      </c>
      <c r="AE14" s="123">
        <f>+Actuals!AB127</f>
        <v>0</v>
      </c>
      <c r="AF14" s="122">
        <f>+Actuals!AC127</f>
        <v>0</v>
      </c>
      <c r="AG14" s="123">
        <f>+Actuals!AD127</f>
        <v>0</v>
      </c>
      <c r="AH14" s="122">
        <f>+Actuals!AE127</f>
        <v>0</v>
      </c>
      <c r="AI14" s="123">
        <f>+Actuals!AF127</f>
        <v>0</v>
      </c>
      <c r="AJ14" s="122">
        <f>+Actuals!AG127</f>
        <v>0</v>
      </c>
      <c r="AK14" s="123">
        <f>+Actuals!AH127</f>
        <v>0</v>
      </c>
      <c r="AL14" s="122">
        <f>+Actuals!AI127</f>
        <v>0</v>
      </c>
      <c r="AM14" s="123">
        <f>+Actuals!AJ127</f>
        <v>0</v>
      </c>
      <c r="AN14" s="122">
        <f>+Actuals!AK127</f>
        <v>0</v>
      </c>
      <c r="AO14" s="123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10494603</v>
      </c>
      <c r="F15" s="81">
        <f>'TIE-OUT'!AF15+RECLASS!AF15</f>
        <v>0</v>
      </c>
      <c r="G15" s="82">
        <f>'TIE-OUT'!AG15+RECLASS!AG15</f>
        <v>-3677664</v>
      </c>
      <c r="H15" s="122">
        <f>+Actuals!E128</f>
        <v>0</v>
      </c>
      <c r="I15" s="123">
        <f>+Actuals!F128</f>
        <v>14440234</v>
      </c>
      <c r="J15" s="122">
        <f>+Actuals!G128</f>
        <v>0</v>
      </c>
      <c r="K15" s="123">
        <f>+Actuals!H128</f>
        <v>-262300</v>
      </c>
      <c r="L15" s="122">
        <f>+Actuals!I128</f>
        <v>0</v>
      </c>
      <c r="M15" s="123">
        <f>+Actuals!J128</f>
        <v>7085</v>
      </c>
      <c r="N15" s="122">
        <f>+Actuals!K128</f>
        <v>0</v>
      </c>
      <c r="O15" s="123">
        <f>+Actuals!L128</f>
        <v>-12752</v>
      </c>
      <c r="P15" s="122">
        <f>+Actuals!M128</f>
        <v>0</v>
      </c>
      <c r="Q15" s="123">
        <f>+Actuals!N128</f>
        <v>0</v>
      </c>
      <c r="R15" s="122">
        <f>+Actuals!O128</f>
        <v>0</v>
      </c>
      <c r="S15" s="123">
        <f>+Actuals!P128</f>
        <v>0</v>
      </c>
      <c r="T15" s="122">
        <f>+Actuals!Q128</f>
        <v>0</v>
      </c>
      <c r="U15" s="123">
        <f>+Actuals!R128</f>
        <v>0</v>
      </c>
      <c r="V15" s="122">
        <f>+Actuals!S128</f>
        <v>0</v>
      </c>
      <c r="W15" s="123">
        <f>+Actuals!T128</f>
        <v>0</v>
      </c>
      <c r="X15" s="122">
        <f>+Actuals!U128</f>
        <v>0</v>
      </c>
      <c r="Y15" s="123">
        <f>+Actuals!V128</f>
        <v>0</v>
      </c>
      <c r="Z15" s="122">
        <f>+Actuals!W128</f>
        <v>0</v>
      </c>
      <c r="AA15" s="123">
        <f>+Actuals!X128</f>
        <v>0</v>
      </c>
      <c r="AB15" s="122">
        <f>+Actuals!Y128</f>
        <v>0</v>
      </c>
      <c r="AC15" s="123">
        <f>+Actuals!Z128</f>
        <v>0</v>
      </c>
      <c r="AD15" s="122">
        <f>+Actuals!AA128</f>
        <v>0</v>
      </c>
      <c r="AE15" s="123">
        <f>+Actuals!AB128</f>
        <v>0</v>
      </c>
      <c r="AF15" s="122">
        <f>+Actuals!AC128</f>
        <v>0</v>
      </c>
      <c r="AG15" s="123">
        <f>+Actuals!AD128</f>
        <v>0</v>
      </c>
      <c r="AH15" s="122">
        <f>+Actuals!AE128</f>
        <v>0</v>
      </c>
      <c r="AI15" s="123">
        <f>+Actuals!AF128</f>
        <v>0</v>
      </c>
      <c r="AJ15" s="122">
        <f>+Actuals!AG128</f>
        <v>0</v>
      </c>
      <c r="AK15" s="123">
        <f>+Actuals!AH128</f>
        <v>0</v>
      </c>
      <c r="AL15" s="122">
        <f>+Actuals!AI128</f>
        <v>0</v>
      </c>
      <c r="AM15" s="123">
        <f>+Actuals!AJ128</f>
        <v>0</v>
      </c>
      <c r="AN15" s="122">
        <f>+Actuals!AK128</f>
        <v>0</v>
      </c>
      <c r="AO15" s="123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59370597</v>
      </c>
      <c r="E16" s="39">
        <f t="shared" si="1"/>
        <v>163545145.37</v>
      </c>
      <c r="F16" s="61">
        <f t="shared" si="1"/>
        <v>0</v>
      </c>
      <c r="G16" s="39">
        <f t="shared" si="1"/>
        <v>-13960584</v>
      </c>
      <c r="H16" s="61">
        <f t="shared" si="1"/>
        <v>59402265</v>
      </c>
      <c r="I16" s="39">
        <f t="shared" si="1"/>
        <v>177008384.63999999</v>
      </c>
      <c r="J16" s="61">
        <f t="shared" ref="J16:AO16" si="2">SUM(J11:J15)</f>
        <v>-30377146</v>
      </c>
      <c r="K16" s="39">
        <f t="shared" si="2"/>
        <v>-92123266.049999997</v>
      </c>
      <c r="L16" s="61">
        <f t="shared" si="2"/>
        <v>0</v>
      </c>
      <c r="M16" s="39">
        <f t="shared" si="2"/>
        <v>597120.84</v>
      </c>
      <c r="N16" s="61">
        <f t="shared" ref="N16:S16" si="3">SUM(N11:N15)</f>
        <v>-1125645</v>
      </c>
      <c r="O16" s="39">
        <f t="shared" si="3"/>
        <v>-1865133.1</v>
      </c>
      <c r="P16" s="61">
        <f t="shared" si="3"/>
        <v>0</v>
      </c>
      <c r="Q16" s="39">
        <f t="shared" si="3"/>
        <v>0</v>
      </c>
      <c r="R16" s="61">
        <f t="shared" si="3"/>
        <v>72963</v>
      </c>
      <c r="S16" s="39">
        <f t="shared" si="3"/>
        <v>137724.57999999999</v>
      </c>
      <c r="T16" s="61">
        <f t="shared" si="2"/>
        <v>31398160</v>
      </c>
      <c r="U16" s="39">
        <f t="shared" si="2"/>
        <v>93750898.459999993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4">SUM(F19,H19,J19,L19,N19,P19,R19,T19,V19,X19,Z19,AB19,AD19)</f>
        <v>-7698810</v>
      </c>
      <c r="E19" s="38">
        <f t="shared" si="4"/>
        <v>-19257755.359999999</v>
      </c>
      <c r="F19" s="64">
        <f>'TIE-OUT'!AF19+RECLASS!AF19</f>
        <v>0</v>
      </c>
      <c r="G19" s="68">
        <f>'TIE-OUT'!AG19+RECLASS!AG19</f>
        <v>0</v>
      </c>
      <c r="H19" s="122">
        <f>+Actuals!E129</f>
        <v>-7708958</v>
      </c>
      <c r="I19" s="123">
        <f>+Actuals!F129</f>
        <v>-18546209.02</v>
      </c>
      <c r="J19" s="122">
        <f>+Actuals!G129</f>
        <v>10070</v>
      </c>
      <c r="K19" s="123">
        <f>+Actuals!H129</f>
        <v>-711720.84</v>
      </c>
      <c r="L19" s="122">
        <f>+Actuals!I129</f>
        <v>119</v>
      </c>
      <c r="M19" s="123">
        <f>+Actuals!J129</f>
        <v>266.75</v>
      </c>
      <c r="N19" s="122">
        <f>+Actuals!K129</f>
        <v>0</v>
      </c>
      <c r="O19" s="123">
        <f>+Actuals!L129</f>
        <v>0</v>
      </c>
      <c r="P19" s="122">
        <f>+Actuals!M129</f>
        <v>-41</v>
      </c>
      <c r="Q19" s="123">
        <f>+Actuals!N129</f>
        <v>-92.25</v>
      </c>
      <c r="R19" s="122">
        <f>+Actuals!O129</f>
        <v>0</v>
      </c>
      <c r="S19" s="123">
        <f>+Actuals!P129</f>
        <v>0</v>
      </c>
      <c r="T19" s="122">
        <f>+Actuals!Q129</f>
        <v>0</v>
      </c>
      <c r="U19" s="123">
        <f>+Actuals!R129</f>
        <v>0</v>
      </c>
      <c r="V19" s="122">
        <f>+Actuals!S129</f>
        <v>0</v>
      </c>
      <c r="W19" s="123">
        <f>+Actuals!T129</f>
        <v>0</v>
      </c>
      <c r="X19" s="122">
        <f>+Actuals!U129</f>
        <v>0</v>
      </c>
      <c r="Y19" s="123">
        <f>+Actuals!V129</f>
        <v>0</v>
      </c>
      <c r="Z19" s="122">
        <f>+Actuals!W129</f>
        <v>0</v>
      </c>
      <c r="AA19" s="123">
        <f>+Actuals!X129</f>
        <v>0</v>
      </c>
      <c r="AB19" s="122">
        <f>+Actuals!Y129</f>
        <v>0</v>
      </c>
      <c r="AC19" s="123">
        <f>+Actuals!Z129</f>
        <v>0</v>
      </c>
      <c r="AD19" s="122">
        <f>+Actuals!AA129</f>
        <v>0</v>
      </c>
      <c r="AE19" s="123">
        <f>+Actuals!AB129</f>
        <v>0</v>
      </c>
      <c r="AF19" s="122">
        <f>+Actuals!AC129</f>
        <v>0</v>
      </c>
      <c r="AG19" s="123">
        <f>+Actuals!AD129</f>
        <v>0</v>
      </c>
      <c r="AH19" s="122">
        <f>+Actuals!AE129</f>
        <v>0</v>
      </c>
      <c r="AI19" s="123">
        <f>+Actuals!AF129</f>
        <v>0</v>
      </c>
      <c r="AJ19" s="122">
        <f>+Actuals!AG129</f>
        <v>0</v>
      </c>
      <c r="AK19" s="123">
        <f>+Actuals!AH129</f>
        <v>0</v>
      </c>
      <c r="AL19" s="122">
        <f>+Actuals!AI129</f>
        <v>0</v>
      </c>
      <c r="AM19" s="123">
        <f>+Actuals!AJ129</f>
        <v>0</v>
      </c>
      <c r="AN19" s="122">
        <f>+Actuals!AK129</f>
        <v>0</v>
      </c>
      <c r="AO19" s="123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4"/>
        <v>0</v>
      </c>
      <c r="E20" s="38">
        <f t="shared" si="4"/>
        <v>-271351.09999999998</v>
      </c>
      <c r="F20" s="60">
        <f>'TIE-OUT'!AF20+RECLASS!AF20</f>
        <v>0</v>
      </c>
      <c r="G20" s="38">
        <f>'TIE-OUT'!AG20+RECLASS!AG20</f>
        <v>-125860</v>
      </c>
      <c r="H20" s="122">
        <f>+Actuals!E130</f>
        <v>0</v>
      </c>
      <c r="I20" s="123">
        <f>+Actuals!F130</f>
        <v>0</v>
      </c>
      <c r="J20" s="122">
        <f>+Actuals!G130</f>
        <v>0</v>
      </c>
      <c r="K20" s="219">
        <v>-145491.1</v>
      </c>
      <c r="L20" s="122">
        <f>+Actuals!I130</f>
        <v>0</v>
      </c>
      <c r="M20" s="123">
        <f>+Actuals!J130</f>
        <v>0</v>
      </c>
      <c r="N20" s="122">
        <f>+Actuals!K130</f>
        <v>0</v>
      </c>
      <c r="O20" s="123">
        <f>+Actuals!L130</f>
        <v>0</v>
      </c>
      <c r="P20" s="122">
        <f>+Actuals!M130</f>
        <v>0</v>
      </c>
      <c r="Q20" s="123">
        <f>+Actuals!N130</f>
        <v>0</v>
      </c>
      <c r="R20" s="122">
        <f>+Actuals!O130</f>
        <v>0</v>
      </c>
      <c r="S20" s="123">
        <f>+Actuals!P130</f>
        <v>0</v>
      </c>
      <c r="T20" s="122">
        <f>+Actuals!Q130</f>
        <v>0</v>
      </c>
      <c r="U20" s="123">
        <f>+Actuals!R130</f>
        <v>0</v>
      </c>
      <c r="V20" s="122">
        <f>+Actuals!S130</f>
        <v>0</v>
      </c>
      <c r="W20" s="123">
        <f>+Actuals!T130</f>
        <v>0</v>
      </c>
      <c r="X20" s="122">
        <f>+Actuals!U130</f>
        <v>0</v>
      </c>
      <c r="Y20" s="123">
        <f>+Actuals!V130</f>
        <v>0</v>
      </c>
      <c r="Z20" s="122">
        <f>+Actuals!W130</f>
        <v>0</v>
      </c>
      <c r="AA20" s="123">
        <f>+Actuals!X130</f>
        <v>0</v>
      </c>
      <c r="AB20" s="122">
        <f>+Actuals!Y130</f>
        <v>0</v>
      </c>
      <c r="AC20" s="123">
        <f>+Actuals!Z130</f>
        <v>0</v>
      </c>
      <c r="AD20" s="122">
        <f>+Actuals!AA130</f>
        <v>0</v>
      </c>
      <c r="AE20" s="123">
        <f>+Actuals!AB130</f>
        <v>0</v>
      </c>
      <c r="AF20" s="122">
        <f>+Actuals!AC130</f>
        <v>0</v>
      </c>
      <c r="AG20" s="123">
        <f>+Actuals!AD130</f>
        <v>0</v>
      </c>
      <c r="AH20" s="122">
        <f>+Actuals!AE130</f>
        <v>0</v>
      </c>
      <c r="AI20" s="123">
        <f>+Actuals!AF130</f>
        <v>0</v>
      </c>
      <c r="AJ20" s="122">
        <f>+Actuals!AG130</f>
        <v>0</v>
      </c>
      <c r="AK20" s="123">
        <f>+Actuals!AH130</f>
        <v>0</v>
      </c>
      <c r="AL20" s="122">
        <f>+Actuals!AI130</f>
        <v>0</v>
      </c>
      <c r="AM20" s="123">
        <f>+Actuals!AJ130</f>
        <v>0</v>
      </c>
      <c r="AN20" s="122">
        <f>+Actuals!AK130</f>
        <v>0</v>
      </c>
      <c r="AO20" s="123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4"/>
        <v>-42605098</v>
      </c>
      <c r="E21" s="38">
        <f t="shared" si="4"/>
        <v>-118731676</v>
      </c>
      <c r="F21" s="60">
        <f>'TIE-OUT'!AF21+RECLASS!AF21</f>
        <v>0</v>
      </c>
      <c r="G21" s="38">
        <f>'TIE-OUT'!AG21+RECLASS!AG21</f>
        <v>0</v>
      </c>
      <c r="H21" s="122">
        <f>+Actuals!E131</f>
        <v>-42590187</v>
      </c>
      <c r="I21" s="123">
        <f>+Actuals!F131</f>
        <v>-118697753</v>
      </c>
      <c r="J21" s="122">
        <f>+Actuals!G131</f>
        <v>31384365</v>
      </c>
      <c r="K21" s="123">
        <f>+Actuals!H131</f>
        <v>93729670</v>
      </c>
      <c r="L21" s="122">
        <f>+Actuals!I131</f>
        <v>0</v>
      </c>
      <c r="M21" s="123">
        <f>+Actuals!J131</f>
        <v>0</v>
      </c>
      <c r="N21" s="122">
        <f>+Actuals!K131</f>
        <v>0</v>
      </c>
      <c r="O21" s="123">
        <f>+Actuals!L131</f>
        <v>0</v>
      </c>
      <c r="P21" s="122">
        <f>+Actuals!M131</f>
        <v>-1116</v>
      </c>
      <c r="Q21" s="123">
        <f>+Actuals!N131</f>
        <v>-2578</v>
      </c>
      <c r="R21" s="122">
        <f>+Actuals!O131</f>
        <v>0</v>
      </c>
      <c r="S21" s="123">
        <f>+Actuals!P131</f>
        <v>0</v>
      </c>
      <c r="T21" s="122">
        <f>+Actuals!Q131</f>
        <v>-31398160</v>
      </c>
      <c r="U21" s="123">
        <f>+Actuals!R131</f>
        <v>-93761015</v>
      </c>
      <c r="V21" s="122">
        <f>+Actuals!S131</f>
        <v>0</v>
      </c>
      <c r="W21" s="123">
        <f>+Actuals!T131</f>
        <v>0</v>
      </c>
      <c r="X21" s="122">
        <f>+Actuals!U131</f>
        <v>0</v>
      </c>
      <c r="Y21" s="123">
        <f>+Actuals!V131</f>
        <v>0</v>
      </c>
      <c r="Z21" s="122">
        <f>+Actuals!W131</f>
        <v>0</v>
      </c>
      <c r="AA21" s="123">
        <f>+Actuals!X131</f>
        <v>0</v>
      </c>
      <c r="AB21" s="122">
        <f>+Actuals!Y131</f>
        <v>0</v>
      </c>
      <c r="AC21" s="123">
        <f>+Actuals!Z131</f>
        <v>0</v>
      </c>
      <c r="AD21" s="122">
        <f>+Actuals!AA131</f>
        <v>0</v>
      </c>
      <c r="AE21" s="123">
        <f>+Actuals!AB131</f>
        <v>0</v>
      </c>
      <c r="AF21" s="122">
        <f>+Actuals!AC131</f>
        <v>0</v>
      </c>
      <c r="AG21" s="123">
        <f>+Actuals!AD131</f>
        <v>0</v>
      </c>
      <c r="AH21" s="122">
        <f>+Actuals!AE131</f>
        <v>0</v>
      </c>
      <c r="AI21" s="123">
        <f>+Actuals!AF131</f>
        <v>0</v>
      </c>
      <c r="AJ21" s="122">
        <f>+Actuals!AG131</f>
        <v>0</v>
      </c>
      <c r="AK21" s="123">
        <f>+Actuals!AH131</f>
        <v>0</v>
      </c>
      <c r="AL21" s="122">
        <f>+Actuals!AI131</f>
        <v>0</v>
      </c>
      <c r="AM21" s="123">
        <f>+Actuals!AJ131</f>
        <v>0</v>
      </c>
      <c r="AN21" s="122">
        <f>+Actuals!AK131</f>
        <v>0</v>
      </c>
      <c r="AO21" s="123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4"/>
        <v>0</v>
      </c>
      <c r="E22" s="38">
        <f t="shared" si="4"/>
        <v>0</v>
      </c>
      <c r="F22" s="60">
        <f>'TIE-OUT'!AF22+RECLASS!AF22</f>
        <v>0</v>
      </c>
      <c r="G22" s="38">
        <f>'TIE-OUT'!AG22+RECLASS!AG22</f>
        <v>0</v>
      </c>
      <c r="H22" s="122">
        <f>+Actuals!E132</f>
        <v>0</v>
      </c>
      <c r="I22" s="123">
        <f>+Actuals!F132</f>
        <v>0</v>
      </c>
      <c r="J22" s="122">
        <f>+Actuals!G132</f>
        <v>0</v>
      </c>
      <c r="K22" s="123">
        <f>+Actuals!H132</f>
        <v>0</v>
      </c>
      <c r="L22" s="122">
        <f>+Actuals!I132</f>
        <v>0</v>
      </c>
      <c r="M22" s="123">
        <f>+Actuals!J132</f>
        <v>0</v>
      </c>
      <c r="N22" s="122">
        <f>+Actuals!K132</f>
        <v>0</v>
      </c>
      <c r="O22" s="123">
        <f>+Actuals!L132</f>
        <v>0</v>
      </c>
      <c r="P22" s="122">
        <f>+Actuals!M132</f>
        <v>0</v>
      </c>
      <c r="Q22" s="123">
        <f>+Actuals!N132</f>
        <v>0</v>
      </c>
      <c r="R22" s="122">
        <f>+Actuals!O132</f>
        <v>0</v>
      </c>
      <c r="S22" s="123">
        <f>+Actuals!P132</f>
        <v>0</v>
      </c>
      <c r="T22" s="122">
        <f>+Actuals!Q132</f>
        <v>0</v>
      </c>
      <c r="U22" s="123">
        <f>+Actuals!R132</f>
        <v>0</v>
      </c>
      <c r="V22" s="122">
        <f>+Actuals!S132</f>
        <v>0</v>
      </c>
      <c r="W22" s="123">
        <f>+Actuals!T132</f>
        <v>0</v>
      </c>
      <c r="X22" s="122">
        <f>+Actuals!U132</f>
        <v>0</v>
      </c>
      <c r="Y22" s="123">
        <f>+Actuals!V132</f>
        <v>0</v>
      </c>
      <c r="Z22" s="122">
        <f>+Actuals!W132</f>
        <v>0</v>
      </c>
      <c r="AA22" s="123">
        <f>+Actuals!X132</f>
        <v>0</v>
      </c>
      <c r="AB22" s="122">
        <f>+Actuals!Y132</f>
        <v>0</v>
      </c>
      <c r="AC22" s="123">
        <f>+Actuals!Z132</f>
        <v>0</v>
      </c>
      <c r="AD22" s="122">
        <f>+Actuals!AA132</f>
        <v>0</v>
      </c>
      <c r="AE22" s="123">
        <f>+Actuals!AB132</f>
        <v>0</v>
      </c>
      <c r="AF22" s="122">
        <f>+Actuals!AC132</f>
        <v>0</v>
      </c>
      <c r="AG22" s="123">
        <f>+Actuals!AD132</f>
        <v>0</v>
      </c>
      <c r="AH22" s="122">
        <f>+Actuals!AE132</f>
        <v>0</v>
      </c>
      <c r="AI22" s="123">
        <f>+Actuals!AF132</f>
        <v>0</v>
      </c>
      <c r="AJ22" s="122">
        <f>+Actuals!AG132</f>
        <v>0</v>
      </c>
      <c r="AK22" s="123">
        <f>+Actuals!AH132</f>
        <v>0</v>
      </c>
      <c r="AL22" s="122">
        <f>+Actuals!AI132</f>
        <v>0</v>
      </c>
      <c r="AM22" s="123">
        <f>+Actuals!AJ132</f>
        <v>0</v>
      </c>
      <c r="AN22" s="122">
        <f>+Actuals!AK132</f>
        <v>0</v>
      </c>
      <c r="AO22" s="123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4"/>
        <v>772833</v>
      </c>
      <c r="E23" s="38">
        <f t="shared" si="4"/>
        <v>0</v>
      </c>
      <c r="F23" s="81">
        <f>'TIE-OUT'!AF23+RECLASS!AF23</f>
        <v>0</v>
      </c>
      <c r="G23" s="82">
        <f>'TIE-OUT'!AG23+RECLASS!AG23</f>
        <v>0</v>
      </c>
      <c r="H23" s="122">
        <f>+Actuals!E133</f>
        <v>0</v>
      </c>
      <c r="I23" s="123">
        <f>+Actuals!F133</f>
        <v>0</v>
      </c>
      <c r="J23" s="122">
        <f>+Actuals!G133</f>
        <v>0</v>
      </c>
      <c r="K23" s="123">
        <f>+Actuals!H133</f>
        <v>0</v>
      </c>
      <c r="L23" s="122">
        <f>+Actuals!I133</f>
        <v>772833</v>
      </c>
      <c r="M23" s="123">
        <f>+Actuals!J133</f>
        <v>0</v>
      </c>
      <c r="N23" s="122">
        <f>+Actuals!K133</f>
        <v>0</v>
      </c>
      <c r="O23" s="123">
        <f>+Actuals!L133</f>
        <v>0</v>
      </c>
      <c r="P23" s="122">
        <f>+Actuals!M133</f>
        <v>0</v>
      </c>
      <c r="Q23" s="123">
        <f>+Actuals!N133</f>
        <v>0</v>
      </c>
      <c r="R23" s="122">
        <f>+Actuals!O133</f>
        <v>0</v>
      </c>
      <c r="S23" s="123">
        <f>+Actuals!P133</f>
        <v>0</v>
      </c>
      <c r="T23" s="122">
        <f>+Actuals!Q133</f>
        <v>0</v>
      </c>
      <c r="U23" s="123">
        <f>+Actuals!R133</f>
        <v>0</v>
      </c>
      <c r="V23" s="122">
        <f>+Actuals!S133</f>
        <v>0</v>
      </c>
      <c r="W23" s="123">
        <f>+Actuals!T133</f>
        <v>0</v>
      </c>
      <c r="X23" s="122">
        <f>+Actuals!U133</f>
        <v>0</v>
      </c>
      <c r="Y23" s="123">
        <f>+Actuals!V133</f>
        <v>0</v>
      </c>
      <c r="Z23" s="122">
        <f>+Actuals!W133</f>
        <v>0</v>
      </c>
      <c r="AA23" s="123">
        <f>+Actuals!X133</f>
        <v>0</v>
      </c>
      <c r="AB23" s="122">
        <f>+Actuals!Y133</f>
        <v>0</v>
      </c>
      <c r="AC23" s="123">
        <f>+Actuals!Z133</f>
        <v>0</v>
      </c>
      <c r="AD23" s="122">
        <f>+Actuals!AA133</f>
        <v>0</v>
      </c>
      <c r="AE23" s="123">
        <f>+Actuals!AB133</f>
        <v>0</v>
      </c>
      <c r="AF23" s="122">
        <f>+Actuals!AC133</f>
        <v>0</v>
      </c>
      <c r="AG23" s="123">
        <f>+Actuals!AD133</f>
        <v>0</v>
      </c>
      <c r="AH23" s="122">
        <f>+Actuals!AE133</f>
        <v>0</v>
      </c>
      <c r="AI23" s="123">
        <f>+Actuals!AF133</f>
        <v>0</v>
      </c>
      <c r="AJ23" s="122">
        <f>+Actuals!AG133</f>
        <v>0</v>
      </c>
      <c r="AK23" s="123">
        <f>+Actuals!AH133</f>
        <v>0</v>
      </c>
      <c r="AL23" s="122">
        <f>+Actuals!AI133</f>
        <v>0</v>
      </c>
      <c r="AM23" s="123">
        <f>+Actuals!AJ133</f>
        <v>0</v>
      </c>
      <c r="AN23" s="122">
        <f>+Actuals!AK133</f>
        <v>0</v>
      </c>
      <c r="AO23" s="123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5">SUM(D19:D23)</f>
        <v>-49531075</v>
      </c>
      <c r="E24" s="39">
        <f t="shared" si="5"/>
        <v>-138260782.46000001</v>
      </c>
      <c r="F24" s="61">
        <f t="shared" si="5"/>
        <v>0</v>
      </c>
      <c r="G24" s="39">
        <f t="shared" si="5"/>
        <v>-125860</v>
      </c>
      <c r="H24" s="61">
        <f t="shared" si="5"/>
        <v>-50299145</v>
      </c>
      <c r="I24" s="39">
        <f t="shared" si="5"/>
        <v>-137243962.02000001</v>
      </c>
      <c r="J24" s="61">
        <f t="shared" ref="J24:AO24" si="6">SUM(J19:J23)</f>
        <v>31394435</v>
      </c>
      <c r="K24" s="39">
        <f t="shared" si="6"/>
        <v>92872458.060000002</v>
      </c>
      <c r="L24" s="61">
        <f t="shared" si="6"/>
        <v>772952</v>
      </c>
      <c r="M24" s="39">
        <f t="shared" si="6"/>
        <v>266.75</v>
      </c>
      <c r="N24" s="61">
        <f t="shared" ref="N24:S24" si="7">SUM(N19:N23)</f>
        <v>0</v>
      </c>
      <c r="O24" s="39">
        <f t="shared" si="7"/>
        <v>0</v>
      </c>
      <c r="P24" s="61">
        <f t="shared" si="7"/>
        <v>-1157</v>
      </c>
      <c r="Q24" s="39">
        <f t="shared" si="7"/>
        <v>-2670.25</v>
      </c>
      <c r="R24" s="61">
        <f t="shared" si="7"/>
        <v>0</v>
      </c>
      <c r="S24" s="39">
        <f t="shared" si="7"/>
        <v>0</v>
      </c>
      <c r="T24" s="61">
        <f t="shared" si="6"/>
        <v>-31398160</v>
      </c>
      <c r="U24" s="39">
        <f t="shared" si="6"/>
        <v>-93761015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si="6"/>
        <v>0</v>
      </c>
      <c r="AG24" s="39">
        <f t="shared" si="6"/>
        <v>0</v>
      </c>
      <c r="AH24" s="61">
        <f t="shared" si="6"/>
        <v>0</v>
      </c>
      <c r="AI24" s="39">
        <f t="shared" si="6"/>
        <v>0</v>
      </c>
      <c r="AJ24" s="61">
        <f t="shared" si="6"/>
        <v>0</v>
      </c>
      <c r="AK24" s="39">
        <f t="shared" si="6"/>
        <v>0</v>
      </c>
      <c r="AL24" s="61">
        <f t="shared" si="6"/>
        <v>0</v>
      </c>
      <c r="AM24" s="39">
        <f t="shared" si="6"/>
        <v>0</v>
      </c>
      <c r="AN24" s="61">
        <f t="shared" si="6"/>
        <v>0</v>
      </c>
      <c r="AO24" s="39">
        <f t="shared" si="6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2">
        <f>+Actuals!E134</f>
        <v>0</v>
      </c>
      <c r="I27" s="123">
        <f>+Actuals!F134</f>
        <v>0</v>
      </c>
      <c r="J27" s="122">
        <f>+Actuals!G134</f>
        <v>0</v>
      </c>
      <c r="K27" s="123">
        <f>+Actuals!H134</f>
        <v>0</v>
      </c>
      <c r="L27" s="122">
        <f>+Actuals!I134</f>
        <v>0</v>
      </c>
      <c r="M27" s="123">
        <f>+Actuals!J134</f>
        <v>0</v>
      </c>
      <c r="N27" s="122">
        <f>+Actuals!K134</f>
        <v>0</v>
      </c>
      <c r="O27" s="123">
        <f>+Actuals!L134</f>
        <v>0</v>
      </c>
      <c r="P27" s="122">
        <f>+Actuals!M134</f>
        <v>0</v>
      </c>
      <c r="Q27" s="123">
        <f>+Actuals!N134</f>
        <v>0</v>
      </c>
      <c r="R27" s="122">
        <f>+Actuals!O134</f>
        <v>0</v>
      </c>
      <c r="S27" s="123">
        <f>+Actuals!P134</f>
        <v>0</v>
      </c>
      <c r="T27" s="122">
        <f>+Actuals!Q134</f>
        <v>0</v>
      </c>
      <c r="U27" s="123">
        <f>+Actuals!R134</f>
        <v>0</v>
      </c>
      <c r="V27" s="122">
        <f>+Actuals!S134</f>
        <v>0</v>
      </c>
      <c r="W27" s="123">
        <f>+Actuals!T134</f>
        <v>0</v>
      </c>
      <c r="X27" s="122">
        <f>+Actuals!U134</f>
        <v>0</v>
      </c>
      <c r="Y27" s="123">
        <f>+Actuals!V134</f>
        <v>0</v>
      </c>
      <c r="Z27" s="122">
        <f>+Actuals!W134</f>
        <v>0</v>
      </c>
      <c r="AA27" s="123">
        <f>+Actuals!X134</f>
        <v>0</v>
      </c>
      <c r="AB27" s="122">
        <f>+Actuals!Y134</f>
        <v>0</v>
      </c>
      <c r="AC27" s="123">
        <f>+Actuals!Z134</f>
        <v>0</v>
      </c>
      <c r="AD27" s="122">
        <f>+Actuals!AA134</f>
        <v>0</v>
      </c>
      <c r="AE27" s="123">
        <f>+Actuals!AB134</f>
        <v>0</v>
      </c>
      <c r="AF27" s="122">
        <f>+Actuals!AC134</f>
        <v>0</v>
      </c>
      <c r="AG27" s="123">
        <f>+Actuals!AD134</f>
        <v>0</v>
      </c>
      <c r="AH27" s="122">
        <f>+Actuals!AE134</f>
        <v>0</v>
      </c>
      <c r="AI27" s="123">
        <f>+Actuals!AF134</f>
        <v>0</v>
      </c>
      <c r="AJ27" s="122">
        <f>+Actuals!AG134</f>
        <v>0</v>
      </c>
      <c r="AK27" s="123">
        <f>+Actuals!AH134</f>
        <v>0</v>
      </c>
      <c r="AL27" s="122">
        <f>+Actuals!AI134</f>
        <v>0</v>
      </c>
      <c r="AM27" s="123">
        <f>+Actuals!AJ134</f>
        <v>0</v>
      </c>
      <c r="AN27" s="122">
        <f>+Actuals!AK134</f>
        <v>0</v>
      </c>
      <c r="AO27" s="123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2">
        <f>+Actuals!E135</f>
        <v>0</v>
      </c>
      <c r="I28" s="123">
        <f>+Actuals!F135</f>
        <v>0</v>
      </c>
      <c r="J28" s="122">
        <f>+Actuals!G135</f>
        <v>0</v>
      </c>
      <c r="K28" s="123">
        <f>+Actuals!H135</f>
        <v>0</v>
      </c>
      <c r="L28" s="122">
        <f>+Actuals!I135</f>
        <v>0</v>
      </c>
      <c r="M28" s="123">
        <f>+Actuals!J135</f>
        <v>0</v>
      </c>
      <c r="N28" s="122">
        <f>+Actuals!K135</f>
        <v>0</v>
      </c>
      <c r="O28" s="123">
        <f>+Actuals!L135</f>
        <v>0</v>
      </c>
      <c r="P28" s="122">
        <f>+Actuals!M135</f>
        <v>0</v>
      </c>
      <c r="Q28" s="123">
        <f>+Actuals!N135</f>
        <v>0</v>
      </c>
      <c r="R28" s="122">
        <f>+Actuals!O135</f>
        <v>0</v>
      </c>
      <c r="S28" s="123">
        <f>+Actuals!P135</f>
        <v>0</v>
      </c>
      <c r="T28" s="122">
        <f>+Actuals!Q135</f>
        <v>0</v>
      </c>
      <c r="U28" s="123">
        <f>+Actuals!R135</f>
        <v>0</v>
      </c>
      <c r="V28" s="122">
        <f>+Actuals!S135</f>
        <v>0</v>
      </c>
      <c r="W28" s="123">
        <f>+Actuals!T135</f>
        <v>0</v>
      </c>
      <c r="X28" s="122">
        <f>+Actuals!U135</f>
        <v>0</v>
      </c>
      <c r="Y28" s="123">
        <f>+Actuals!V135</f>
        <v>0</v>
      </c>
      <c r="Z28" s="122">
        <f>+Actuals!W135</f>
        <v>0</v>
      </c>
      <c r="AA28" s="123">
        <f>+Actuals!X135</f>
        <v>0</v>
      </c>
      <c r="AB28" s="122">
        <f>+Actuals!Y135</f>
        <v>0</v>
      </c>
      <c r="AC28" s="123">
        <f>+Actuals!Z135</f>
        <v>0</v>
      </c>
      <c r="AD28" s="122">
        <f>+Actuals!AA135</f>
        <v>0</v>
      </c>
      <c r="AE28" s="123">
        <f>+Actuals!AB135</f>
        <v>0</v>
      </c>
      <c r="AF28" s="122">
        <f>+Actuals!AC135</f>
        <v>0</v>
      </c>
      <c r="AG28" s="123">
        <f>+Actuals!AD135</f>
        <v>0</v>
      </c>
      <c r="AH28" s="122">
        <f>+Actuals!AE135</f>
        <v>0</v>
      </c>
      <c r="AI28" s="123">
        <f>+Actuals!AF135</f>
        <v>0</v>
      </c>
      <c r="AJ28" s="122">
        <f>+Actuals!AG135</f>
        <v>0</v>
      </c>
      <c r="AK28" s="123">
        <f>+Actuals!AH135</f>
        <v>0</v>
      </c>
      <c r="AL28" s="122">
        <f>+Actuals!AI135</f>
        <v>0</v>
      </c>
      <c r="AM28" s="123">
        <f>+Actuals!AJ135</f>
        <v>0</v>
      </c>
      <c r="AN28" s="122">
        <f>+Actuals!AK135</f>
        <v>0</v>
      </c>
      <c r="AO28" s="123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ref="J29:AO29" si="9">SUM(J27:J28)</f>
        <v>0</v>
      </c>
      <c r="K29" s="39">
        <f t="shared" si="9"/>
        <v>0</v>
      </c>
      <c r="L29" s="61">
        <f t="shared" si="9"/>
        <v>0</v>
      </c>
      <c r="M29" s="39">
        <f t="shared" si="9"/>
        <v>0</v>
      </c>
      <c r="N29" s="61">
        <f t="shared" ref="N29:S29" si="10">SUM(N27:N28)</f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9"/>
        <v>0</v>
      </c>
      <c r="U29" s="39">
        <f t="shared" si="9"/>
        <v>0</v>
      </c>
      <c r="V29" s="61">
        <f t="shared" si="9"/>
        <v>0</v>
      </c>
      <c r="W29" s="39">
        <f t="shared" si="9"/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si="9"/>
        <v>0</v>
      </c>
      <c r="AC29" s="39">
        <f t="shared" si="9"/>
        <v>0</v>
      </c>
      <c r="AD29" s="61">
        <f t="shared" si="9"/>
        <v>0</v>
      </c>
      <c r="AE29" s="39">
        <f t="shared" si="9"/>
        <v>0</v>
      </c>
      <c r="AF29" s="61">
        <f t="shared" si="9"/>
        <v>0</v>
      </c>
      <c r="AG29" s="39">
        <f t="shared" si="9"/>
        <v>0</v>
      </c>
      <c r="AH29" s="61">
        <f t="shared" si="9"/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si="9"/>
        <v>0</v>
      </c>
      <c r="AO29" s="39">
        <f t="shared" si="9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2"/>
      <c r="I31" s="123"/>
      <c r="J31" s="122"/>
      <c r="K31" s="123"/>
      <c r="L31" s="122"/>
      <c r="M31" s="123"/>
      <c r="N31" s="122"/>
      <c r="O31" s="123"/>
      <c r="P31" s="122"/>
      <c r="Q31" s="123"/>
      <c r="R31" s="122"/>
      <c r="S31" s="123"/>
      <c r="T31" s="122"/>
      <c r="U31" s="123"/>
      <c r="V31" s="122"/>
      <c r="W31" s="123"/>
      <c r="X31" s="122"/>
      <c r="Y31" s="123"/>
      <c r="Z31" s="122"/>
      <c r="AA31" s="123"/>
      <c r="AB31" s="122"/>
      <c r="AC31" s="123"/>
      <c r="AD31" s="122"/>
      <c r="AE31" s="123"/>
      <c r="AF31" s="122"/>
      <c r="AG31" s="123"/>
      <c r="AH31" s="122"/>
      <c r="AI31" s="123"/>
      <c r="AJ31" s="122"/>
      <c r="AK31" s="123"/>
      <c r="AL31" s="122"/>
      <c r="AM31" s="123"/>
      <c r="AN31" s="122"/>
      <c r="AO31" s="123"/>
    </row>
    <row r="32" spans="1:41" x14ac:dyDescent="0.25">
      <c r="A32" s="9">
        <v>13</v>
      </c>
      <c r="B32" s="7"/>
      <c r="C32" s="18" t="s">
        <v>39</v>
      </c>
      <c r="D32" s="60">
        <f t="shared" ref="D32:E35" si="11">SUM(F32,H32,J32,L32,N32,P32,R32,T32,V32,X32,Z32,AB32,AD32)</f>
        <v>-556681</v>
      </c>
      <c r="E32" s="38">
        <f t="shared" si="11"/>
        <v>0</v>
      </c>
      <c r="F32" s="64">
        <f>'TIE-OUT'!AF32+RECLASS!AF32</f>
        <v>0</v>
      </c>
      <c r="G32" s="68">
        <f>'TIE-OUT'!AG32+RECLASS!AG32</f>
        <v>0</v>
      </c>
      <c r="H32" s="122">
        <f>+Actuals!E136</f>
        <v>0</v>
      </c>
      <c r="I32" s="123">
        <f>+Actuals!F136</f>
        <v>0</v>
      </c>
      <c r="J32" s="122">
        <f>+Actuals!G136</f>
        <v>0</v>
      </c>
      <c r="K32" s="123">
        <f>+Actuals!H136</f>
        <v>0</v>
      </c>
      <c r="L32" s="122">
        <f>+Actuals!I136</f>
        <v>0</v>
      </c>
      <c r="M32" s="123">
        <f>+Actuals!J136</f>
        <v>0</v>
      </c>
      <c r="N32" s="122">
        <f>+Actuals!K136</f>
        <v>0</v>
      </c>
      <c r="O32" s="123">
        <f>+Actuals!L136</f>
        <v>0</v>
      </c>
      <c r="P32" s="122">
        <f>+Actuals!M136</f>
        <v>0</v>
      </c>
      <c r="Q32" s="123">
        <f>+Actuals!N136</f>
        <v>0</v>
      </c>
      <c r="R32" s="122">
        <f>+Actuals!O136</f>
        <v>0</v>
      </c>
      <c r="S32" s="123">
        <f>+Actuals!P136</f>
        <v>0</v>
      </c>
      <c r="T32" s="122">
        <f>+Actuals!Q136</f>
        <v>0</v>
      </c>
      <c r="U32" s="123">
        <f>+Actuals!R136</f>
        <v>0</v>
      </c>
      <c r="V32" s="122">
        <v>-556681</v>
      </c>
      <c r="W32" s="123">
        <f>+Actuals!T136</f>
        <v>0</v>
      </c>
      <c r="X32" s="122">
        <f>+Actuals!U136</f>
        <v>0</v>
      </c>
      <c r="Y32" s="123">
        <f>+Actuals!V136</f>
        <v>0</v>
      </c>
      <c r="Z32" s="122">
        <f>+Actuals!W136</f>
        <v>0</v>
      </c>
      <c r="AA32" s="123">
        <f>+Actuals!X136</f>
        <v>0</v>
      </c>
      <c r="AB32" s="122">
        <f>+Actuals!Y136</f>
        <v>0</v>
      </c>
      <c r="AC32" s="123">
        <f>+Actuals!Z136</f>
        <v>0</v>
      </c>
      <c r="AD32" s="122">
        <f>+Actuals!AA136</f>
        <v>0</v>
      </c>
      <c r="AE32" s="123">
        <f>+Actuals!AB136</f>
        <v>0</v>
      </c>
      <c r="AF32" s="122">
        <f>+Actuals!AC136</f>
        <v>0</v>
      </c>
      <c r="AG32" s="123">
        <f>+Actuals!AD136</f>
        <v>0</v>
      </c>
      <c r="AH32" s="122">
        <f>+Actuals!AE136</f>
        <v>0</v>
      </c>
      <c r="AI32" s="123">
        <f>+Actuals!AF136</f>
        <v>0</v>
      </c>
      <c r="AJ32" s="122">
        <f>+Actuals!AG136</f>
        <v>0</v>
      </c>
      <c r="AK32" s="123">
        <f>+Actuals!AH136</f>
        <v>0</v>
      </c>
      <c r="AL32" s="122">
        <f>+Actuals!AI136</f>
        <v>0</v>
      </c>
      <c r="AM32" s="123">
        <f>+Actuals!AJ136</f>
        <v>0</v>
      </c>
      <c r="AN32" s="122">
        <f>+Actuals!AK136</f>
        <v>0</v>
      </c>
      <c r="AO32" s="123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11"/>
        <v>0</v>
      </c>
      <c r="E33" s="38">
        <f t="shared" si="11"/>
        <v>0</v>
      </c>
      <c r="F33" s="60">
        <f>'TIE-OUT'!AF33+RECLASS!AF33</f>
        <v>0</v>
      </c>
      <c r="G33" s="38">
        <f>'TIE-OUT'!AG33+RECLASS!AG33</f>
        <v>0</v>
      </c>
      <c r="H33" s="122">
        <f>+Actuals!E137</f>
        <v>0</v>
      </c>
      <c r="I33" s="123">
        <f>+Actuals!F137</f>
        <v>0</v>
      </c>
      <c r="J33" s="122">
        <f>+Actuals!G137</f>
        <v>0</v>
      </c>
      <c r="K33" s="123">
        <f>+Actuals!H137</f>
        <v>0</v>
      </c>
      <c r="L33" s="122">
        <f>+Actuals!I137</f>
        <v>0</v>
      </c>
      <c r="M33" s="123">
        <f>+Actuals!J137</f>
        <v>0</v>
      </c>
      <c r="N33" s="122">
        <f>+Actuals!K137</f>
        <v>0</v>
      </c>
      <c r="O33" s="123">
        <f>+Actuals!L137</f>
        <v>0</v>
      </c>
      <c r="P33" s="122">
        <f>+Actuals!M137</f>
        <v>0</v>
      </c>
      <c r="Q33" s="123">
        <f>+Actuals!N137</f>
        <v>0</v>
      </c>
      <c r="R33" s="122">
        <f>+Actuals!O137</f>
        <v>0</v>
      </c>
      <c r="S33" s="123">
        <f>+Actuals!P137</f>
        <v>0</v>
      </c>
      <c r="T33" s="122">
        <f>+Actuals!Q137</f>
        <v>0</v>
      </c>
      <c r="U33" s="123">
        <f>+Actuals!R137</f>
        <v>0</v>
      </c>
      <c r="V33" s="122">
        <f>+Actuals!S137</f>
        <v>0</v>
      </c>
      <c r="W33" s="123">
        <f>+Actuals!T137</f>
        <v>0</v>
      </c>
      <c r="X33" s="122">
        <f>+Actuals!U137</f>
        <v>0</v>
      </c>
      <c r="Y33" s="123">
        <f>+Actuals!V137</f>
        <v>0</v>
      </c>
      <c r="Z33" s="122">
        <f>+Actuals!W137</f>
        <v>0</v>
      </c>
      <c r="AA33" s="123">
        <f>+Actuals!X137</f>
        <v>0</v>
      </c>
      <c r="AB33" s="122">
        <f>+Actuals!Y137</f>
        <v>0</v>
      </c>
      <c r="AC33" s="123">
        <f>+Actuals!Z137</f>
        <v>0</v>
      </c>
      <c r="AD33" s="122">
        <f>+Actuals!AA137</f>
        <v>0</v>
      </c>
      <c r="AE33" s="123">
        <f>+Actuals!AB137</f>
        <v>0</v>
      </c>
      <c r="AF33" s="122">
        <f>+Actuals!AC137</f>
        <v>0</v>
      </c>
      <c r="AG33" s="123">
        <f>+Actuals!AD137</f>
        <v>0</v>
      </c>
      <c r="AH33" s="122">
        <f>+Actuals!AE137</f>
        <v>0</v>
      </c>
      <c r="AI33" s="123">
        <f>+Actuals!AF137</f>
        <v>0</v>
      </c>
      <c r="AJ33" s="122">
        <f>+Actuals!AG137</f>
        <v>0</v>
      </c>
      <c r="AK33" s="123">
        <f>+Actuals!AH137</f>
        <v>0</v>
      </c>
      <c r="AL33" s="122">
        <f>+Actuals!AI137</f>
        <v>0</v>
      </c>
      <c r="AM33" s="123">
        <f>+Actuals!AJ137</f>
        <v>0</v>
      </c>
      <c r="AN33" s="122">
        <f>+Actuals!AK137</f>
        <v>0</v>
      </c>
      <c r="AO33" s="123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11"/>
        <v>0</v>
      </c>
      <c r="E34" s="38">
        <f t="shared" si="11"/>
        <v>0</v>
      </c>
      <c r="F34" s="60">
        <f>'TIE-OUT'!AF34+RECLASS!AF34</f>
        <v>0</v>
      </c>
      <c r="G34" s="38">
        <f>'TIE-OUT'!AG34+RECLASS!AG34</f>
        <v>0</v>
      </c>
      <c r="H34" s="122">
        <f>+Actuals!E138</f>
        <v>0</v>
      </c>
      <c r="I34" s="123">
        <f>+Actuals!F138</f>
        <v>0</v>
      </c>
      <c r="J34" s="122">
        <f>+Actuals!G138</f>
        <v>0</v>
      </c>
      <c r="K34" s="123">
        <f>+Actuals!H138</f>
        <v>0</v>
      </c>
      <c r="L34" s="122">
        <f>+Actuals!I138</f>
        <v>0</v>
      </c>
      <c r="M34" s="123">
        <f>+Actuals!J138</f>
        <v>0</v>
      </c>
      <c r="N34" s="122">
        <f>+Actuals!K138</f>
        <v>0</v>
      </c>
      <c r="O34" s="123">
        <f>+Actuals!L138</f>
        <v>0</v>
      </c>
      <c r="P34" s="122">
        <f>+Actuals!M138</f>
        <v>0</v>
      </c>
      <c r="Q34" s="123">
        <f>+Actuals!N138</f>
        <v>0</v>
      </c>
      <c r="R34" s="122">
        <f>+Actuals!O138</f>
        <v>0</v>
      </c>
      <c r="S34" s="123">
        <f>+Actuals!P138</f>
        <v>0</v>
      </c>
      <c r="T34" s="122">
        <f>+Actuals!Q138</f>
        <v>0</v>
      </c>
      <c r="U34" s="123">
        <f>+Actuals!R138</f>
        <v>0</v>
      </c>
      <c r="V34" s="122">
        <f>+Actuals!S138</f>
        <v>0</v>
      </c>
      <c r="W34" s="123">
        <f>+Actuals!T138</f>
        <v>0</v>
      </c>
      <c r="X34" s="122">
        <f>+Actuals!U138</f>
        <v>0</v>
      </c>
      <c r="Y34" s="123">
        <f>+Actuals!V138</f>
        <v>0</v>
      </c>
      <c r="Z34" s="122">
        <f>+Actuals!W138</f>
        <v>0</v>
      </c>
      <c r="AA34" s="123">
        <f>+Actuals!X138</f>
        <v>0</v>
      </c>
      <c r="AB34" s="122">
        <f>+Actuals!Y138</f>
        <v>0</v>
      </c>
      <c r="AC34" s="123">
        <f>+Actuals!Z138</f>
        <v>0</v>
      </c>
      <c r="AD34" s="122">
        <f>+Actuals!AA138</f>
        <v>0</v>
      </c>
      <c r="AE34" s="123">
        <f>+Actuals!AB138</f>
        <v>0</v>
      </c>
      <c r="AF34" s="122">
        <f>+Actuals!AC138</f>
        <v>0</v>
      </c>
      <c r="AG34" s="123">
        <f>+Actuals!AD138</f>
        <v>0</v>
      </c>
      <c r="AH34" s="122">
        <f>+Actuals!AE138</f>
        <v>0</v>
      </c>
      <c r="AI34" s="123">
        <f>+Actuals!AF138</f>
        <v>0</v>
      </c>
      <c r="AJ34" s="122">
        <f>+Actuals!AG138</f>
        <v>0</v>
      </c>
      <c r="AK34" s="123">
        <f>+Actuals!AH138</f>
        <v>0</v>
      </c>
      <c r="AL34" s="122">
        <f>+Actuals!AI138</f>
        <v>0</v>
      </c>
      <c r="AM34" s="123">
        <f>+Actuals!AJ138</f>
        <v>0</v>
      </c>
      <c r="AN34" s="122">
        <f>+Actuals!AK138</f>
        <v>0</v>
      </c>
      <c r="AO34" s="123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11"/>
        <v>0</v>
      </c>
      <c r="E35" s="38">
        <f t="shared" si="11"/>
        <v>-1635870.01</v>
      </c>
      <c r="F35" s="81">
        <f>'TIE-OUT'!AF35+RECLASS!AF35</f>
        <v>0</v>
      </c>
      <c r="G35" s="82">
        <f>'TIE-OUT'!AG35+RECLASS!AG35</f>
        <v>-1635870</v>
      </c>
      <c r="H35" s="122">
        <f>+Actuals!E139</f>
        <v>0</v>
      </c>
      <c r="I35" s="123">
        <f>+Actuals!F139</f>
        <v>0</v>
      </c>
      <c r="J35" s="122">
        <f>+Actuals!G139</f>
        <v>0</v>
      </c>
      <c r="K35" s="123">
        <f>+Actuals!H139</f>
        <v>0</v>
      </c>
      <c r="L35" s="122">
        <f>+Actuals!I139</f>
        <v>0</v>
      </c>
      <c r="M35" s="123">
        <f>+Actuals!J139</f>
        <v>0</v>
      </c>
      <c r="N35" s="122">
        <f>+Actuals!K139</f>
        <v>0</v>
      </c>
      <c r="O35" s="123">
        <f>+Actuals!L139</f>
        <v>0</v>
      </c>
      <c r="P35" s="122">
        <f>+Actuals!M139</f>
        <v>0</v>
      </c>
      <c r="Q35" s="123">
        <f>+Actuals!N139</f>
        <v>0</v>
      </c>
      <c r="R35" s="122">
        <f>+Actuals!O139</f>
        <v>0</v>
      </c>
      <c r="S35" s="123">
        <f>+Actuals!P139</f>
        <v>0</v>
      </c>
      <c r="T35" s="122">
        <f>+Actuals!Q139</f>
        <v>0</v>
      </c>
      <c r="U35" s="123">
        <f>+Actuals!R139</f>
        <v>-0.01</v>
      </c>
      <c r="V35" s="122">
        <f>+Actuals!S139</f>
        <v>0</v>
      </c>
      <c r="W35" s="123">
        <f>+Actuals!T139</f>
        <v>0</v>
      </c>
      <c r="X35" s="122">
        <f>+Actuals!U139</f>
        <v>0</v>
      </c>
      <c r="Y35" s="123">
        <f>+Actuals!V139</f>
        <v>0</v>
      </c>
      <c r="Z35" s="122">
        <f>+Actuals!W139</f>
        <v>0</v>
      </c>
      <c r="AA35" s="123">
        <f>+Actuals!X139</f>
        <v>0</v>
      </c>
      <c r="AB35" s="122">
        <f>+Actuals!Y139</f>
        <v>0</v>
      </c>
      <c r="AC35" s="123">
        <f>+Actuals!Z139</f>
        <v>0</v>
      </c>
      <c r="AD35" s="122">
        <f>+Actuals!AA139</f>
        <v>0</v>
      </c>
      <c r="AE35" s="123">
        <f>+Actuals!AB139</f>
        <v>0</v>
      </c>
      <c r="AF35" s="122">
        <f>+Actuals!AC139</f>
        <v>0</v>
      </c>
      <c r="AG35" s="123">
        <f>+Actuals!AD139</f>
        <v>0</v>
      </c>
      <c r="AH35" s="122">
        <f>+Actuals!AE139</f>
        <v>0</v>
      </c>
      <c r="AI35" s="123">
        <f>+Actuals!AF139</f>
        <v>0</v>
      </c>
      <c r="AJ35" s="122">
        <f>+Actuals!AG139</f>
        <v>0</v>
      </c>
      <c r="AK35" s="123">
        <f>+Actuals!AH139</f>
        <v>0</v>
      </c>
      <c r="AL35" s="122">
        <f>+Actuals!AI139</f>
        <v>0</v>
      </c>
      <c r="AM35" s="123">
        <f>+Actuals!AJ139</f>
        <v>0</v>
      </c>
      <c r="AN35" s="122">
        <f>+Actuals!AK139</f>
        <v>0</v>
      </c>
      <c r="AO35" s="123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12">SUM(D32:D35)</f>
        <v>-556681</v>
      </c>
      <c r="E36" s="39">
        <f t="shared" si="12"/>
        <v>-1635870.01</v>
      </c>
      <c r="F36" s="61">
        <f t="shared" si="12"/>
        <v>0</v>
      </c>
      <c r="G36" s="39">
        <f t="shared" si="12"/>
        <v>-1635870</v>
      </c>
      <c r="H36" s="61">
        <f t="shared" si="12"/>
        <v>0</v>
      </c>
      <c r="I36" s="39">
        <f t="shared" si="12"/>
        <v>0</v>
      </c>
      <c r="J36" s="61">
        <f t="shared" ref="J36:AO36" si="13">SUM(J32:J35)</f>
        <v>0</v>
      </c>
      <c r="K36" s="39">
        <f t="shared" si="13"/>
        <v>0</v>
      </c>
      <c r="L36" s="61">
        <f t="shared" si="13"/>
        <v>0</v>
      </c>
      <c r="M36" s="39">
        <f t="shared" si="13"/>
        <v>0</v>
      </c>
      <c r="N36" s="61">
        <f t="shared" ref="N36:S36" si="14">SUM(N32:N35)</f>
        <v>0</v>
      </c>
      <c r="O36" s="39">
        <f t="shared" si="14"/>
        <v>0</v>
      </c>
      <c r="P36" s="61">
        <f t="shared" si="14"/>
        <v>0</v>
      </c>
      <c r="Q36" s="39">
        <f t="shared" si="14"/>
        <v>0</v>
      </c>
      <c r="R36" s="61">
        <f t="shared" si="14"/>
        <v>0</v>
      </c>
      <c r="S36" s="39">
        <f t="shared" si="14"/>
        <v>0</v>
      </c>
      <c r="T36" s="61">
        <f t="shared" si="13"/>
        <v>0</v>
      </c>
      <c r="U36" s="39">
        <f t="shared" si="13"/>
        <v>-0.01</v>
      </c>
      <c r="V36" s="61">
        <f t="shared" si="13"/>
        <v>-556681</v>
      </c>
      <c r="W36" s="39">
        <f t="shared" si="13"/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si="13"/>
        <v>0</v>
      </c>
      <c r="AC36" s="39">
        <f t="shared" si="13"/>
        <v>0</v>
      </c>
      <c r="AD36" s="61">
        <f t="shared" si="13"/>
        <v>0</v>
      </c>
      <c r="AE36" s="39">
        <f t="shared" si="13"/>
        <v>0</v>
      </c>
      <c r="AF36" s="61">
        <f t="shared" si="13"/>
        <v>0</v>
      </c>
      <c r="AG36" s="39">
        <f t="shared" si="13"/>
        <v>0</v>
      </c>
      <c r="AH36" s="61">
        <f t="shared" si="13"/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si="13"/>
        <v>0</v>
      </c>
      <c r="AO36" s="39">
        <f t="shared" si="13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5">SUM(F39,H39,J39,L39,N39,P39,R39,T39,V39,X39,Z39,AB39,AD39)</f>
        <v>271782</v>
      </c>
      <c r="E39" s="38">
        <f t="shared" si="15"/>
        <v>593156.68999999994</v>
      </c>
      <c r="F39" s="64">
        <f>'TIE-OUT'!AF39+RECLASS!AF39</f>
        <v>0</v>
      </c>
      <c r="G39" s="68">
        <f>'TIE-OUT'!AG39+RECLASS!AG39</f>
        <v>0</v>
      </c>
      <c r="H39" s="122">
        <f>+Actuals!E140</f>
        <v>0</v>
      </c>
      <c r="I39" s="123">
        <f>+Actuals!F140</f>
        <v>0</v>
      </c>
      <c r="J39" s="122">
        <f>+Actuals!G140</f>
        <v>0</v>
      </c>
      <c r="K39" s="123">
        <f>+Actuals!H140</f>
        <v>0</v>
      </c>
      <c r="L39" s="122">
        <f>+Actuals!I140</f>
        <v>771</v>
      </c>
      <c r="M39" s="123">
        <f>+Actuals!J140</f>
        <v>2081.6999999999998</v>
      </c>
      <c r="N39" s="122">
        <f>+Actuals!K140</f>
        <v>271011</v>
      </c>
      <c r="O39" s="123">
        <f>+Actuals!L140</f>
        <v>591074.99</v>
      </c>
      <c r="P39" s="122">
        <f>+Actuals!M140</f>
        <v>0</v>
      </c>
      <c r="Q39" s="123">
        <f>+Actuals!N140</f>
        <v>0</v>
      </c>
      <c r="R39" s="122">
        <f>+Actuals!O140</f>
        <v>0</v>
      </c>
      <c r="S39" s="123">
        <f>+Actuals!P140</f>
        <v>0</v>
      </c>
      <c r="T39" s="122">
        <f>+Actuals!Q140</f>
        <v>0</v>
      </c>
      <c r="U39" s="123">
        <f>+Actuals!R140</f>
        <v>0</v>
      </c>
      <c r="V39" s="122">
        <f>+Actuals!S140</f>
        <v>0</v>
      </c>
      <c r="W39" s="123">
        <f>+Actuals!T140</f>
        <v>0</v>
      </c>
      <c r="X39" s="122">
        <f>+Actuals!U140</f>
        <v>0</v>
      </c>
      <c r="Y39" s="123">
        <f>+Actuals!V140</f>
        <v>0</v>
      </c>
      <c r="Z39" s="122">
        <f>+Actuals!W140</f>
        <v>0</v>
      </c>
      <c r="AA39" s="123">
        <f>+Actuals!X140</f>
        <v>0</v>
      </c>
      <c r="AB39" s="122">
        <f>+Actuals!Y140</f>
        <v>0</v>
      </c>
      <c r="AC39" s="123">
        <f>+Actuals!Z140</f>
        <v>0</v>
      </c>
      <c r="AD39" s="122">
        <f>+Actuals!AA140</f>
        <v>0</v>
      </c>
      <c r="AE39" s="123">
        <f>+Actuals!AB140</f>
        <v>0</v>
      </c>
      <c r="AF39" s="122">
        <f>+Actuals!AC140</f>
        <v>0</v>
      </c>
      <c r="AG39" s="123">
        <f>+Actuals!AD140</f>
        <v>0</v>
      </c>
      <c r="AH39" s="122">
        <f>+Actuals!AE140</f>
        <v>0</v>
      </c>
      <c r="AI39" s="123">
        <f>+Actuals!AF140</f>
        <v>0</v>
      </c>
      <c r="AJ39" s="122">
        <f>+Actuals!AG140</f>
        <v>0</v>
      </c>
      <c r="AK39" s="123">
        <f>+Actuals!AH140</f>
        <v>0</v>
      </c>
      <c r="AL39" s="122">
        <f>+Actuals!AI140</f>
        <v>0</v>
      </c>
      <c r="AM39" s="123">
        <f>+Actuals!AJ140</f>
        <v>0</v>
      </c>
      <c r="AN39" s="122">
        <f>+Actuals!AK140</f>
        <v>0</v>
      </c>
      <c r="AO39" s="123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5"/>
        <v>-9089545</v>
      </c>
      <c r="E40" s="38">
        <f t="shared" si="15"/>
        <v>-7982171.3200000022</v>
      </c>
      <c r="F40" s="60">
        <f>'TIE-OUT'!AF40+RECLASS!AF40</f>
        <v>0</v>
      </c>
      <c r="G40" s="38">
        <f>'TIE-OUT'!AG40+RECLASS!AG40</f>
        <v>13960584</v>
      </c>
      <c r="H40" s="122">
        <f>+Actuals!E141</f>
        <v>-8642208</v>
      </c>
      <c r="I40" s="123">
        <f>+Actuals!F141</f>
        <v>-22932481.190000001</v>
      </c>
      <c r="J40" s="122">
        <f>+Actuals!G141</f>
        <v>-985779</v>
      </c>
      <c r="K40" s="123">
        <f>+Actuals!H141</f>
        <v>-2408437.39</v>
      </c>
      <c r="L40" s="122">
        <f>+Actuals!I141</f>
        <v>-27924</v>
      </c>
      <c r="M40" s="123">
        <f>+Actuals!J141</f>
        <v>-67134.62</v>
      </c>
      <c r="N40" s="122">
        <f>+Actuals!K141</f>
        <v>-2273</v>
      </c>
      <c r="O40" s="123">
        <f>+Actuals!L141</f>
        <v>-5443.82</v>
      </c>
      <c r="P40" s="122">
        <f>+Actuals!M141</f>
        <v>-272424</v>
      </c>
      <c r="Q40" s="123">
        <f>+Actuals!N141</f>
        <v>-655739.07999999996</v>
      </c>
      <c r="R40" s="122">
        <f>+Actuals!O141</f>
        <v>841063</v>
      </c>
      <c r="S40" s="123">
        <f>+Actuals!P141</f>
        <v>4126480.78</v>
      </c>
      <c r="T40" s="122">
        <f>+Actuals!Q141</f>
        <v>0</v>
      </c>
      <c r="U40" s="123">
        <f>+Actuals!R141</f>
        <v>0</v>
      </c>
      <c r="V40" s="122">
        <f>+Actuals!S141</f>
        <v>0</v>
      </c>
      <c r="W40" s="123">
        <f>+Actuals!T141</f>
        <v>0</v>
      </c>
      <c r="X40" s="122">
        <f>+Actuals!U141</f>
        <v>0</v>
      </c>
      <c r="Y40" s="123">
        <f>+Actuals!V141</f>
        <v>0</v>
      </c>
      <c r="Z40" s="122">
        <f>+Actuals!W141</f>
        <v>0</v>
      </c>
      <c r="AA40" s="123">
        <f>+Actuals!X141</f>
        <v>0</v>
      </c>
      <c r="AB40" s="122">
        <f>+Actuals!Y141</f>
        <v>0</v>
      </c>
      <c r="AC40" s="123">
        <f>+Actuals!Z141</f>
        <v>0</v>
      </c>
      <c r="AD40" s="122">
        <f>+Actuals!AA141</f>
        <v>0</v>
      </c>
      <c r="AE40" s="123">
        <f>+Actuals!AB141</f>
        <v>0</v>
      </c>
      <c r="AF40" s="122">
        <f>+Actuals!AC141</f>
        <v>0</v>
      </c>
      <c r="AG40" s="123">
        <f>+Actuals!AD141</f>
        <v>0</v>
      </c>
      <c r="AH40" s="122">
        <f>+Actuals!AE141</f>
        <v>0</v>
      </c>
      <c r="AI40" s="123">
        <f>+Actuals!AF141</f>
        <v>0</v>
      </c>
      <c r="AJ40" s="122">
        <f>+Actuals!AG141</f>
        <v>0</v>
      </c>
      <c r="AK40" s="123">
        <f>+Actuals!AH141</f>
        <v>0</v>
      </c>
      <c r="AL40" s="122">
        <f>+Actuals!AI141</f>
        <v>0</v>
      </c>
      <c r="AM40" s="123">
        <f>+Actuals!AJ141</f>
        <v>0</v>
      </c>
      <c r="AN40" s="122">
        <f>+Actuals!AK141</f>
        <v>0</v>
      </c>
      <c r="AO40" s="123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5"/>
        <v>0</v>
      </c>
      <c r="E41" s="38">
        <f t="shared" si="15"/>
        <v>0</v>
      </c>
      <c r="F41" s="81">
        <f>'TIE-OUT'!AF41+RECLASS!AF41</f>
        <v>0</v>
      </c>
      <c r="G41" s="82">
        <f>'TIE-OUT'!AG41+RECLASS!AG41</f>
        <v>0</v>
      </c>
      <c r="H41" s="122">
        <f>+Actuals!E142</f>
        <v>0</v>
      </c>
      <c r="I41" s="123">
        <f>+Actuals!F142</f>
        <v>0</v>
      </c>
      <c r="J41" s="122">
        <f>+Actuals!G142</f>
        <v>0</v>
      </c>
      <c r="K41" s="123">
        <f>+Actuals!H142</f>
        <v>0</v>
      </c>
      <c r="L41" s="122">
        <f>+Actuals!I142</f>
        <v>0</v>
      </c>
      <c r="M41" s="123">
        <f>+Actuals!J142</f>
        <v>0</v>
      </c>
      <c r="N41" s="122">
        <f>+Actuals!K142</f>
        <v>0</v>
      </c>
      <c r="O41" s="123">
        <f>+Actuals!L142</f>
        <v>0</v>
      </c>
      <c r="P41" s="122">
        <f>+Actuals!M142</f>
        <v>0</v>
      </c>
      <c r="Q41" s="123">
        <f>+Actuals!N142</f>
        <v>0</v>
      </c>
      <c r="R41" s="122">
        <f>+Actuals!O142</f>
        <v>0</v>
      </c>
      <c r="S41" s="123">
        <f>+Actuals!P142</f>
        <v>0</v>
      </c>
      <c r="T41" s="122">
        <f>+Actuals!Q142</f>
        <v>0</v>
      </c>
      <c r="U41" s="123">
        <f>+Actuals!R142</f>
        <v>0</v>
      </c>
      <c r="V41" s="122">
        <f>+Actuals!S142</f>
        <v>0</v>
      </c>
      <c r="W41" s="123">
        <f>+Actuals!T142</f>
        <v>0</v>
      </c>
      <c r="X41" s="122">
        <f>+Actuals!U142</f>
        <v>0</v>
      </c>
      <c r="Y41" s="123">
        <f>+Actuals!V142</f>
        <v>0</v>
      </c>
      <c r="Z41" s="122">
        <f>+Actuals!W142</f>
        <v>0</v>
      </c>
      <c r="AA41" s="123">
        <f>+Actuals!X142</f>
        <v>0</v>
      </c>
      <c r="AB41" s="122">
        <f>+Actuals!Y142</f>
        <v>0</v>
      </c>
      <c r="AC41" s="123">
        <f>+Actuals!Z142</f>
        <v>0</v>
      </c>
      <c r="AD41" s="122">
        <f>+Actuals!AA142</f>
        <v>0</v>
      </c>
      <c r="AE41" s="123">
        <f>+Actuals!AB142</f>
        <v>0</v>
      </c>
      <c r="AF41" s="122">
        <f>+Actuals!AC142</f>
        <v>0</v>
      </c>
      <c r="AG41" s="123">
        <f>+Actuals!AD142</f>
        <v>0</v>
      </c>
      <c r="AH41" s="122">
        <f>+Actuals!AE142</f>
        <v>0</v>
      </c>
      <c r="AI41" s="123">
        <f>+Actuals!AF142</f>
        <v>0</v>
      </c>
      <c r="AJ41" s="122">
        <f>+Actuals!AG142</f>
        <v>0</v>
      </c>
      <c r="AK41" s="123">
        <f>+Actuals!AH142</f>
        <v>0</v>
      </c>
      <c r="AL41" s="122">
        <f>+Actuals!AI142</f>
        <v>0</v>
      </c>
      <c r="AM41" s="123">
        <f>+Actuals!AJ142</f>
        <v>0</v>
      </c>
      <c r="AN41" s="122">
        <f>+Actuals!AK142</f>
        <v>0</v>
      </c>
      <c r="AO41" s="123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6">SUM(D40:D41)</f>
        <v>-9089545</v>
      </c>
      <c r="E42" s="39">
        <f t="shared" si="16"/>
        <v>-7982171.3200000022</v>
      </c>
      <c r="F42" s="61">
        <f t="shared" si="16"/>
        <v>0</v>
      </c>
      <c r="G42" s="39">
        <f t="shared" si="16"/>
        <v>13960584</v>
      </c>
      <c r="H42" s="61">
        <f t="shared" si="16"/>
        <v>-8642208</v>
      </c>
      <c r="I42" s="39">
        <f t="shared" si="16"/>
        <v>-22932481.190000001</v>
      </c>
      <c r="J42" s="61">
        <f t="shared" ref="J42:AO42" si="17">SUM(J40:J41)</f>
        <v>-985779</v>
      </c>
      <c r="K42" s="39">
        <f t="shared" si="17"/>
        <v>-2408437.39</v>
      </c>
      <c r="L42" s="61">
        <f t="shared" si="17"/>
        <v>-27924</v>
      </c>
      <c r="M42" s="39">
        <f t="shared" si="17"/>
        <v>-67134.62</v>
      </c>
      <c r="N42" s="61">
        <f t="shared" ref="N42:S42" si="18">SUM(N40:N41)</f>
        <v>-2273</v>
      </c>
      <c r="O42" s="39">
        <f t="shared" si="18"/>
        <v>-5443.82</v>
      </c>
      <c r="P42" s="61">
        <f t="shared" si="18"/>
        <v>-272424</v>
      </c>
      <c r="Q42" s="39">
        <f t="shared" si="18"/>
        <v>-655739.07999999996</v>
      </c>
      <c r="R42" s="61">
        <f t="shared" si="18"/>
        <v>841063</v>
      </c>
      <c r="S42" s="39">
        <f t="shared" si="18"/>
        <v>4126480.78</v>
      </c>
      <c r="T42" s="61">
        <f t="shared" si="17"/>
        <v>0</v>
      </c>
      <c r="U42" s="39">
        <f t="shared" si="17"/>
        <v>0</v>
      </c>
      <c r="V42" s="61">
        <f t="shared" si="17"/>
        <v>0</v>
      </c>
      <c r="W42" s="39">
        <f t="shared" si="17"/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si="17"/>
        <v>0</v>
      </c>
      <c r="AC42" s="39">
        <f t="shared" si="17"/>
        <v>0</v>
      </c>
      <c r="AD42" s="61">
        <f t="shared" si="17"/>
        <v>0</v>
      </c>
      <c r="AE42" s="39">
        <f t="shared" si="17"/>
        <v>0</v>
      </c>
      <c r="AF42" s="61">
        <f t="shared" si="17"/>
        <v>0</v>
      </c>
      <c r="AG42" s="39">
        <f t="shared" si="17"/>
        <v>0</v>
      </c>
      <c r="AH42" s="61">
        <f t="shared" si="17"/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si="17"/>
        <v>0</v>
      </c>
      <c r="AO42" s="39">
        <f t="shared" si="17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9">D42+D39</f>
        <v>-8817763</v>
      </c>
      <c r="E43" s="39">
        <f t="shared" si="19"/>
        <v>-7389014.6300000027</v>
      </c>
      <c r="F43" s="61">
        <f t="shared" si="19"/>
        <v>0</v>
      </c>
      <c r="G43" s="39">
        <f t="shared" si="19"/>
        <v>13960584</v>
      </c>
      <c r="H43" s="61">
        <f t="shared" si="19"/>
        <v>-8642208</v>
      </c>
      <c r="I43" s="39">
        <f t="shared" si="19"/>
        <v>-22932481.190000001</v>
      </c>
      <c r="J43" s="61">
        <f t="shared" ref="J43:AO43" si="20">J42+J39</f>
        <v>-985779</v>
      </c>
      <c r="K43" s="39">
        <f t="shared" si="20"/>
        <v>-2408437.39</v>
      </c>
      <c r="L43" s="61">
        <f t="shared" si="20"/>
        <v>-27153</v>
      </c>
      <c r="M43" s="39">
        <f t="shared" si="20"/>
        <v>-65052.92</v>
      </c>
      <c r="N43" s="61">
        <f t="shared" ref="N43:S43" si="21">N42+N39</f>
        <v>268738</v>
      </c>
      <c r="O43" s="39">
        <f t="shared" si="21"/>
        <v>585631.17000000004</v>
      </c>
      <c r="P43" s="61">
        <f t="shared" si="21"/>
        <v>-272424</v>
      </c>
      <c r="Q43" s="39">
        <f t="shared" si="21"/>
        <v>-655739.07999999996</v>
      </c>
      <c r="R43" s="61">
        <f t="shared" si="21"/>
        <v>841063</v>
      </c>
      <c r="S43" s="39">
        <f t="shared" si="21"/>
        <v>4126480.78</v>
      </c>
      <c r="T43" s="61">
        <f t="shared" si="20"/>
        <v>0</v>
      </c>
      <c r="U43" s="39">
        <f t="shared" si="20"/>
        <v>0</v>
      </c>
      <c r="V43" s="61">
        <f t="shared" si="20"/>
        <v>0</v>
      </c>
      <c r="W43" s="39">
        <f t="shared" si="20"/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si="20"/>
        <v>0</v>
      </c>
      <c r="AC43" s="39">
        <f t="shared" si="20"/>
        <v>0</v>
      </c>
      <c r="AD43" s="61">
        <f t="shared" si="20"/>
        <v>0</v>
      </c>
      <c r="AE43" s="39">
        <f t="shared" si="20"/>
        <v>0</v>
      </c>
      <c r="AF43" s="61">
        <f t="shared" si="20"/>
        <v>0</v>
      </c>
      <c r="AG43" s="39">
        <f t="shared" si="20"/>
        <v>0</v>
      </c>
      <c r="AH43" s="61">
        <f t="shared" si="20"/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si="20"/>
        <v>0</v>
      </c>
      <c r="AO43" s="39">
        <f t="shared" si="20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2">
        <f>+Actuals!E143</f>
        <v>0</v>
      </c>
      <c r="I45" s="123">
        <f>+Actuals!F143</f>
        <v>0</v>
      </c>
      <c r="J45" s="122">
        <f>+Actuals!G143</f>
        <v>0</v>
      </c>
      <c r="K45" s="123">
        <f>+Actuals!H143</f>
        <v>0</v>
      </c>
      <c r="L45" s="122">
        <f>+Actuals!I143</f>
        <v>0</v>
      </c>
      <c r="M45" s="123">
        <f>+Actuals!J143</f>
        <v>0</v>
      </c>
      <c r="N45" s="122">
        <f>+Actuals!K143</f>
        <v>0</v>
      </c>
      <c r="O45" s="123">
        <f>+Actuals!L143</f>
        <v>0</v>
      </c>
      <c r="P45" s="122">
        <f>+Actuals!M143</f>
        <v>0</v>
      </c>
      <c r="Q45" s="123">
        <f>+Actuals!N143</f>
        <v>0</v>
      </c>
      <c r="R45" s="122">
        <f>+Actuals!O143</f>
        <v>0</v>
      </c>
      <c r="S45" s="123">
        <f>+Actuals!P143</f>
        <v>0</v>
      </c>
      <c r="T45" s="122">
        <f>+Actuals!Q143</f>
        <v>0</v>
      </c>
      <c r="U45" s="123">
        <f>+Actuals!R143</f>
        <v>0</v>
      </c>
      <c r="V45" s="122">
        <f>+Actuals!S143</f>
        <v>0</v>
      </c>
      <c r="W45" s="123">
        <f>+Actuals!T143</f>
        <v>0</v>
      </c>
      <c r="X45" s="122">
        <f>+Actuals!U143</f>
        <v>0</v>
      </c>
      <c r="Y45" s="123">
        <f>+Actuals!V143</f>
        <v>0</v>
      </c>
      <c r="Z45" s="122">
        <f>+Actuals!W143</f>
        <v>0</v>
      </c>
      <c r="AA45" s="123">
        <f>+Actuals!X143</f>
        <v>0</v>
      </c>
      <c r="AB45" s="122">
        <f>+Actuals!Y143</f>
        <v>0</v>
      </c>
      <c r="AC45" s="123">
        <f>+Actuals!Z143</f>
        <v>0</v>
      </c>
      <c r="AD45" s="122">
        <f>+Actuals!AA143</f>
        <v>0</v>
      </c>
      <c r="AE45" s="123">
        <f>+Actuals!AB143</f>
        <v>0</v>
      </c>
      <c r="AF45" s="122">
        <f>+Actuals!AC143</f>
        <v>0</v>
      </c>
      <c r="AG45" s="123">
        <f>+Actuals!AD143</f>
        <v>0</v>
      </c>
      <c r="AH45" s="122">
        <f>+Actuals!AE143</f>
        <v>0</v>
      </c>
      <c r="AI45" s="123">
        <f>+Actuals!AF143</f>
        <v>0</v>
      </c>
      <c r="AJ45" s="122">
        <f>+Actuals!AG143</f>
        <v>0</v>
      </c>
      <c r="AK45" s="123">
        <f>+Actuals!AH143</f>
        <v>0</v>
      </c>
      <c r="AL45" s="122">
        <f>+Actuals!AI143</f>
        <v>0</v>
      </c>
      <c r="AM45" s="123">
        <f>+Actuals!AJ143</f>
        <v>0</v>
      </c>
      <c r="AN45" s="122">
        <f>+Actuals!AK143</f>
        <v>0</v>
      </c>
      <c r="AO45" s="123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2">
        <f>+Actuals!E144</f>
        <v>0</v>
      </c>
      <c r="I47" s="123">
        <f>+Actuals!F144</f>
        <v>0</v>
      </c>
      <c r="J47" s="122">
        <f>+Actuals!G144</f>
        <v>0</v>
      </c>
      <c r="K47" s="123">
        <f>+Actuals!H144</f>
        <v>0</v>
      </c>
      <c r="L47" s="122">
        <f>+Actuals!I144</f>
        <v>0</v>
      </c>
      <c r="M47" s="123">
        <f>+Actuals!J144</f>
        <v>0</v>
      </c>
      <c r="N47" s="122">
        <f>+Actuals!K144</f>
        <v>0</v>
      </c>
      <c r="O47" s="123">
        <f>+Actuals!L144</f>
        <v>0</v>
      </c>
      <c r="P47" s="122">
        <f>+Actuals!M144</f>
        <v>0</v>
      </c>
      <c r="Q47" s="123">
        <f>+Actuals!N144</f>
        <v>0</v>
      </c>
      <c r="R47" s="122">
        <f>+Actuals!O144</f>
        <v>0</v>
      </c>
      <c r="S47" s="123">
        <f>+Actuals!P144</f>
        <v>0</v>
      </c>
      <c r="T47" s="122">
        <f>+Actuals!Q144</f>
        <v>0</v>
      </c>
      <c r="U47" s="123">
        <f>+Actuals!R144</f>
        <v>0</v>
      </c>
      <c r="V47" s="122">
        <f>+Actuals!S144</f>
        <v>0</v>
      </c>
      <c r="W47" s="123">
        <f>+Actuals!T144</f>
        <v>0</v>
      </c>
      <c r="X47" s="122">
        <f>+Actuals!U144</f>
        <v>0</v>
      </c>
      <c r="Y47" s="123">
        <f>+Actuals!V144</f>
        <v>0</v>
      </c>
      <c r="Z47" s="122">
        <f>+Actuals!W144</f>
        <v>0</v>
      </c>
      <c r="AA47" s="123">
        <f>+Actuals!X144</f>
        <v>0</v>
      </c>
      <c r="AB47" s="122">
        <f>+Actuals!Y144</f>
        <v>0</v>
      </c>
      <c r="AC47" s="123">
        <f>+Actuals!Z144</f>
        <v>0</v>
      </c>
      <c r="AD47" s="122">
        <f>+Actuals!AA144</f>
        <v>0</v>
      </c>
      <c r="AE47" s="123">
        <f>+Actuals!AB144</f>
        <v>0</v>
      </c>
      <c r="AF47" s="122">
        <f>+Actuals!AC144</f>
        <v>0</v>
      </c>
      <c r="AG47" s="123">
        <f>+Actuals!AD144</f>
        <v>0</v>
      </c>
      <c r="AH47" s="122">
        <f>+Actuals!AE144</f>
        <v>0</v>
      </c>
      <c r="AI47" s="123">
        <f>+Actuals!AF144</f>
        <v>0</v>
      </c>
      <c r="AJ47" s="122">
        <f>+Actuals!AG144</f>
        <v>0</v>
      </c>
      <c r="AK47" s="123">
        <f>+Actuals!AH144</f>
        <v>0</v>
      </c>
      <c r="AL47" s="122">
        <f>+Actuals!AI144</f>
        <v>0</v>
      </c>
      <c r="AM47" s="123">
        <f>+Actuals!AJ144</f>
        <v>0</v>
      </c>
      <c r="AN47" s="122">
        <f>+Actuals!AK144</f>
        <v>0</v>
      </c>
      <c r="AO47" s="123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-465078</v>
      </c>
      <c r="E49" s="38">
        <f>SUM(G49,I49,K49,M49,O49,Q49,S49,U49,W49,Y49,AA49,AC49,AE49)</f>
        <v>-1014335.1190000002</v>
      </c>
      <c r="F49" s="60">
        <f>'TIE-OUT'!AF49+RECLASS!AF49</f>
        <v>0</v>
      </c>
      <c r="G49" s="38">
        <f>'TIE-OUT'!AG49+RECLASS!AG49</f>
        <v>0</v>
      </c>
      <c r="H49" s="122">
        <f>+Actuals!E145</f>
        <v>-460912</v>
      </c>
      <c r="I49" s="123">
        <f>+Actuals!F145</f>
        <v>-1005249.072</v>
      </c>
      <c r="J49" s="122">
        <f>+Actuals!G145</f>
        <v>-31510</v>
      </c>
      <c r="K49" s="123">
        <f>+Actuals!H145</f>
        <v>-68723.309999999939</v>
      </c>
      <c r="L49" s="122">
        <f>+Actuals!I145</f>
        <v>-745799</v>
      </c>
      <c r="M49" s="123">
        <f>+Actuals!J145</f>
        <v>-1626587.6189999999</v>
      </c>
      <c r="N49" s="122">
        <f>+Actuals!K145</f>
        <v>856907</v>
      </c>
      <c r="O49" s="123">
        <f>+Actuals!L145</f>
        <v>1868914.1669999999</v>
      </c>
      <c r="P49" s="122">
        <f>+Actuals!M145</f>
        <v>273581</v>
      </c>
      <c r="Q49" s="123">
        <f>+Actuals!N145</f>
        <v>596680.16099999996</v>
      </c>
      <c r="R49" s="122">
        <f>+Actuals!O145</f>
        <v>-914026</v>
      </c>
      <c r="S49" s="123">
        <f>+Actuals!P145</f>
        <v>-1993490.706</v>
      </c>
      <c r="T49" s="122">
        <f>+Actuals!Q145</f>
        <v>0</v>
      </c>
      <c r="U49" s="123">
        <f>+Actuals!R145</f>
        <v>0</v>
      </c>
      <c r="V49" s="122">
        <v>556681</v>
      </c>
      <c r="W49" s="123">
        <v>1214121.26</v>
      </c>
      <c r="X49" s="122">
        <f>+Actuals!U145</f>
        <v>0</v>
      </c>
      <c r="Y49" s="123">
        <f>+Actuals!V145</f>
        <v>0</v>
      </c>
      <c r="Z49" s="122">
        <f>+Actuals!W145</f>
        <v>0</v>
      </c>
      <c r="AA49" s="123">
        <f>+Actuals!X145</f>
        <v>0</v>
      </c>
      <c r="AB49" s="122">
        <f>+Actuals!Y145</f>
        <v>0</v>
      </c>
      <c r="AC49" s="123">
        <f>+Actuals!Z145</f>
        <v>0</v>
      </c>
      <c r="AD49" s="122">
        <f>+Actuals!AA145</f>
        <v>0</v>
      </c>
      <c r="AE49" s="123">
        <f>+Actuals!AB145</f>
        <v>0</v>
      </c>
      <c r="AF49" s="122">
        <f>+Actuals!AC145</f>
        <v>0</v>
      </c>
      <c r="AG49" s="123">
        <f>+Actuals!AD145</f>
        <v>0</v>
      </c>
      <c r="AH49" s="122">
        <f>+Actuals!AE145</f>
        <v>0</v>
      </c>
      <c r="AI49" s="123">
        <f>+Actuals!AF145</f>
        <v>0</v>
      </c>
      <c r="AJ49" s="122">
        <f>+Actuals!AG145</f>
        <v>0</v>
      </c>
      <c r="AK49" s="123">
        <f>+Actuals!AH145</f>
        <v>0</v>
      </c>
      <c r="AL49" s="122">
        <f>+Actuals!AI145</f>
        <v>0</v>
      </c>
      <c r="AM49" s="123">
        <f>+Actuals!AJ145</f>
        <v>0</v>
      </c>
      <c r="AN49" s="122">
        <f>+Actuals!AK145</f>
        <v>0</v>
      </c>
      <c r="AO49" s="123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2">
        <f>+Actuals!E146</f>
        <v>0</v>
      </c>
      <c r="I51" s="123">
        <f>+Actuals!F146</f>
        <v>0</v>
      </c>
      <c r="J51" s="122">
        <f>+Actuals!G146</f>
        <v>0</v>
      </c>
      <c r="K51" s="123">
        <f>+Actuals!H146</f>
        <v>0</v>
      </c>
      <c r="L51" s="122">
        <f>+Actuals!I146</f>
        <v>0</v>
      </c>
      <c r="M51" s="123">
        <f>+Actuals!J146</f>
        <v>0</v>
      </c>
      <c r="N51" s="122">
        <f>+Actuals!K146</f>
        <v>0</v>
      </c>
      <c r="O51" s="123">
        <f>+Actuals!L146</f>
        <v>0</v>
      </c>
      <c r="P51" s="122">
        <f>+Actuals!M146</f>
        <v>0</v>
      </c>
      <c r="Q51" s="123">
        <f>+Actuals!N146</f>
        <v>0</v>
      </c>
      <c r="R51" s="122">
        <f>+Actuals!O146</f>
        <v>0</v>
      </c>
      <c r="S51" s="123">
        <f>+Actuals!P146</f>
        <v>0</v>
      </c>
      <c r="T51" s="122">
        <f>+Actuals!Q146</f>
        <v>0</v>
      </c>
      <c r="U51" s="123">
        <f>+Actuals!R146</f>
        <v>0</v>
      </c>
      <c r="V51" s="122">
        <f>+Actuals!S146</f>
        <v>0</v>
      </c>
      <c r="W51" s="123">
        <f>+Actuals!T146</f>
        <v>0</v>
      </c>
      <c r="X51" s="122">
        <f>+Actuals!U146</f>
        <v>0</v>
      </c>
      <c r="Y51" s="123">
        <f>+Actuals!V146</f>
        <v>0</v>
      </c>
      <c r="Z51" s="122">
        <f>+Actuals!W146</f>
        <v>0</v>
      </c>
      <c r="AA51" s="123">
        <f>+Actuals!X146</f>
        <v>0</v>
      </c>
      <c r="AB51" s="122">
        <f>+Actuals!Y146</f>
        <v>0</v>
      </c>
      <c r="AC51" s="123">
        <f>+Actuals!Z146</f>
        <v>0</v>
      </c>
      <c r="AD51" s="122">
        <f>+Actuals!AA146</f>
        <v>0</v>
      </c>
      <c r="AE51" s="123">
        <f>+Actuals!AB146</f>
        <v>0</v>
      </c>
      <c r="AF51" s="122">
        <f>+Actuals!AC146</f>
        <v>0</v>
      </c>
      <c r="AG51" s="123">
        <f>+Actuals!AD146</f>
        <v>0</v>
      </c>
      <c r="AH51" s="122">
        <f>+Actuals!AE146</f>
        <v>0</v>
      </c>
      <c r="AI51" s="123">
        <f>+Actuals!AF146</f>
        <v>0</v>
      </c>
      <c r="AJ51" s="122">
        <f>+Actuals!AG146</f>
        <v>0</v>
      </c>
      <c r="AK51" s="123">
        <f>+Actuals!AH146</f>
        <v>0</v>
      </c>
      <c r="AL51" s="122">
        <f>+Actuals!AI146</f>
        <v>0</v>
      </c>
      <c r="AM51" s="123">
        <f>+Actuals!AJ146</f>
        <v>0</v>
      </c>
      <c r="AN51" s="122">
        <f>+Actuals!AK146</f>
        <v>0</v>
      </c>
      <c r="AO51" s="123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-27171211</v>
      </c>
      <c r="E54" s="38">
        <f>SUM(G54,I54,K54,M54,O54,Q54,S54,U54,W54,Y54,AA54,AC54,AE54)</f>
        <v>-1028682.59</v>
      </c>
      <c r="F54" s="64">
        <f>'TIE-OUT'!AF54+RECLASS!AF54</f>
        <v>0</v>
      </c>
      <c r="G54" s="68">
        <f>'TIE-OUT'!AG54+RECLASS!AG54</f>
        <v>-34489</v>
      </c>
      <c r="H54" s="122">
        <f>+Actuals!E147</f>
        <v>-28034260</v>
      </c>
      <c r="I54" s="123">
        <f>+Actuals!F147</f>
        <v>-939169.85</v>
      </c>
      <c r="J54" s="122">
        <f>+Actuals!G147</f>
        <v>585134</v>
      </c>
      <c r="K54" s="123">
        <f>+Actuals!H147</f>
        <v>-61739.59</v>
      </c>
      <c r="L54" s="122">
        <f>+Actuals!I147</f>
        <v>353272</v>
      </c>
      <c r="M54" s="123">
        <f>+Actuals!J147</f>
        <v>10642.57</v>
      </c>
      <c r="N54" s="122">
        <f>+Actuals!K147</f>
        <v>-2701</v>
      </c>
      <c r="O54" s="123">
        <f>+Actuals!L147</f>
        <v>-279.83</v>
      </c>
      <c r="P54" s="122">
        <f>+Actuals!M147</f>
        <v>307</v>
      </c>
      <c r="Q54" s="123">
        <f>+Actuals!N147</f>
        <v>-27.93</v>
      </c>
      <c r="R54" s="122">
        <f>+Actuals!O147</f>
        <v>-72963</v>
      </c>
      <c r="S54" s="123">
        <f>+Actuals!P147</f>
        <v>-3618.96</v>
      </c>
      <c r="T54" s="122">
        <f>+Actuals!Q147</f>
        <v>0</v>
      </c>
      <c r="U54" s="123">
        <f>+Actuals!R147</f>
        <v>0</v>
      </c>
      <c r="V54" s="122">
        <f>+Actuals!S147</f>
        <v>0</v>
      </c>
      <c r="W54" s="123">
        <f>+Actuals!T147</f>
        <v>0</v>
      </c>
      <c r="X54" s="122">
        <f>+Actuals!U147</f>
        <v>0</v>
      </c>
      <c r="Y54" s="123">
        <f>+Actuals!V147</f>
        <v>0</v>
      </c>
      <c r="Z54" s="122">
        <f>+Actuals!W147</f>
        <v>0</v>
      </c>
      <c r="AA54" s="123">
        <f>+Actuals!X147</f>
        <v>0</v>
      </c>
      <c r="AB54" s="122">
        <f>+Actuals!Y147</f>
        <v>0</v>
      </c>
      <c r="AC54" s="123">
        <f>+Actuals!Z147</f>
        <v>0</v>
      </c>
      <c r="AD54" s="122">
        <f>+Actuals!AA147</f>
        <v>0</v>
      </c>
      <c r="AE54" s="123">
        <f>+Actuals!AB147</f>
        <v>0</v>
      </c>
      <c r="AF54" s="122">
        <f>+Actuals!AC147</f>
        <v>0</v>
      </c>
      <c r="AG54" s="123">
        <f>+Actuals!AD147</f>
        <v>0</v>
      </c>
      <c r="AH54" s="122">
        <f>+Actuals!AE147</f>
        <v>0</v>
      </c>
      <c r="AI54" s="123">
        <f>+Actuals!AF147</f>
        <v>0</v>
      </c>
      <c r="AJ54" s="122">
        <f>+Actuals!AG147</f>
        <v>0</v>
      </c>
      <c r="AK54" s="123">
        <f>+Actuals!AH147</f>
        <v>0</v>
      </c>
      <c r="AL54" s="122">
        <f>+Actuals!AI147</f>
        <v>0</v>
      </c>
      <c r="AM54" s="123">
        <f>+Actuals!AJ147</f>
        <v>0</v>
      </c>
      <c r="AN54" s="122">
        <f>+Actuals!AK147</f>
        <v>0</v>
      </c>
      <c r="AO54" s="123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-10483530.560000001</v>
      </c>
      <c r="F55" s="81">
        <f>'TIE-OUT'!AF55+RECLASS!AF55</f>
        <v>0</v>
      </c>
      <c r="G55" s="82">
        <f>'TIE-OUT'!AG55+RECLASS!AG55</f>
        <v>-36852</v>
      </c>
      <c r="H55" s="122">
        <f>+Actuals!E148</f>
        <v>0</v>
      </c>
      <c r="I55" s="123">
        <f>+Actuals!F148</f>
        <v>-10750334.42</v>
      </c>
      <c r="J55" s="122">
        <f>+Actuals!G148</f>
        <v>0</v>
      </c>
      <c r="K55" s="123">
        <f>+Actuals!H148</f>
        <v>247169.44</v>
      </c>
      <c r="L55" s="122">
        <f>+Actuals!I148</f>
        <v>0</v>
      </c>
      <c r="M55" s="123">
        <f>+Actuals!J148</f>
        <v>12751.42</v>
      </c>
      <c r="N55" s="122">
        <f>+Actuals!K148</f>
        <v>0</v>
      </c>
      <c r="O55" s="141">
        <f>+Actuals!L148+43735</f>
        <v>43735</v>
      </c>
      <c r="P55" s="122">
        <f>+Actuals!M148</f>
        <v>0</v>
      </c>
      <c r="Q55" s="123">
        <f>+Actuals!N148</f>
        <v>0</v>
      </c>
      <c r="R55" s="122">
        <f>+Actuals!O148</f>
        <v>0</v>
      </c>
      <c r="S55" s="123">
        <f>+Actuals!P148</f>
        <v>0</v>
      </c>
      <c r="T55" s="122">
        <f>+Actuals!Q148</f>
        <v>0</v>
      </c>
      <c r="U55" s="123">
        <f>+Actuals!R148</f>
        <v>0</v>
      </c>
      <c r="V55" s="122">
        <f>+Actuals!S148</f>
        <v>0</v>
      </c>
      <c r="W55" s="123">
        <f>+Actuals!T148</f>
        <v>0</v>
      </c>
      <c r="X55" s="122">
        <f>+Actuals!U148</f>
        <v>0</v>
      </c>
      <c r="Y55" s="123">
        <f>+Actuals!V148</f>
        <v>0</v>
      </c>
      <c r="Z55" s="122">
        <f>+Actuals!W148</f>
        <v>0</v>
      </c>
      <c r="AA55" s="123">
        <f>+Actuals!X148</f>
        <v>0</v>
      </c>
      <c r="AB55" s="122">
        <f>+Actuals!Y148</f>
        <v>0</v>
      </c>
      <c r="AC55" s="123">
        <f>+Actuals!Z148</f>
        <v>0</v>
      </c>
      <c r="AD55" s="122">
        <f>+Actuals!AA148</f>
        <v>0</v>
      </c>
      <c r="AE55" s="123">
        <f>+Actuals!AB148</f>
        <v>0</v>
      </c>
      <c r="AF55" s="122">
        <f>+Actuals!AC148</f>
        <v>0</v>
      </c>
      <c r="AG55" s="123">
        <f>+Actuals!AD148</f>
        <v>0</v>
      </c>
      <c r="AH55" s="122">
        <f>+Actuals!AE148</f>
        <v>0</v>
      </c>
      <c r="AI55" s="123">
        <f>+Actuals!AF148</f>
        <v>0</v>
      </c>
      <c r="AJ55" s="122">
        <f>+Actuals!AG148</f>
        <v>0</v>
      </c>
      <c r="AK55" s="123">
        <f>+Actuals!AH148</f>
        <v>0</v>
      </c>
      <c r="AL55" s="122">
        <f>+Actuals!AI148</f>
        <v>0</v>
      </c>
      <c r="AM55" s="123">
        <f>+Actuals!AJ148</f>
        <v>0</v>
      </c>
      <c r="AN55" s="122">
        <f>+Actuals!AK148</f>
        <v>0</v>
      </c>
      <c r="AO55" s="123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22">SUM(D54:D55)</f>
        <v>-27171211</v>
      </c>
      <c r="E56" s="39">
        <f t="shared" si="22"/>
        <v>-11512213.15</v>
      </c>
      <c r="F56" s="61">
        <f t="shared" si="22"/>
        <v>0</v>
      </c>
      <c r="G56" s="39">
        <f t="shared" si="22"/>
        <v>-71341</v>
      </c>
      <c r="H56" s="61">
        <f t="shared" si="22"/>
        <v>-28034260</v>
      </c>
      <c r="I56" s="39">
        <f t="shared" si="22"/>
        <v>-11689504.27</v>
      </c>
      <c r="J56" s="61">
        <f t="shared" ref="J56:AO56" si="23">SUM(J54:J55)</f>
        <v>585134</v>
      </c>
      <c r="K56" s="39">
        <f t="shared" si="23"/>
        <v>185429.85</v>
      </c>
      <c r="L56" s="61">
        <f t="shared" si="23"/>
        <v>353272</v>
      </c>
      <c r="M56" s="39">
        <f t="shared" si="23"/>
        <v>23393.989999999998</v>
      </c>
      <c r="N56" s="61">
        <f t="shared" ref="N56:S56" si="24">SUM(N54:N55)</f>
        <v>-2701</v>
      </c>
      <c r="O56" s="39">
        <f t="shared" si="24"/>
        <v>43455.17</v>
      </c>
      <c r="P56" s="61">
        <f t="shared" si="24"/>
        <v>307</v>
      </c>
      <c r="Q56" s="39">
        <f t="shared" si="24"/>
        <v>-27.93</v>
      </c>
      <c r="R56" s="61">
        <f t="shared" si="24"/>
        <v>-72963</v>
      </c>
      <c r="S56" s="39">
        <f t="shared" si="24"/>
        <v>-3618.96</v>
      </c>
      <c r="T56" s="61">
        <f t="shared" si="23"/>
        <v>0</v>
      </c>
      <c r="U56" s="39">
        <f t="shared" si="23"/>
        <v>0</v>
      </c>
      <c r="V56" s="61">
        <f t="shared" si="23"/>
        <v>0</v>
      </c>
      <c r="W56" s="39">
        <f t="shared" si="23"/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si="23"/>
        <v>0</v>
      </c>
      <c r="AI56" s="39">
        <f t="shared" si="23"/>
        <v>0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si="23"/>
        <v>0</v>
      </c>
      <c r="AO56" s="39">
        <f t="shared" si="23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2">
        <f>+Actuals!E149</f>
        <v>0</v>
      </c>
      <c r="I59" s="123">
        <f>+Actuals!F149</f>
        <v>0</v>
      </c>
      <c r="J59" s="122">
        <f>+Actuals!G149</f>
        <v>0</v>
      </c>
      <c r="K59" s="123">
        <f>+Actuals!H149</f>
        <v>0</v>
      </c>
      <c r="L59" s="122">
        <f>+Actuals!I149</f>
        <v>0</v>
      </c>
      <c r="M59" s="123">
        <f>+Actuals!J149</f>
        <v>0</v>
      </c>
      <c r="N59" s="122">
        <f>+Actuals!K149</f>
        <v>0</v>
      </c>
      <c r="O59" s="123">
        <f>+Actuals!L149</f>
        <v>0</v>
      </c>
      <c r="P59" s="122">
        <f>+Actuals!M149</f>
        <v>0</v>
      </c>
      <c r="Q59" s="123">
        <f>+Actuals!N149</f>
        <v>0</v>
      </c>
      <c r="R59" s="122">
        <f>+Actuals!O149</f>
        <v>0</v>
      </c>
      <c r="S59" s="123">
        <f>+Actuals!P149</f>
        <v>0</v>
      </c>
      <c r="T59" s="122">
        <f>+Actuals!Q149</f>
        <v>0</v>
      </c>
      <c r="U59" s="123">
        <f>+Actuals!R149</f>
        <v>0</v>
      </c>
      <c r="V59" s="122">
        <f>+Actuals!S149</f>
        <v>0</v>
      </c>
      <c r="W59" s="123">
        <f>+Actuals!T149</f>
        <v>0</v>
      </c>
      <c r="X59" s="122">
        <f>+Actuals!U149</f>
        <v>0</v>
      </c>
      <c r="Y59" s="123">
        <f>+Actuals!V149</f>
        <v>0</v>
      </c>
      <c r="Z59" s="122">
        <f>+Actuals!W149</f>
        <v>0</v>
      </c>
      <c r="AA59" s="123">
        <f>+Actuals!X149</f>
        <v>0</v>
      </c>
      <c r="AB59" s="122">
        <f>+Actuals!Y149</f>
        <v>0</v>
      </c>
      <c r="AC59" s="123">
        <f>+Actuals!Z149</f>
        <v>0</v>
      </c>
      <c r="AD59" s="122">
        <f>+Actuals!AA149</f>
        <v>0</v>
      </c>
      <c r="AE59" s="123">
        <f>+Actuals!AB149</f>
        <v>0</v>
      </c>
      <c r="AF59" s="122">
        <f>+Actuals!AC149</f>
        <v>0</v>
      </c>
      <c r="AG59" s="123">
        <f>+Actuals!AD149</f>
        <v>0</v>
      </c>
      <c r="AH59" s="122">
        <f>+Actuals!AE149</f>
        <v>0</v>
      </c>
      <c r="AI59" s="123">
        <f>+Actuals!AF149</f>
        <v>0</v>
      </c>
      <c r="AJ59" s="122">
        <f>+Actuals!AG149</f>
        <v>0</v>
      </c>
      <c r="AK59" s="123">
        <f>+Actuals!AH149</f>
        <v>0</v>
      </c>
      <c r="AL59" s="122">
        <f>+Actuals!AI149</f>
        <v>0</v>
      </c>
      <c r="AM59" s="123">
        <f>+Actuals!AJ149</f>
        <v>0</v>
      </c>
      <c r="AN59" s="122">
        <f>+Actuals!AK149</f>
        <v>0</v>
      </c>
      <c r="AO59" s="123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2">
        <f>+Actuals!E150</f>
        <v>0</v>
      </c>
      <c r="I60" s="123">
        <f>+Actuals!F150</f>
        <v>0</v>
      </c>
      <c r="J60" s="122">
        <f>+Actuals!G150</f>
        <v>0</v>
      </c>
      <c r="K60" s="123">
        <f>+Actuals!H150</f>
        <v>0</v>
      </c>
      <c r="L60" s="122">
        <f>+Actuals!I150</f>
        <v>0</v>
      </c>
      <c r="M60" s="123">
        <f>+Actuals!J150</f>
        <v>0</v>
      </c>
      <c r="N60" s="122">
        <f>+Actuals!K150</f>
        <v>0</v>
      </c>
      <c r="O60" s="123">
        <f>+Actuals!L150</f>
        <v>0</v>
      </c>
      <c r="P60" s="122">
        <f>+Actuals!M150</f>
        <v>0</v>
      </c>
      <c r="Q60" s="123">
        <f>+Actuals!N150</f>
        <v>0</v>
      </c>
      <c r="R60" s="122">
        <f>+Actuals!O150</f>
        <v>0</v>
      </c>
      <c r="S60" s="123">
        <f>+Actuals!P150</f>
        <v>0</v>
      </c>
      <c r="T60" s="122">
        <f>+Actuals!Q150</f>
        <v>0</v>
      </c>
      <c r="U60" s="123">
        <f>+Actuals!R150</f>
        <v>0</v>
      </c>
      <c r="V60" s="122">
        <f>+Actuals!S150</f>
        <v>0</v>
      </c>
      <c r="W60" s="123">
        <f>+Actuals!T150</f>
        <v>0</v>
      </c>
      <c r="X60" s="122">
        <f>+Actuals!U150</f>
        <v>0</v>
      </c>
      <c r="Y60" s="123">
        <f>+Actuals!V150</f>
        <v>0</v>
      </c>
      <c r="Z60" s="122">
        <f>+Actuals!W150</f>
        <v>0</v>
      </c>
      <c r="AA60" s="123">
        <f>+Actuals!X150</f>
        <v>0</v>
      </c>
      <c r="AB60" s="122">
        <f>+Actuals!Y150</f>
        <v>0</v>
      </c>
      <c r="AC60" s="123">
        <f>+Actuals!Z150</f>
        <v>0</v>
      </c>
      <c r="AD60" s="122">
        <f>+Actuals!AA150</f>
        <v>0</v>
      </c>
      <c r="AE60" s="123">
        <f>+Actuals!AB150</f>
        <v>0</v>
      </c>
      <c r="AF60" s="122">
        <f>+Actuals!AC150</f>
        <v>0</v>
      </c>
      <c r="AG60" s="123">
        <f>+Actuals!AD150</f>
        <v>0</v>
      </c>
      <c r="AH60" s="122">
        <f>+Actuals!AE150</f>
        <v>0</v>
      </c>
      <c r="AI60" s="123">
        <f>+Actuals!AF150</f>
        <v>0</v>
      </c>
      <c r="AJ60" s="122">
        <f>+Actuals!AG150</f>
        <v>0</v>
      </c>
      <c r="AK60" s="123">
        <f>+Actuals!AH150</f>
        <v>0</v>
      </c>
      <c r="AL60" s="122">
        <f>+Actuals!AI150</f>
        <v>0</v>
      </c>
      <c r="AM60" s="123">
        <f>+Actuals!AJ150</f>
        <v>0</v>
      </c>
      <c r="AN60" s="122">
        <f>+Actuals!AK150</f>
        <v>0</v>
      </c>
      <c r="AO60" s="123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ref="J61:AO61" si="26">SUM(J59:J60)</f>
        <v>0</v>
      </c>
      <c r="K61" s="39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ref="N61:S61" si="27">SUM(N59:N60)</f>
        <v>0</v>
      </c>
      <c r="O61" s="39">
        <f t="shared" si="27"/>
        <v>0</v>
      </c>
      <c r="P61" s="61">
        <f t="shared" si="27"/>
        <v>0</v>
      </c>
      <c r="Q61" s="39">
        <f t="shared" si="27"/>
        <v>0</v>
      </c>
      <c r="R61" s="61">
        <f t="shared" si="27"/>
        <v>0</v>
      </c>
      <c r="S61" s="39">
        <f t="shared" si="27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si="26"/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si="26"/>
        <v>0</v>
      </c>
      <c r="AO61" s="39">
        <f t="shared" si="2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2">
        <f>+Actuals!E151</f>
        <v>0</v>
      </c>
      <c r="I64" s="123">
        <f>+Actuals!F151</f>
        <v>0</v>
      </c>
      <c r="J64" s="122">
        <f>+Actuals!G151</f>
        <v>0</v>
      </c>
      <c r="K64" s="123">
        <f>+Actuals!H151</f>
        <v>0</v>
      </c>
      <c r="L64" s="122">
        <f>+Actuals!I151</f>
        <v>0</v>
      </c>
      <c r="M64" s="123">
        <f>+Actuals!J151</f>
        <v>0</v>
      </c>
      <c r="N64" s="122">
        <f>+Actuals!K151</f>
        <v>0</v>
      </c>
      <c r="O64" s="123">
        <f>+Actuals!L151</f>
        <v>0</v>
      </c>
      <c r="P64" s="122">
        <f>+Actuals!M151</f>
        <v>0</v>
      </c>
      <c r="Q64" s="123">
        <f>+Actuals!N151</f>
        <v>0</v>
      </c>
      <c r="R64" s="122">
        <f>+Actuals!O151</f>
        <v>0</v>
      </c>
      <c r="S64" s="123">
        <f>+Actuals!P151</f>
        <v>0</v>
      </c>
      <c r="T64" s="122">
        <f>+Actuals!Q151</f>
        <v>0</v>
      </c>
      <c r="U64" s="123">
        <f>+Actuals!R151</f>
        <v>0</v>
      </c>
      <c r="V64" s="122">
        <f>+Actuals!S151</f>
        <v>0</v>
      </c>
      <c r="W64" s="123">
        <f>+Actuals!T151</f>
        <v>0</v>
      </c>
      <c r="X64" s="122">
        <f>+Actuals!U151</f>
        <v>0</v>
      </c>
      <c r="Y64" s="123">
        <f>+Actuals!V151</f>
        <v>0</v>
      </c>
      <c r="Z64" s="122">
        <f>+Actuals!W151</f>
        <v>0</v>
      </c>
      <c r="AA64" s="123">
        <f>+Actuals!X151</f>
        <v>0</v>
      </c>
      <c r="AB64" s="122">
        <f>+Actuals!Y151</f>
        <v>0</v>
      </c>
      <c r="AC64" s="123">
        <f>+Actuals!Z151</f>
        <v>0</v>
      </c>
      <c r="AD64" s="122">
        <f>+Actuals!AA151</f>
        <v>0</v>
      </c>
      <c r="AE64" s="123">
        <f>+Actuals!AB151</f>
        <v>0</v>
      </c>
      <c r="AF64" s="122">
        <f>+Actuals!AC151</f>
        <v>0</v>
      </c>
      <c r="AG64" s="123">
        <f>+Actuals!AD151</f>
        <v>0</v>
      </c>
      <c r="AH64" s="122">
        <f>+Actuals!AE151</f>
        <v>0</v>
      </c>
      <c r="AI64" s="123">
        <f>+Actuals!AF151</f>
        <v>0</v>
      </c>
      <c r="AJ64" s="122">
        <f>+Actuals!AG151</f>
        <v>0</v>
      </c>
      <c r="AK64" s="123">
        <f>+Actuals!AH151</f>
        <v>0</v>
      </c>
      <c r="AL64" s="122">
        <f>+Actuals!AI151</f>
        <v>0</v>
      </c>
      <c r="AM64" s="123">
        <f>+Actuals!AJ151</f>
        <v>0</v>
      </c>
      <c r="AN64" s="122">
        <f>+Actuals!AK151</f>
        <v>0</v>
      </c>
      <c r="AO64" s="123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2">
        <f>+Actuals!E152</f>
        <v>0</v>
      </c>
      <c r="I65" s="123">
        <f>+Actuals!F152</f>
        <v>0</v>
      </c>
      <c r="J65" s="122">
        <f>+Actuals!G152</f>
        <v>0</v>
      </c>
      <c r="K65" s="123">
        <f>+Actuals!H152</f>
        <v>0</v>
      </c>
      <c r="L65" s="122">
        <f>+Actuals!I152</f>
        <v>0</v>
      </c>
      <c r="M65" s="123">
        <f>+Actuals!J152</f>
        <v>0</v>
      </c>
      <c r="N65" s="122">
        <f>+Actuals!K152</f>
        <v>0</v>
      </c>
      <c r="O65" s="123">
        <f>+Actuals!L152</f>
        <v>0</v>
      </c>
      <c r="P65" s="122">
        <f>+Actuals!M152</f>
        <v>0</v>
      </c>
      <c r="Q65" s="123">
        <f>+Actuals!N152</f>
        <v>0</v>
      </c>
      <c r="R65" s="122">
        <f>+Actuals!O152</f>
        <v>0</v>
      </c>
      <c r="S65" s="123">
        <f>+Actuals!P152</f>
        <v>0</v>
      </c>
      <c r="T65" s="122">
        <f>+Actuals!Q152</f>
        <v>0</v>
      </c>
      <c r="U65" s="123">
        <f>+Actuals!R152</f>
        <v>0</v>
      </c>
      <c r="V65" s="122">
        <f>+Actuals!S152</f>
        <v>0</v>
      </c>
      <c r="W65" s="123">
        <f>+Actuals!T152</f>
        <v>0</v>
      </c>
      <c r="X65" s="122">
        <f>+Actuals!U152</f>
        <v>0</v>
      </c>
      <c r="Y65" s="123">
        <f>+Actuals!V152</f>
        <v>0</v>
      </c>
      <c r="Z65" s="122">
        <f>+Actuals!W152</f>
        <v>0</v>
      </c>
      <c r="AA65" s="123">
        <f>+Actuals!X152</f>
        <v>0</v>
      </c>
      <c r="AB65" s="122">
        <f>+Actuals!Y152</f>
        <v>0</v>
      </c>
      <c r="AC65" s="123">
        <f>+Actuals!Z152</f>
        <v>0</v>
      </c>
      <c r="AD65" s="122">
        <f>+Actuals!AA152</f>
        <v>0</v>
      </c>
      <c r="AE65" s="123">
        <f>+Actuals!AB152</f>
        <v>0</v>
      </c>
      <c r="AF65" s="122">
        <f>+Actuals!AC152</f>
        <v>0</v>
      </c>
      <c r="AG65" s="123">
        <f>+Actuals!AD152</f>
        <v>0</v>
      </c>
      <c r="AH65" s="122">
        <f>+Actuals!AE152</f>
        <v>0</v>
      </c>
      <c r="AI65" s="123">
        <f>+Actuals!AF152</f>
        <v>0</v>
      </c>
      <c r="AJ65" s="122">
        <f>+Actuals!AG152</f>
        <v>0</v>
      </c>
      <c r="AK65" s="123">
        <f>+Actuals!AH152</f>
        <v>0</v>
      </c>
      <c r="AL65" s="122">
        <f>+Actuals!AI152</f>
        <v>0</v>
      </c>
      <c r="AM65" s="123">
        <f>+Actuals!AJ152</f>
        <v>0</v>
      </c>
      <c r="AN65" s="122">
        <f>+Actuals!AK152</f>
        <v>0</v>
      </c>
      <c r="AO65" s="123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ref="J66:AO66" si="29">SUM(J64:J65)</f>
        <v>0</v>
      </c>
      <c r="K66" s="39">
        <f t="shared" si="29"/>
        <v>0</v>
      </c>
      <c r="L66" s="61">
        <f t="shared" si="29"/>
        <v>0</v>
      </c>
      <c r="M66" s="39">
        <f t="shared" si="29"/>
        <v>0</v>
      </c>
      <c r="N66" s="61">
        <f t="shared" ref="N66:S66" si="30">SUM(N64:N65)</f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29"/>
        <v>0</v>
      </c>
      <c r="U66" s="39">
        <f t="shared" si="29"/>
        <v>0</v>
      </c>
      <c r="V66" s="61">
        <f t="shared" si="29"/>
        <v>0</v>
      </c>
      <c r="W66" s="39">
        <f t="shared" si="29"/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si="29"/>
        <v>0</v>
      </c>
      <c r="AC66" s="39">
        <f t="shared" si="29"/>
        <v>0</v>
      </c>
      <c r="AD66" s="61">
        <f t="shared" si="29"/>
        <v>0</v>
      </c>
      <c r="AE66" s="39">
        <f t="shared" si="29"/>
        <v>0</v>
      </c>
      <c r="AF66" s="61">
        <f t="shared" si="29"/>
        <v>0</v>
      </c>
      <c r="AG66" s="39">
        <f t="shared" si="29"/>
        <v>0</v>
      </c>
      <c r="AH66" s="61">
        <f t="shared" si="29"/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si="29"/>
        <v>0</v>
      </c>
      <c r="AO66" s="39">
        <f t="shared" si="29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6350126.2999999998</v>
      </c>
      <c r="F70" s="64">
        <f>'TIE-OUT'!AF70+RECLASS!AF70</f>
        <v>0</v>
      </c>
      <c r="G70" s="68">
        <f>'TIE-OUT'!AG70+RECLASS!AG70</f>
        <v>6350126.2999999998</v>
      </c>
      <c r="H70" s="122">
        <f>+Actuals!E153</f>
        <v>0</v>
      </c>
      <c r="I70" s="123">
        <f>+Actuals!F153</f>
        <v>0</v>
      </c>
      <c r="J70" s="122">
        <f>+Actuals!G153</f>
        <v>0</v>
      </c>
      <c r="K70" s="123">
        <f>+Actuals!H153</f>
        <v>0</v>
      </c>
      <c r="L70" s="122">
        <f>+Actuals!I153</f>
        <v>0</v>
      </c>
      <c r="M70" s="123">
        <f>+Actuals!J153</f>
        <v>0</v>
      </c>
      <c r="N70" s="122">
        <f>+Actuals!K153</f>
        <v>0</v>
      </c>
      <c r="O70" s="123">
        <f>+Actuals!L153</f>
        <v>0</v>
      </c>
      <c r="P70" s="122">
        <f>+Actuals!M153</f>
        <v>0</v>
      </c>
      <c r="Q70" s="123">
        <f>+Actuals!N153</f>
        <v>0</v>
      </c>
      <c r="R70" s="122">
        <f>+Actuals!O153</f>
        <v>0</v>
      </c>
      <c r="S70" s="123">
        <f>+Actuals!P153</f>
        <v>0</v>
      </c>
      <c r="T70" s="122">
        <f>+Actuals!Q153</f>
        <v>0</v>
      </c>
      <c r="U70" s="123">
        <f>+Actuals!R153</f>
        <v>0</v>
      </c>
      <c r="V70" s="122">
        <f>+Actuals!S153</f>
        <v>0</v>
      </c>
      <c r="W70" s="123">
        <f>+Actuals!T153</f>
        <v>0</v>
      </c>
      <c r="X70" s="122">
        <f>+Actuals!U153</f>
        <v>0</v>
      </c>
      <c r="Y70" s="123">
        <f>+Actuals!V153</f>
        <v>0</v>
      </c>
      <c r="Z70" s="122">
        <f>+Actuals!W153</f>
        <v>0</v>
      </c>
      <c r="AA70" s="123">
        <f>+Actuals!X153</f>
        <v>0</v>
      </c>
      <c r="AB70" s="122">
        <f>+Actuals!Y153</f>
        <v>0</v>
      </c>
      <c r="AC70" s="123">
        <f>+Actuals!Z153</f>
        <v>0</v>
      </c>
      <c r="AD70" s="122">
        <f>+Actuals!AA153</f>
        <v>0</v>
      </c>
      <c r="AE70" s="123">
        <f>+Actuals!AB153</f>
        <v>0</v>
      </c>
      <c r="AF70" s="122">
        <f>+Actuals!AC153</f>
        <v>0</v>
      </c>
      <c r="AG70" s="123">
        <f>+Actuals!AD153</f>
        <v>0</v>
      </c>
      <c r="AH70" s="122">
        <f>+Actuals!AE153</f>
        <v>0</v>
      </c>
      <c r="AI70" s="123">
        <f>+Actuals!AF153</f>
        <v>0</v>
      </c>
      <c r="AJ70" s="122">
        <f>+Actuals!AG153</f>
        <v>0</v>
      </c>
      <c r="AK70" s="123">
        <f>+Actuals!AH153</f>
        <v>0</v>
      </c>
      <c r="AL70" s="122">
        <f>+Actuals!AI153</f>
        <v>0</v>
      </c>
      <c r="AM70" s="123">
        <f>+Actuals!AJ153</f>
        <v>0</v>
      </c>
      <c r="AN70" s="122">
        <f>+Actuals!AK153</f>
        <v>0</v>
      </c>
      <c r="AO70" s="123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-6830063</v>
      </c>
      <c r="F71" s="81">
        <f>'TIE-OUT'!AF71+RECLASS!AF71</f>
        <v>0</v>
      </c>
      <c r="G71" s="82">
        <f>'TIE-OUT'!AG71+RECLASS!AG71</f>
        <v>-6830063</v>
      </c>
      <c r="H71" s="122">
        <f>+Actuals!E154</f>
        <v>0</v>
      </c>
      <c r="I71" s="123">
        <f>+Actuals!F154</f>
        <v>0</v>
      </c>
      <c r="J71" s="122">
        <f>+Actuals!G154</f>
        <v>0</v>
      </c>
      <c r="K71" s="123">
        <f>+Actuals!H154</f>
        <v>0</v>
      </c>
      <c r="L71" s="122">
        <f>+Actuals!I154</f>
        <v>0</v>
      </c>
      <c r="M71" s="123">
        <f>+Actuals!J154</f>
        <v>0</v>
      </c>
      <c r="N71" s="122">
        <f>+Actuals!K154</f>
        <v>0</v>
      </c>
      <c r="O71" s="123">
        <f>+Actuals!L154</f>
        <v>0</v>
      </c>
      <c r="P71" s="122">
        <f>+Actuals!M154</f>
        <v>0</v>
      </c>
      <c r="Q71" s="123">
        <f>+Actuals!N154</f>
        <v>0</v>
      </c>
      <c r="R71" s="122">
        <f>+Actuals!O154</f>
        <v>0</v>
      </c>
      <c r="S71" s="123">
        <f>+Actuals!P154</f>
        <v>0</v>
      </c>
      <c r="T71" s="122">
        <f>+Actuals!Q154</f>
        <v>0</v>
      </c>
      <c r="U71" s="123">
        <f>+Actuals!R154</f>
        <v>0</v>
      </c>
      <c r="V71" s="122">
        <f>+Actuals!S154</f>
        <v>0</v>
      </c>
      <c r="W71" s="123">
        <f>+Actuals!T154</f>
        <v>0</v>
      </c>
      <c r="X71" s="122">
        <f>+Actuals!U154</f>
        <v>0</v>
      </c>
      <c r="Y71" s="123">
        <f>+Actuals!V154</f>
        <v>0</v>
      </c>
      <c r="Z71" s="122">
        <f>+Actuals!W154</f>
        <v>0</v>
      </c>
      <c r="AA71" s="123">
        <f>+Actuals!X154</f>
        <v>0</v>
      </c>
      <c r="AB71" s="122">
        <f>+Actuals!Y154</f>
        <v>0</v>
      </c>
      <c r="AC71" s="123">
        <f>+Actuals!Z154</f>
        <v>0</v>
      </c>
      <c r="AD71" s="122">
        <f>+Actuals!AA154</f>
        <v>0</v>
      </c>
      <c r="AE71" s="123">
        <f>+Actuals!AB154</f>
        <v>0</v>
      </c>
      <c r="AF71" s="122">
        <f>+Actuals!AC154</f>
        <v>0</v>
      </c>
      <c r="AG71" s="123">
        <f>+Actuals!AD154</f>
        <v>0</v>
      </c>
      <c r="AH71" s="122">
        <f>+Actuals!AE154</f>
        <v>0</v>
      </c>
      <c r="AI71" s="123">
        <f>+Actuals!AF154</f>
        <v>0</v>
      </c>
      <c r="AJ71" s="122">
        <f>+Actuals!AG154</f>
        <v>0</v>
      </c>
      <c r="AK71" s="123">
        <f>+Actuals!AH154</f>
        <v>0</v>
      </c>
      <c r="AL71" s="122">
        <f>+Actuals!AI154</f>
        <v>0</v>
      </c>
      <c r="AM71" s="123">
        <f>+Actuals!AJ154</f>
        <v>0</v>
      </c>
      <c r="AN71" s="122">
        <f>+Actuals!AK154</f>
        <v>0</v>
      </c>
      <c r="AO71" s="123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31">SUM(D70:D71)</f>
        <v>0</v>
      </c>
      <c r="E72" s="39">
        <f t="shared" si="31"/>
        <v>-479936.70000000019</v>
      </c>
      <c r="F72" s="61">
        <f t="shared" si="31"/>
        <v>0</v>
      </c>
      <c r="G72" s="39">
        <f t="shared" si="31"/>
        <v>-479936.70000000019</v>
      </c>
      <c r="H72" s="61">
        <f t="shared" si="31"/>
        <v>0</v>
      </c>
      <c r="I72" s="39">
        <f t="shared" si="31"/>
        <v>0</v>
      </c>
      <c r="J72" s="61">
        <f t="shared" ref="J72:AO72" si="32">SUM(J70:J71)</f>
        <v>0</v>
      </c>
      <c r="K72" s="39">
        <f t="shared" si="32"/>
        <v>0</v>
      </c>
      <c r="L72" s="61">
        <f t="shared" si="32"/>
        <v>0</v>
      </c>
      <c r="M72" s="39">
        <f t="shared" si="32"/>
        <v>0</v>
      </c>
      <c r="N72" s="61">
        <f t="shared" ref="N72:S72" si="33">SUM(N70:N71)</f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2"/>
        <v>0</v>
      </c>
      <c r="U72" s="39">
        <f t="shared" si="32"/>
        <v>0</v>
      </c>
      <c r="V72" s="61">
        <f t="shared" si="32"/>
        <v>0</v>
      </c>
      <c r="W72" s="39">
        <f t="shared" si="32"/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si="32"/>
        <v>0</v>
      </c>
      <c r="AC72" s="39">
        <f t="shared" si="32"/>
        <v>0</v>
      </c>
      <c r="AD72" s="61">
        <f t="shared" si="32"/>
        <v>0</v>
      </c>
      <c r="AE72" s="39">
        <f t="shared" si="32"/>
        <v>0</v>
      </c>
      <c r="AF72" s="61">
        <f t="shared" si="32"/>
        <v>0</v>
      </c>
      <c r="AG72" s="39">
        <f t="shared" si="32"/>
        <v>0</v>
      </c>
      <c r="AH72" s="61">
        <f t="shared" si="32"/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si="32"/>
        <v>0</v>
      </c>
      <c r="AO72" s="39">
        <f t="shared" si="3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34">SUM(F73,H73,J73,L73,N73,P73,R73,T73,V73,X73,Z73,AB73,AD73)</f>
        <v>0</v>
      </c>
      <c r="E73" s="38">
        <f t="shared" si="34"/>
        <v>0</v>
      </c>
      <c r="F73" s="60">
        <f>'TIE-OUT'!AF73+RECLASS!AF73</f>
        <v>0</v>
      </c>
      <c r="G73" s="60">
        <f>'TIE-OUT'!AG73+RECLASS!AG73</f>
        <v>0</v>
      </c>
      <c r="H73" s="122">
        <f>+Actuals!E155</f>
        <v>0</v>
      </c>
      <c r="I73" s="123">
        <f>+Actuals!F155</f>
        <v>0</v>
      </c>
      <c r="J73" s="122">
        <f>+Actuals!G155</f>
        <v>0</v>
      </c>
      <c r="K73" s="123">
        <f>+Actuals!H155</f>
        <v>0</v>
      </c>
      <c r="L73" s="122">
        <f>+Actuals!I155</f>
        <v>0</v>
      </c>
      <c r="M73" s="123">
        <f>+Actuals!J155</f>
        <v>0</v>
      </c>
      <c r="N73" s="122">
        <f>+Actuals!K155</f>
        <v>0</v>
      </c>
      <c r="O73" s="123">
        <f>+Actuals!L155</f>
        <v>0</v>
      </c>
      <c r="P73" s="122">
        <f>+Actuals!M155</f>
        <v>0</v>
      </c>
      <c r="Q73" s="123">
        <f>+Actuals!N155</f>
        <v>0</v>
      </c>
      <c r="R73" s="122">
        <f>+Actuals!O155</f>
        <v>0</v>
      </c>
      <c r="S73" s="123">
        <f>+Actuals!P155</f>
        <v>0</v>
      </c>
      <c r="T73" s="122">
        <f>+Actuals!Q155</f>
        <v>0</v>
      </c>
      <c r="U73" s="123">
        <f>+Actuals!R155</f>
        <v>0</v>
      </c>
      <c r="V73" s="122">
        <f>+Actuals!S155</f>
        <v>0</v>
      </c>
      <c r="W73" s="123">
        <f>+Actuals!T155</f>
        <v>0</v>
      </c>
      <c r="X73" s="122">
        <f>+Actuals!U155</f>
        <v>0</v>
      </c>
      <c r="Y73" s="123">
        <f>+Actuals!V155</f>
        <v>0</v>
      </c>
      <c r="Z73" s="122">
        <f>+Actuals!W155</f>
        <v>0</v>
      </c>
      <c r="AA73" s="123">
        <f>+Actuals!X155</f>
        <v>0</v>
      </c>
      <c r="AB73" s="122">
        <f>+Actuals!Y155</f>
        <v>0</v>
      </c>
      <c r="AC73" s="123">
        <f>+Actuals!Z155</f>
        <v>0</v>
      </c>
      <c r="AD73" s="122">
        <f>+Actuals!AA155</f>
        <v>0</v>
      </c>
      <c r="AE73" s="123">
        <f>+Actuals!AB155</f>
        <v>0</v>
      </c>
      <c r="AF73" s="122">
        <f>+Actuals!AC155</f>
        <v>0</v>
      </c>
      <c r="AG73" s="123">
        <f>+Actuals!AD155</f>
        <v>0</v>
      </c>
      <c r="AH73" s="122">
        <f>+Actuals!AE155</f>
        <v>0</v>
      </c>
      <c r="AI73" s="123">
        <f>+Actuals!AF155</f>
        <v>0</v>
      </c>
      <c r="AJ73" s="122">
        <f>+Actuals!AG155</f>
        <v>0</v>
      </c>
      <c r="AK73" s="123">
        <f>+Actuals!AH155</f>
        <v>0</v>
      </c>
      <c r="AL73" s="122">
        <f>+Actuals!AI155</f>
        <v>0</v>
      </c>
      <c r="AM73" s="123">
        <f>+Actuals!AJ155</f>
        <v>0</v>
      </c>
      <c r="AN73" s="122">
        <f>+Actuals!AK155</f>
        <v>0</v>
      </c>
      <c r="AO73" s="123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34"/>
        <v>0</v>
      </c>
      <c r="E74" s="38">
        <f t="shared" si="34"/>
        <v>-1654984</v>
      </c>
      <c r="F74" s="60">
        <f>'TIE-OUT'!AF74+RECLASS!AF74</f>
        <v>0</v>
      </c>
      <c r="G74" s="60">
        <f>'TIE-OUT'!AG74+RECLASS!AG74</f>
        <v>-1654984</v>
      </c>
      <c r="H74" s="122">
        <f>+Actuals!E156</f>
        <v>0</v>
      </c>
      <c r="I74" s="123">
        <f>+Actuals!F156</f>
        <v>0</v>
      </c>
      <c r="J74" s="122">
        <f>+Actuals!G156</f>
        <v>0</v>
      </c>
      <c r="K74" s="123">
        <f>+Actuals!H156</f>
        <v>0</v>
      </c>
      <c r="L74" s="122">
        <f>+Actuals!I156</f>
        <v>0</v>
      </c>
      <c r="M74" s="123">
        <f>+Actuals!J156</f>
        <v>0</v>
      </c>
      <c r="N74" s="122">
        <f>+Actuals!K156</f>
        <v>0</v>
      </c>
      <c r="O74" s="123">
        <f>+Actuals!L156</f>
        <v>0</v>
      </c>
      <c r="P74" s="122">
        <f>+Actuals!M156</f>
        <v>0</v>
      </c>
      <c r="Q74" s="123">
        <f>+Actuals!N156</f>
        <v>0</v>
      </c>
      <c r="R74" s="122">
        <f>+Actuals!O156</f>
        <v>0</v>
      </c>
      <c r="S74" s="123">
        <f>+Actuals!P156</f>
        <v>0</v>
      </c>
      <c r="T74" s="122">
        <f>+Actuals!Q156</f>
        <v>0</v>
      </c>
      <c r="U74" s="123">
        <f>+Actuals!R156</f>
        <v>0</v>
      </c>
      <c r="V74" s="122">
        <f>+Actuals!S156</f>
        <v>0</v>
      </c>
      <c r="W74" s="123">
        <f>+Actuals!T156</f>
        <v>0</v>
      </c>
      <c r="X74" s="122">
        <f>+Actuals!U156</f>
        <v>0</v>
      </c>
      <c r="Y74" s="123">
        <f>+Actuals!V156</f>
        <v>0</v>
      </c>
      <c r="Z74" s="122">
        <f>+Actuals!W156</f>
        <v>0</v>
      </c>
      <c r="AA74" s="123">
        <f>+Actuals!X156</f>
        <v>0</v>
      </c>
      <c r="AB74" s="122">
        <f>+Actuals!Y156</f>
        <v>0</v>
      </c>
      <c r="AC74" s="123">
        <f>+Actuals!Z156</f>
        <v>0</v>
      </c>
      <c r="AD74" s="122">
        <f>+Actuals!AA156</f>
        <v>0</v>
      </c>
      <c r="AE74" s="123">
        <f>+Actuals!AB156</f>
        <v>0</v>
      </c>
      <c r="AF74" s="122">
        <f>+Actuals!AC156</f>
        <v>0</v>
      </c>
      <c r="AG74" s="123">
        <f>+Actuals!AD156</f>
        <v>0</v>
      </c>
      <c r="AH74" s="122">
        <f>+Actuals!AE156</f>
        <v>0</v>
      </c>
      <c r="AI74" s="123">
        <f>+Actuals!AF156</f>
        <v>0</v>
      </c>
      <c r="AJ74" s="122">
        <f>+Actuals!AG156</f>
        <v>0</v>
      </c>
      <c r="AK74" s="123">
        <f>+Actuals!AH156</f>
        <v>0</v>
      </c>
      <c r="AL74" s="122">
        <f>+Actuals!AI156</f>
        <v>0</v>
      </c>
      <c r="AM74" s="123">
        <f>+Actuals!AJ156</f>
        <v>0</v>
      </c>
      <c r="AN74" s="122">
        <f>+Actuals!AK156</f>
        <v>0</v>
      </c>
      <c r="AO74" s="123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34"/>
        <v>0</v>
      </c>
      <c r="E75" s="38">
        <f t="shared" si="34"/>
        <v>22800</v>
      </c>
      <c r="F75" s="60">
        <f>'TIE-OUT'!AF75+RECLASS!AF75</f>
        <v>0</v>
      </c>
      <c r="G75" s="60">
        <f>'TIE-OUT'!AG75+RECLASS!AG75</f>
        <v>22800</v>
      </c>
      <c r="H75" s="122">
        <f>+Actuals!E157</f>
        <v>0</v>
      </c>
      <c r="I75" s="123">
        <f>+Actuals!F157</f>
        <v>0</v>
      </c>
      <c r="J75" s="122">
        <f>+Actuals!G157</f>
        <v>0</v>
      </c>
      <c r="K75" s="123">
        <f>+Actuals!H157</f>
        <v>0</v>
      </c>
      <c r="L75" s="122">
        <f>+Actuals!I157</f>
        <v>0</v>
      </c>
      <c r="M75" s="123">
        <f>+Actuals!J157</f>
        <v>0</v>
      </c>
      <c r="N75" s="122">
        <f>+Actuals!K157</f>
        <v>0</v>
      </c>
      <c r="O75" s="123">
        <f>+Actuals!L157</f>
        <v>0</v>
      </c>
      <c r="P75" s="122">
        <f>+Actuals!M157</f>
        <v>0</v>
      </c>
      <c r="Q75" s="123">
        <f>+Actuals!N157</f>
        <v>0</v>
      </c>
      <c r="R75" s="122">
        <f>+Actuals!O157</f>
        <v>0</v>
      </c>
      <c r="S75" s="123">
        <f>+Actuals!P157</f>
        <v>0</v>
      </c>
      <c r="T75" s="122">
        <f>+Actuals!Q157</f>
        <v>0</v>
      </c>
      <c r="U75" s="123">
        <f>+Actuals!R157</f>
        <v>0</v>
      </c>
      <c r="V75" s="122">
        <f>+Actuals!S157</f>
        <v>0</v>
      </c>
      <c r="W75" s="123">
        <f>+Actuals!T157</f>
        <v>0</v>
      </c>
      <c r="X75" s="122">
        <f>+Actuals!U157</f>
        <v>0</v>
      </c>
      <c r="Y75" s="123">
        <f>+Actuals!V157</f>
        <v>0</v>
      </c>
      <c r="Z75" s="122">
        <f>+Actuals!W157</f>
        <v>0</v>
      </c>
      <c r="AA75" s="123">
        <f>+Actuals!X157</f>
        <v>0</v>
      </c>
      <c r="AB75" s="122">
        <f>+Actuals!Y157</f>
        <v>0</v>
      </c>
      <c r="AC75" s="123">
        <f>+Actuals!Z157</f>
        <v>0</v>
      </c>
      <c r="AD75" s="122">
        <f>+Actuals!AA157</f>
        <v>0</v>
      </c>
      <c r="AE75" s="123">
        <f>+Actuals!AB157</f>
        <v>0</v>
      </c>
      <c r="AF75" s="122">
        <f>+Actuals!AC157</f>
        <v>0</v>
      </c>
      <c r="AG75" s="123">
        <f>+Actuals!AD157</f>
        <v>0</v>
      </c>
      <c r="AH75" s="122">
        <f>+Actuals!AE157</f>
        <v>0</v>
      </c>
      <c r="AI75" s="123">
        <f>+Actuals!AF157</f>
        <v>0</v>
      </c>
      <c r="AJ75" s="122">
        <f>+Actuals!AG157</f>
        <v>0</v>
      </c>
      <c r="AK75" s="123">
        <f>+Actuals!AH157</f>
        <v>0</v>
      </c>
      <c r="AL75" s="122">
        <f>+Actuals!AI157</f>
        <v>0</v>
      </c>
      <c r="AM75" s="123">
        <f>+Actuals!AJ157</f>
        <v>0</v>
      </c>
      <c r="AN75" s="122">
        <f>+Actuals!AK157</f>
        <v>0</v>
      </c>
      <c r="AO75" s="123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34"/>
        <v>0</v>
      </c>
      <c r="E76" s="38">
        <f t="shared" si="34"/>
        <v>0</v>
      </c>
      <c r="F76" s="60">
        <f>'TIE-OUT'!AF76+RECLASS!AF76</f>
        <v>0</v>
      </c>
      <c r="G76" s="60">
        <f>'TIE-OUT'!AG76+RECLASS!AG76</f>
        <v>0</v>
      </c>
      <c r="H76" s="122">
        <f>+Actuals!E158</f>
        <v>0</v>
      </c>
      <c r="I76" s="123">
        <f>+Actuals!F158</f>
        <v>0</v>
      </c>
      <c r="J76" s="122">
        <f>+Actuals!G158</f>
        <v>0</v>
      </c>
      <c r="K76" s="123">
        <f>+Actuals!H158</f>
        <v>0</v>
      </c>
      <c r="L76" s="122">
        <f>+Actuals!I158</f>
        <v>0</v>
      </c>
      <c r="M76" s="123">
        <f>+Actuals!J158</f>
        <v>0</v>
      </c>
      <c r="N76" s="122">
        <f>+Actuals!K158</f>
        <v>0</v>
      </c>
      <c r="O76" s="123">
        <f>+Actuals!L158</f>
        <v>0</v>
      </c>
      <c r="P76" s="122">
        <f>+Actuals!M158</f>
        <v>0</v>
      </c>
      <c r="Q76" s="123">
        <f>+Actuals!N158</f>
        <v>0</v>
      </c>
      <c r="R76" s="122">
        <f>+Actuals!O158</f>
        <v>0</v>
      </c>
      <c r="S76" s="123">
        <f>+Actuals!P158</f>
        <v>0</v>
      </c>
      <c r="T76" s="122">
        <f>+Actuals!Q158</f>
        <v>0</v>
      </c>
      <c r="U76" s="123">
        <f>+Actuals!R158</f>
        <v>0</v>
      </c>
      <c r="V76" s="122">
        <f>+Actuals!S158</f>
        <v>0</v>
      </c>
      <c r="W76" s="123">
        <f>+Actuals!T158</f>
        <v>0</v>
      </c>
      <c r="X76" s="122">
        <f>+Actuals!U158</f>
        <v>0</v>
      </c>
      <c r="Y76" s="123">
        <f>+Actuals!V158</f>
        <v>0</v>
      </c>
      <c r="Z76" s="122">
        <f>+Actuals!W158</f>
        <v>0</v>
      </c>
      <c r="AA76" s="123">
        <f>+Actuals!X158</f>
        <v>0</v>
      </c>
      <c r="AB76" s="122">
        <f>+Actuals!Y158</f>
        <v>0</v>
      </c>
      <c r="AC76" s="123">
        <f>+Actuals!Z158</f>
        <v>0</v>
      </c>
      <c r="AD76" s="122">
        <f>+Actuals!AA158</f>
        <v>0</v>
      </c>
      <c r="AE76" s="123">
        <f>+Actuals!AB158</f>
        <v>0</v>
      </c>
      <c r="AF76" s="122">
        <f>+Actuals!AC158</f>
        <v>0</v>
      </c>
      <c r="AG76" s="123">
        <f>+Actuals!AD158</f>
        <v>0</v>
      </c>
      <c r="AH76" s="122">
        <f>+Actuals!AE158</f>
        <v>0</v>
      </c>
      <c r="AI76" s="123">
        <f>+Actuals!AF158</f>
        <v>0</v>
      </c>
      <c r="AJ76" s="122">
        <f>+Actuals!AG158</f>
        <v>0</v>
      </c>
      <c r="AK76" s="123">
        <f>+Actuals!AH158</f>
        <v>0</v>
      </c>
      <c r="AL76" s="122">
        <f>+Actuals!AI158</f>
        <v>0</v>
      </c>
      <c r="AM76" s="123">
        <f>+Actuals!AJ158</f>
        <v>0</v>
      </c>
      <c r="AN76" s="122">
        <f>+Actuals!AK158</f>
        <v>0</v>
      </c>
      <c r="AO76" s="123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34"/>
        <v>0</v>
      </c>
      <c r="E77" s="38">
        <f t="shared" si="34"/>
        <v>0</v>
      </c>
      <c r="F77" s="60">
        <f>'TIE-OUT'!AF77+RECLASS!AF77</f>
        <v>0</v>
      </c>
      <c r="G77" s="60">
        <f>'TIE-OUT'!AG77+RECLASS!AG77</f>
        <v>0</v>
      </c>
      <c r="H77" s="122">
        <f>+Actuals!E159</f>
        <v>0</v>
      </c>
      <c r="I77" s="123">
        <f>+Actuals!F159</f>
        <v>0</v>
      </c>
      <c r="J77" s="122">
        <f>+Actuals!G159</f>
        <v>0</v>
      </c>
      <c r="K77" s="123">
        <f>+Actuals!H159</f>
        <v>0</v>
      </c>
      <c r="L77" s="122">
        <f>+Actuals!I159</f>
        <v>0</v>
      </c>
      <c r="M77" s="123">
        <f>+Actuals!J159</f>
        <v>0</v>
      </c>
      <c r="N77" s="122">
        <f>+Actuals!K159</f>
        <v>0</v>
      </c>
      <c r="O77" s="123">
        <f>+Actuals!L159</f>
        <v>0</v>
      </c>
      <c r="P77" s="122">
        <f>+Actuals!M159</f>
        <v>0</v>
      </c>
      <c r="Q77" s="123">
        <f>+Actuals!N159</f>
        <v>0</v>
      </c>
      <c r="R77" s="122">
        <f>+Actuals!O159</f>
        <v>0</v>
      </c>
      <c r="S77" s="123">
        <f>+Actuals!P159</f>
        <v>0</v>
      </c>
      <c r="T77" s="122">
        <f>+Actuals!Q159</f>
        <v>0</v>
      </c>
      <c r="U77" s="123">
        <f>+Actuals!R159</f>
        <v>0</v>
      </c>
      <c r="V77" s="122">
        <f>+Actuals!S159</f>
        <v>0</v>
      </c>
      <c r="W77" s="123">
        <f>+Actuals!T159</f>
        <v>0</v>
      </c>
      <c r="X77" s="122">
        <f>+Actuals!U159</f>
        <v>0</v>
      </c>
      <c r="Y77" s="123">
        <f>+Actuals!V159</f>
        <v>0</v>
      </c>
      <c r="Z77" s="122">
        <f>+Actuals!W159</f>
        <v>0</v>
      </c>
      <c r="AA77" s="123">
        <f>+Actuals!X159</f>
        <v>0</v>
      </c>
      <c r="AB77" s="122">
        <f>+Actuals!Y159</f>
        <v>0</v>
      </c>
      <c r="AC77" s="123">
        <f>+Actuals!Z159</f>
        <v>0</v>
      </c>
      <c r="AD77" s="122">
        <f>+Actuals!AA159</f>
        <v>0</v>
      </c>
      <c r="AE77" s="123">
        <f>+Actuals!AB159</f>
        <v>0</v>
      </c>
      <c r="AF77" s="122">
        <f>+Actuals!AC159</f>
        <v>0</v>
      </c>
      <c r="AG77" s="123">
        <f>+Actuals!AD159</f>
        <v>0</v>
      </c>
      <c r="AH77" s="122">
        <f>+Actuals!AE159</f>
        <v>0</v>
      </c>
      <c r="AI77" s="123">
        <f>+Actuals!AF159</f>
        <v>0</v>
      </c>
      <c r="AJ77" s="122">
        <f>+Actuals!AG159</f>
        <v>0</v>
      </c>
      <c r="AK77" s="123">
        <f>+Actuals!AH159</f>
        <v>0</v>
      </c>
      <c r="AL77" s="122">
        <f>+Actuals!AI159</f>
        <v>0</v>
      </c>
      <c r="AM77" s="123">
        <f>+Actuals!AJ159</f>
        <v>0</v>
      </c>
      <c r="AN77" s="122">
        <f>+Actuals!AK159</f>
        <v>0</v>
      </c>
      <c r="AO77" s="123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34"/>
        <v>0</v>
      </c>
      <c r="E78" s="38">
        <f t="shared" si="34"/>
        <v>0</v>
      </c>
      <c r="F78" s="60">
        <f>'TIE-OUT'!AF78+RECLASS!AF78</f>
        <v>0</v>
      </c>
      <c r="G78" s="60">
        <f>'TIE-OUT'!AG78+RECLASS!AG78</f>
        <v>0</v>
      </c>
      <c r="H78" s="122">
        <f>+Actuals!E160</f>
        <v>0</v>
      </c>
      <c r="I78" s="123">
        <f>+Actuals!F160</f>
        <v>0</v>
      </c>
      <c r="J78" s="122">
        <f>+Actuals!G160</f>
        <v>0</v>
      </c>
      <c r="K78" s="123">
        <f>+Actuals!H160</f>
        <v>0</v>
      </c>
      <c r="L78" s="122">
        <f>+Actuals!I160</f>
        <v>0</v>
      </c>
      <c r="M78" s="123">
        <f>+Actuals!J160</f>
        <v>0</v>
      </c>
      <c r="N78" s="122">
        <f>+Actuals!K160</f>
        <v>0</v>
      </c>
      <c r="O78" s="123">
        <f>+Actuals!L160</f>
        <v>0</v>
      </c>
      <c r="P78" s="122">
        <f>+Actuals!M160</f>
        <v>0</v>
      </c>
      <c r="Q78" s="123">
        <f>+Actuals!N160</f>
        <v>0</v>
      </c>
      <c r="R78" s="122">
        <f>+Actuals!O160</f>
        <v>0</v>
      </c>
      <c r="S78" s="123">
        <f>+Actuals!P160</f>
        <v>0</v>
      </c>
      <c r="T78" s="122">
        <f>+Actuals!Q160</f>
        <v>0</v>
      </c>
      <c r="U78" s="123">
        <f>+Actuals!R160</f>
        <v>0</v>
      </c>
      <c r="V78" s="122">
        <f>+Actuals!S160</f>
        <v>0</v>
      </c>
      <c r="W78" s="123">
        <f>+Actuals!T160</f>
        <v>0</v>
      </c>
      <c r="X78" s="122">
        <f>+Actuals!U160</f>
        <v>0</v>
      </c>
      <c r="Y78" s="123">
        <f>+Actuals!V160</f>
        <v>0</v>
      </c>
      <c r="Z78" s="122">
        <f>+Actuals!W160</f>
        <v>0</v>
      </c>
      <c r="AA78" s="123">
        <f>+Actuals!X160</f>
        <v>0</v>
      </c>
      <c r="AB78" s="122">
        <f>+Actuals!Y160</f>
        <v>0</v>
      </c>
      <c r="AC78" s="123">
        <f>+Actuals!Z160</f>
        <v>0</v>
      </c>
      <c r="AD78" s="122">
        <f>+Actuals!AA160</f>
        <v>0</v>
      </c>
      <c r="AE78" s="123">
        <f>+Actuals!AB160</f>
        <v>0</v>
      </c>
      <c r="AF78" s="122">
        <f>+Actuals!AC160</f>
        <v>0</v>
      </c>
      <c r="AG78" s="123">
        <f>+Actuals!AD160</f>
        <v>0</v>
      </c>
      <c r="AH78" s="122">
        <f>+Actuals!AE160</f>
        <v>0</v>
      </c>
      <c r="AI78" s="123">
        <f>+Actuals!AF160</f>
        <v>0</v>
      </c>
      <c r="AJ78" s="122">
        <f>+Actuals!AG160</f>
        <v>0</v>
      </c>
      <c r="AK78" s="123">
        <f>+Actuals!AH160</f>
        <v>0</v>
      </c>
      <c r="AL78" s="122">
        <f>+Actuals!AI160</f>
        <v>0</v>
      </c>
      <c r="AM78" s="123">
        <f>+Actuals!AJ160</f>
        <v>0</v>
      </c>
      <c r="AN78" s="122">
        <f>+Actuals!AK160</f>
        <v>0</v>
      </c>
      <c r="AO78" s="123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34"/>
        <v>0</v>
      </c>
      <c r="E79" s="38">
        <f t="shared" si="34"/>
        <v>0</v>
      </c>
      <c r="F79" s="60">
        <f>'TIE-OUT'!AF79+RECLASS!AF79</f>
        <v>0</v>
      </c>
      <c r="G79" s="60">
        <f>'TIE-OUT'!AG79+RECLASS!AG79</f>
        <v>0</v>
      </c>
      <c r="H79" s="122">
        <f>+Actuals!E161</f>
        <v>0</v>
      </c>
      <c r="I79" s="123">
        <f>+Actuals!F161</f>
        <v>0</v>
      </c>
      <c r="J79" s="122">
        <f>+Actuals!G161</f>
        <v>0</v>
      </c>
      <c r="K79" s="123">
        <f>+Actuals!H161</f>
        <v>0</v>
      </c>
      <c r="L79" s="122">
        <f>+Actuals!I161</f>
        <v>0</v>
      </c>
      <c r="M79" s="123">
        <f>+Actuals!J161</f>
        <v>0</v>
      </c>
      <c r="N79" s="122">
        <f>+Actuals!K161</f>
        <v>0</v>
      </c>
      <c r="O79" s="123">
        <f>+Actuals!L161</f>
        <v>0</v>
      </c>
      <c r="P79" s="122">
        <f>+Actuals!M161</f>
        <v>0</v>
      </c>
      <c r="Q79" s="123">
        <f>+Actuals!N161</f>
        <v>0</v>
      </c>
      <c r="R79" s="122">
        <f>+Actuals!O161</f>
        <v>0</v>
      </c>
      <c r="S79" s="123">
        <f>+Actuals!P161</f>
        <v>0</v>
      </c>
      <c r="T79" s="122">
        <f>+Actuals!Q161</f>
        <v>0</v>
      </c>
      <c r="U79" s="123">
        <f>+Actuals!R161</f>
        <v>0</v>
      </c>
      <c r="V79" s="122">
        <f>+Actuals!S161</f>
        <v>0</v>
      </c>
      <c r="W79" s="123">
        <f>+Actuals!T161</f>
        <v>0</v>
      </c>
      <c r="X79" s="122">
        <f>+Actuals!U161</f>
        <v>0</v>
      </c>
      <c r="Y79" s="123">
        <f>+Actuals!V161</f>
        <v>0</v>
      </c>
      <c r="Z79" s="122">
        <f>+Actuals!W161</f>
        <v>0</v>
      </c>
      <c r="AA79" s="123">
        <f>+Actuals!X161</f>
        <v>0</v>
      </c>
      <c r="AB79" s="122">
        <f>+Actuals!Y161</f>
        <v>0</v>
      </c>
      <c r="AC79" s="123">
        <f>+Actuals!Z161</f>
        <v>0</v>
      </c>
      <c r="AD79" s="122">
        <f>+Actuals!AA161</f>
        <v>0</v>
      </c>
      <c r="AE79" s="123">
        <f>+Actuals!AB161</f>
        <v>0</v>
      </c>
      <c r="AF79" s="122">
        <f>+Actuals!AC161</f>
        <v>0</v>
      </c>
      <c r="AG79" s="123">
        <f>+Actuals!AD161</f>
        <v>0</v>
      </c>
      <c r="AH79" s="122">
        <f>+Actuals!AE161</f>
        <v>0</v>
      </c>
      <c r="AI79" s="123">
        <f>+Actuals!AF161</f>
        <v>0</v>
      </c>
      <c r="AJ79" s="122">
        <f>+Actuals!AG161</f>
        <v>0</v>
      </c>
      <c r="AK79" s="123">
        <f>+Actuals!AH161</f>
        <v>0</v>
      </c>
      <c r="AL79" s="122">
        <f>+Actuals!AI161</f>
        <v>0</v>
      </c>
      <c r="AM79" s="123">
        <f>+Actuals!AJ161</f>
        <v>0</v>
      </c>
      <c r="AN79" s="122">
        <f>+Actuals!AK161</f>
        <v>0</v>
      </c>
      <c r="AO79" s="123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34"/>
        <v>0</v>
      </c>
      <c r="E80" s="38">
        <f t="shared" si="34"/>
        <v>0</v>
      </c>
      <c r="F80" s="60">
        <f>'TIE-OUT'!AF80+RECLASS!AF80</f>
        <v>0</v>
      </c>
      <c r="G80" s="60">
        <f>'TIE-OUT'!AG80+RECLASS!AG80</f>
        <v>0</v>
      </c>
      <c r="H80" s="122">
        <f>+Actuals!E162</f>
        <v>0</v>
      </c>
      <c r="I80" s="123">
        <f>+Actuals!F162</f>
        <v>0</v>
      </c>
      <c r="J80" s="122">
        <f>+Actuals!G162</f>
        <v>0</v>
      </c>
      <c r="K80" s="123">
        <f>+Actuals!H162</f>
        <v>0</v>
      </c>
      <c r="L80" s="122">
        <f>+Actuals!I162</f>
        <v>0</v>
      </c>
      <c r="M80" s="123">
        <f>+Actuals!J162</f>
        <v>0</v>
      </c>
      <c r="N80" s="122">
        <f>+Actuals!K162</f>
        <v>0</v>
      </c>
      <c r="O80" s="123">
        <f>+Actuals!L162</f>
        <v>0</v>
      </c>
      <c r="P80" s="122">
        <f>+Actuals!M162</f>
        <v>0</v>
      </c>
      <c r="Q80" s="123">
        <f>+Actuals!N162</f>
        <v>0</v>
      </c>
      <c r="R80" s="122">
        <f>+Actuals!O162</f>
        <v>0</v>
      </c>
      <c r="S80" s="123">
        <f>+Actuals!P162</f>
        <v>0</v>
      </c>
      <c r="T80" s="122">
        <f>+Actuals!Q162</f>
        <v>0</v>
      </c>
      <c r="U80" s="123">
        <f>+Actuals!R162</f>
        <v>0</v>
      </c>
      <c r="V80" s="122">
        <f>+Actuals!S162</f>
        <v>0</v>
      </c>
      <c r="W80" s="123">
        <f>+Actuals!T162</f>
        <v>0</v>
      </c>
      <c r="X80" s="122">
        <f>+Actuals!U162</f>
        <v>0</v>
      </c>
      <c r="Y80" s="123">
        <f>+Actuals!V162</f>
        <v>0</v>
      </c>
      <c r="Z80" s="122">
        <f>+Actuals!W162</f>
        <v>0</v>
      </c>
      <c r="AA80" s="123">
        <f>+Actuals!X162</f>
        <v>0</v>
      </c>
      <c r="AB80" s="122">
        <f>+Actuals!Y162</f>
        <v>0</v>
      </c>
      <c r="AC80" s="123">
        <f>+Actuals!Z162</f>
        <v>0</v>
      </c>
      <c r="AD80" s="122">
        <f>+Actuals!AA162</f>
        <v>0</v>
      </c>
      <c r="AE80" s="123">
        <f>+Actuals!AB162</f>
        <v>0</v>
      </c>
      <c r="AF80" s="122">
        <f>+Actuals!AC162</f>
        <v>0</v>
      </c>
      <c r="AG80" s="123">
        <f>+Actuals!AD162</f>
        <v>0</v>
      </c>
      <c r="AH80" s="122">
        <f>+Actuals!AE162</f>
        <v>0</v>
      </c>
      <c r="AI80" s="123">
        <f>+Actuals!AF162</f>
        <v>0</v>
      </c>
      <c r="AJ80" s="122">
        <f>+Actuals!AG162</f>
        <v>0</v>
      </c>
      <c r="AK80" s="123">
        <f>+Actuals!AH162</f>
        <v>0</v>
      </c>
      <c r="AL80" s="122">
        <f>+Actuals!AI162</f>
        <v>0</v>
      </c>
      <c r="AM80" s="123">
        <f>+Actuals!AJ162</f>
        <v>0</v>
      </c>
      <c r="AN80" s="122">
        <f>+Actuals!AK162</f>
        <v>0</v>
      </c>
      <c r="AO80" s="123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34"/>
        <v>0</v>
      </c>
      <c r="E81" s="38">
        <f t="shared" si="34"/>
        <v>0</v>
      </c>
      <c r="F81" s="60">
        <f>'TIE-OUT'!AF81+RECLASS!AF81</f>
        <v>0</v>
      </c>
      <c r="G81" s="60">
        <f>'TIE-OUT'!AG81+RECLASS!AG81</f>
        <v>0</v>
      </c>
      <c r="H81" s="122">
        <f>+Actuals!E163</f>
        <v>0</v>
      </c>
      <c r="I81" s="123">
        <f>+Actuals!F163</f>
        <v>0</v>
      </c>
      <c r="J81" s="122">
        <f>+Actuals!G163</f>
        <v>0</v>
      </c>
      <c r="K81" s="123">
        <f>+Actuals!H163</f>
        <v>0</v>
      </c>
      <c r="L81" s="122">
        <f>+Actuals!I163</f>
        <v>0</v>
      </c>
      <c r="M81" s="123">
        <f>+Actuals!J163</f>
        <v>0</v>
      </c>
      <c r="N81" s="122">
        <f>+Actuals!K163</f>
        <v>0</v>
      </c>
      <c r="O81" s="123">
        <f>+Actuals!L163</f>
        <v>0</v>
      </c>
      <c r="P81" s="122">
        <f>+Actuals!M163</f>
        <v>0</v>
      </c>
      <c r="Q81" s="123">
        <f>+Actuals!N163</f>
        <v>0</v>
      </c>
      <c r="R81" s="122">
        <f>+Actuals!O163</f>
        <v>0</v>
      </c>
      <c r="S81" s="123">
        <f>+Actuals!P163</f>
        <v>0</v>
      </c>
      <c r="T81" s="122">
        <f>+Actuals!Q163</f>
        <v>0</v>
      </c>
      <c r="U81" s="123">
        <f>+Actuals!R163</f>
        <v>0</v>
      </c>
      <c r="V81" s="122">
        <f>+Actuals!S163</f>
        <v>0</v>
      </c>
      <c r="W81" s="123">
        <f>+Actuals!T163</f>
        <v>0</v>
      </c>
      <c r="X81" s="122">
        <f>+Actuals!U163</f>
        <v>0</v>
      </c>
      <c r="Y81" s="123">
        <f>+Actuals!V163</f>
        <v>0</v>
      </c>
      <c r="Z81" s="122">
        <f>+Actuals!W163</f>
        <v>0</v>
      </c>
      <c r="AA81" s="123">
        <f>+Actuals!X163</f>
        <v>0</v>
      </c>
      <c r="AB81" s="122">
        <f>+Actuals!Y163</f>
        <v>0</v>
      </c>
      <c r="AC81" s="123">
        <f>+Actuals!Z163</f>
        <v>0</v>
      </c>
      <c r="AD81" s="122">
        <f>+Actuals!AA163</f>
        <v>0</v>
      </c>
      <c r="AE81" s="123">
        <f>+Actuals!AB163</f>
        <v>0</v>
      </c>
      <c r="AF81" s="122">
        <f>+Actuals!AC163</f>
        <v>0</v>
      </c>
      <c r="AG81" s="123">
        <f>+Actuals!AD163</f>
        <v>0</v>
      </c>
      <c r="AH81" s="122">
        <f>+Actuals!AE163</f>
        <v>0</v>
      </c>
      <c r="AI81" s="123">
        <f>+Actuals!AF163</f>
        <v>0</v>
      </c>
      <c r="AJ81" s="122">
        <f>+Actuals!AG163</f>
        <v>0</v>
      </c>
      <c r="AK81" s="123">
        <f>+Actuals!AH163</f>
        <v>0</v>
      </c>
      <c r="AL81" s="122">
        <f>+Actuals!AI163</f>
        <v>0</v>
      </c>
      <c r="AM81" s="123">
        <f>+Actuals!AJ163</f>
        <v>0</v>
      </c>
      <c r="AN81" s="122">
        <f>+Actuals!AK163</f>
        <v>0</v>
      </c>
      <c r="AO81" s="123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1620809.3010000028</v>
      </c>
      <c r="F82" s="91">
        <f>F16+F24+F29+F36+F43+F45+F47+F49</f>
        <v>0</v>
      </c>
      <c r="G82" s="92">
        <f>SUM(G72:G81)+G16+G24+G29+G36+G43+G45+G47+G49+G51+G56+G61+G66</f>
        <v>-3945191.6999999993</v>
      </c>
      <c r="H82" s="91">
        <f>H16+H24+H29+H36+H43+H45+H47+H49</f>
        <v>0</v>
      </c>
      <c r="I82" s="92">
        <f>SUM(I72:I81)+I16+I24+I29+I36+I43+I45+I47+I49+I51+I56+I61+I66</f>
        <v>4137188.0879999734</v>
      </c>
      <c r="J82" s="91">
        <f>J16+J24+J29+J36+J43+J45+J47+J49</f>
        <v>0</v>
      </c>
      <c r="K82" s="139">
        <f>SUM(K72:K81)+K16+K24+K29+K36+K43+K45+K47+K49+K51+K56+K61+K66</f>
        <v>-1542538.8399999947</v>
      </c>
      <c r="L82" s="91">
        <f>L16+L24+L29+L36+L43+L45+L47+L49</f>
        <v>0</v>
      </c>
      <c r="M82" s="92">
        <f>SUM(M72:M81)+M16+M24+M29+M36+M43+M45+M47+M49+M51+M56+M61+M66</f>
        <v>-1070858.959</v>
      </c>
      <c r="N82" s="91">
        <f>N16+N24+N29+N36+N43+N45+N47+N49</f>
        <v>0</v>
      </c>
      <c r="O82" s="92">
        <f>SUM(O72:O81)+O16+O24+O29+O36+O43+O45+O47+O49+O51+O56+O61+O66</f>
        <v>632867.40699999977</v>
      </c>
      <c r="P82" s="91">
        <f>P16+P24+P29+P36+P43+P45+P47+P49</f>
        <v>0</v>
      </c>
      <c r="Q82" s="92">
        <f>SUM(Q72:Q81)+Q16+Q24+Q29+Q36+Q43+Q45+Q47+Q49+Q51+Q56+Q61+Q66</f>
        <v>-61757.098999999995</v>
      </c>
      <c r="R82" s="91">
        <f>R16+R24+R29+R36+R43+R45+R47+R49</f>
        <v>0</v>
      </c>
      <c r="S82" s="92">
        <f>SUM(S72:S81)+S16+S24+S29+S36+S43+S45+S47+S49+S51+S56+S61+S66</f>
        <v>2267095.6939999992</v>
      </c>
      <c r="T82" s="91">
        <f>T16+T24+T29+T36+T43+T45+T47+T49</f>
        <v>0</v>
      </c>
      <c r="U82" s="92">
        <f>SUM(U72:U81)+U16+U24+U29+U36+U43+U45+U47+U49+U51+U56+U61+U66</f>
        <v>-10116.550000006557</v>
      </c>
      <c r="V82" s="91">
        <f>V16+V24+V29+V36+V43+V45+V47+V49</f>
        <v>0</v>
      </c>
      <c r="W82" s="92">
        <f>SUM(W72:W81)+W16+W24+W29+W36+W43+W45+W47+W49+W51+W56+W61+W66</f>
        <v>1214121.26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V168"/>
  <sheetViews>
    <sheetView zoomScale="75" workbookViewId="0">
      <pane xSplit="3" ySplit="9" topLeftCell="Q79" activePane="bottomRight" state="frozen"/>
      <selection activeCell="Z9" sqref="Z9"/>
      <selection pane="topRight" activeCell="Z9" sqref="Z9"/>
      <selection pane="bottomLeft" activeCell="Z9" sqref="Z9"/>
      <selection pane="bottomRight" activeCell="Z9" sqref="Z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7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317921.78999999998</v>
      </c>
      <c r="F12" s="60">
        <f>'TIE-OUT'!Z12+RECLASS!X12</f>
        <v>0</v>
      </c>
      <c r="G12" s="38">
        <f>'TIE-OUT'!AA12+RECLASS!Y12</f>
        <v>317921.78999999998</v>
      </c>
      <c r="H12" s="60"/>
      <c r="I12" s="38"/>
      <c r="J12" s="60"/>
      <c r="K12" s="217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210</v>
      </c>
      <c r="D13" s="60">
        <f t="shared" si="0"/>
        <v>0</v>
      </c>
      <c r="E13" s="38">
        <f t="shared" si="0"/>
        <v>14035993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7">
        <v>12980538</v>
      </c>
      <c r="L13" s="60"/>
      <c r="M13" s="38"/>
      <c r="N13" s="60"/>
      <c r="O13" s="38">
        <v>491659</v>
      </c>
      <c r="P13" s="60"/>
      <c r="Q13" s="38"/>
      <c r="R13" s="60"/>
      <c r="S13" s="38"/>
      <c r="T13" s="60"/>
      <c r="U13" s="38">
        <v>563796</v>
      </c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7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7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14353914.789999999</v>
      </c>
      <c r="F16" s="61">
        <f t="shared" si="1"/>
        <v>0</v>
      </c>
      <c r="G16" s="39">
        <f t="shared" si="1"/>
        <v>317921.78999999998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8">
        <f t="shared" si="1"/>
        <v>12980538</v>
      </c>
      <c r="L16" s="61">
        <f t="shared" si="1"/>
        <v>0</v>
      </c>
      <c r="M16" s="39">
        <f t="shared" si="1"/>
        <v>0</v>
      </c>
      <c r="N16" s="61">
        <f t="shared" ref="N16:S16" si="2">SUM(N11:N15)</f>
        <v>0</v>
      </c>
      <c r="O16" s="39">
        <f t="shared" si="2"/>
        <v>491659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1"/>
        <v>0</v>
      </c>
      <c r="U16" s="39">
        <f t="shared" si="1"/>
        <v>563796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7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7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7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7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7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7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7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218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S24" si="5">SUM(N19:N23)</f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7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7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7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7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218">
        <f>SUM(K27:K28)</f>
        <v>0</v>
      </c>
      <c r="L29" s="61">
        <f t="shared" si="6"/>
        <v>0</v>
      </c>
      <c r="M29" s="39">
        <f t="shared" si="6"/>
        <v>0</v>
      </c>
      <c r="N29" s="61">
        <f t="shared" ref="N29:S29" si="7">SUM(N27:N28)</f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7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7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7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7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7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7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218">
        <f t="shared" si="9"/>
        <v>0</v>
      </c>
      <c r="L36" s="61">
        <f t="shared" si="9"/>
        <v>0</v>
      </c>
      <c r="M36" s="39">
        <f t="shared" si="9"/>
        <v>0</v>
      </c>
      <c r="N36" s="61">
        <f t="shared" ref="N36:S36" si="10">SUM(N32:N35)</f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7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7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7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7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601620</v>
      </c>
      <c r="F41" s="81">
        <f>'TIE-OUT'!Z41+RECLASS!X41</f>
        <v>0</v>
      </c>
      <c r="G41" s="82">
        <f>'TIE-OUT'!AA41+RECLASS!Y41</f>
        <v>601620</v>
      </c>
      <c r="H41" s="60"/>
      <c r="I41" s="38"/>
      <c r="J41" s="60"/>
      <c r="K41" s="217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12">SUM(D40:D41)</f>
        <v>0</v>
      </c>
      <c r="E42" s="39">
        <f t="shared" si="12"/>
        <v>601620</v>
      </c>
      <c r="F42" s="61">
        <f t="shared" si="12"/>
        <v>0</v>
      </c>
      <c r="G42" s="39">
        <f t="shared" si="12"/>
        <v>601620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218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14">D42+D39</f>
        <v>0</v>
      </c>
      <c r="E43" s="39">
        <f t="shared" si="14"/>
        <v>601620</v>
      </c>
      <c r="F43" s="61">
        <f t="shared" si="14"/>
        <v>0</v>
      </c>
      <c r="G43" s="39">
        <f t="shared" si="14"/>
        <v>601620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218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S43" si="15">N42+N39</f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7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7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7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7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7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7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7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7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7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7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7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7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>SUM(J54:J55)</f>
        <v>0</v>
      </c>
      <c r="K56" s="218">
        <f>SUM(K54:K55)</f>
        <v>0</v>
      </c>
      <c r="L56" s="61">
        <f t="shared" si="16"/>
        <v>0</v>
      </c>
      <c r="M56" s="39">
        <f t="shared" si="16"/>
        <v>0</v>
      </c>
      <c r="N56" s="61">
        <f t="shared" ref="N56:S56" si="17">SUM(N54:N55)</f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7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7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7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211</v>
      </c>
      <c r="D60" s="60">
        <f>SUM(F60,H60,J60,L60,N60,P60,R60,T60,V60,X60,Z60,AB60,AD60)</f>
        <v>0</v>
      </c>
      <c r="E60" s="38">
        <f>SUM(G60,I60,K60,M60,O60,Q60,S60,U60,W60,Y60,AA60,AC60,AE60)</f>
        <v>159762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9">
        <v>123262</v>
      </c>
      <c r="L60" s="60"/>
      <c r="M60" s="38"/>
      <c r="N60" s="60"/>
      <c r="O60" s="141">
        <v>36500</v>
      </c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159762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218">
        <f>SUM(K59:K60)</f>
        <v>123262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36500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7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7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7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7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218">
        <f>SUM(K64:K65)</f>
        <v>0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7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7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7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212</v>
      </c>
      <c r="D70" s="60">
        <f>SUM(F70,H70,J70,L70,N70,P70,R70,T70,V70,X70,Z70,AB70,AD70)</f>
        <v>0</v>
      </c>
      <c r="E70" s="38">
        <f>SUM(G70,I70,K70,M70,O70,Q70,S70,U70,W70,Y70,AA70,AC70,AE70)</f>
        <v>-20919170</v>
      </c>
      <c r="F70" s="64">
        <f>'TIE-OUT'!Z70+RECLASS!X70</f>
        <v>0</v>
      </c>
      <c r="G70" s="68">
        <f>'TIE-OUT'!AA70+RECLASS!Y70</f>
        <v>-12348839</v>
      </c>
      <c r="H70" s="60"/>
      <c r="I70" s="38">
        <v>0</v>
      </c>
      <c r="J70" s="60"/>
      <c r="K70" s="219">
        <v>-9963985</v>
      </c>
      <c r="L70" s="60"/>
      <c r="M70" s="38">
        <v>0</v>
      </c>
      <c r="N70" s="60"/>
      <c r="O70" s="38">
        <v>1393654</v>
      </c>
      <c r="P70" s="60"/>
      <c r="Q70" s="38"/>
      <c r="R70" s="60"/>
      <c r="S70" s="38"/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17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-20919170</v>
      </c>
      <c r="F72" s="61">
        <f t="shared" si="22"/>
        <v>0</v>
      </c>
      <c r="G72" s="39">
        <f t="shared" si="22"/>
        <v>-12348839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218">
        <f t="shared" si="22"/>
        <v>-9963985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1393654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24">SUM(F73,H73,J73,L73,N73,P73,R73,T73,V73,X73,Z73,AB73,AD73)</f>
        <v>0</v>
      </c>
      <c r="E73" s="38">
        <f t="shared" si="24"/>
        <v>-8086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7">
        <v>-8086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4811580.21</v>
      </c>
      <c r="F74" s="60">
        <f>'TIE-OUT'!Z74+RECLASS!X74</f>
        <v>0</v>
      </c>
      <c r="G74" s="60">
        <f>'TIE-OUT'!AA74+RECLASS!Y74</f>
        <v>4811580.21</v>
      </c>
      <c r="H74" s="60"/>
      <c r="I74" s="38"/>
      <c r="J74" s="60"/>
      <c r="K74" s="141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7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-17138</v>
      </c>
      <c r="F76" s="60">
        <f>'TIE-OUT'!Z76+RECLASS!X76</f>
        <v>0</v>
      </c>
      <c r="G76" s="60">
        <f>'TIE-OUT'!AA76+RECLASS!Y76</f>
        <v>-17138</v>
      </c>
      <c r="H76" s="60"/>
      <c r="I76" s="38"/>
      <c r="J76" s="60"/>
      <c r="K76" s="217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7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213</v>
      </c>
      <c r="D78" s="60">
        <f t="shared" si="24"/>
        <v>0</v>
      </c>
      <c r="E78" s="38">
        <f t="shared" si="2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7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214</v>
      </c>
      <c r="D79" s="60">
        <f t="shared" si="24"/>
        <v>0</v>
      </c>
      <c r="E79" s="38">
        <f t="shared" si="2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7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215</v>
      </c>
      <c r="D80" s="60">
        <f t="shared" si="24"/>
        <v>0</v>
      </c>
      <c r="E80" s="38">
        <f t="shared" si="24"/>
        <v>-100406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7">
        <f>-112117</f>
        <v>-112117</v>
      </c>
      <c r="L80" s="60"/>
      <c r="M80" s="38">
        <v>11711</v>
      </c>
      <c r="N80" s="60">
        <v>0</v>
      </c>
      <c r="O80" s="38">
        <v>0</v>
      </c>
      <c r="P80" s="60">
        <v>0</v>
      </c>
      <c r="Q80" s="38">
        <v>0</v>
      </c>
      <c r="R80" s="60">
        <v>0</v>
      </c>
      <c r="S80" s="38">
        <v>0</v>
      </c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'TIE-OUT'!Z81+RECLASS!X81</f>
        <v>0</v>
      </c>
      <c r="G81" s="60">
        <f>'TIE-OUT'!AA81+RECLASS!Y81</f>
        <v>0</v>
      </c>
      <c r="H81" s="60"/>
      <c r="I81" s="141">
        <v>0</v>
      </c>
      <c r="J81" s="60"/>
      <c r="K81" s="141">
        <v>0</v>
      </c>
      <c r="L81" s="60"/>
      <c r="M81" s="141">
        <v>0</v>
      </c>
      <c r="N81" s="60"/>
      <c r="O81" s="141">
        <v>0</v>
      </c>
      <c r="P81" s="60"/>
      <c r="Q81" s="141">
        <v>0</v>
      </c>
      <c r="R81" s="60"/>
      <c r="S81" s="141">
        <v>0</v>
      </c>
      <c r="T81" s="60"/>
      <c r="U81" s="141">
        <v>0</v>
      </c>
      <c r="V81" s="60"/>
      <c r="W81" s="141">
        <v>0</v>
      </c>
      <c r="X81" s="60"/>
      <c r="Y81" s="141">
        <v>0</v>
      </c>
      <c r="Z81" s="60"/>
      <c r="AA81" s="141">
        <v>0</v>
      </c>
      <c r="AB81" s="60"/>
      <c r="AC81" s="141">
        <v>0</v>
      </c>
      <c r="AD81" s="60"/>
      <c r="AE81" s="141">
        <v>0</v>
      </c>
      <c r="AF81" s="60"/>
      <c r="AG81" s="141">
        <v>0</v>
      </c>
      <c r="AH81" s="60"/>
      <c r="AI81" s="141">
        <v>0</v>
      </c>
      <c r="AJ81" s="60"/>
      <c r="AK81" s="141">
        <v>0</v>
      </c>
      <c r="AL81" s="60"/>
      <c r="AM81" s="141">
        <v>0</v>
      </c>
      <c r="AN81" s="60"/>
      <c r="AO81" s="141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-1584501</v>
      </c>
      <c r="F82" s="91">
        <f>F16+F24+F29+F36+F43+F45+F47+F49</f>
        <v>0</v>
      </c>
      <c r="G82" s="92">
        <f>SUM(G72:G81)+G16+G24+G29+G36+G43+G45+G47+G49+G51+G56+G61+G66</f>
        <v>-6634855</v>
      </c>
      <c r="H82" s="91">
        <f>H16+H24+H29+H36+H43+H45+H47+H49</f>
        <v>0</v>
      </c>
      <c r="I82" s="142">
        <f>SUM(I72:I81)+I16+I24+I29+I36+I43+I45+I47+I49+I51+I56+I61+I66</f>
        <v>0</v>
      </c>
      <c r="J82" s="91">
        <f>J16+J24+J29+J36+J43+J45+J47+J49</f>
        <v>0</v>
      </c>
      <c r="K82" s="142">
        <f>SUM(K72:K81)+K16+K24+K29+K36+K43+K45+K47+K49+K51+K56+K61+K66</f>
        <v>2553034</v>
      </c>
      <c r="L82" s="91">
        <f>L16+L24+L29+L36+L43+L45+L47+L49</f>
        <v>0</v>
      </c>
      <c r="M82" s="92">
        <f>SUM(M72:M81)+M16+M24+M29+M36+M43+M45+M47+M49+M51+M56+M61+M66</f>
        <v>11711</v>
      </c>
      <c r="N82" s="91">
        <f>N16+N24+N29+N36+N43+N45+N47+N49</f>
        <v>0</v>
      </c>
      <c r="O82" s="92">
        <f>SUM(O72:O81)+O16+O24+O29+O36+O43+O45+O47+O49+O51+O56+O61+O66</f>
        <v>1921813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563796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-20919170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ht="10.5" customHeight="1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S59" activePane="bottomRight" state="frozen"/>
      <selection activeCell="Z9" sqref="Z9"/>
      <selection pane="topRight" activeCell="Z9" sqref="Z9"/>
      <selection pane="bottomLeft" activeCell="Z9" sqref="Z9"/>
      <selection pane="bottomRight" activeCell="AA82" sqref="AA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27" width="15.44140625" customWidth="1"/>
    <col min="28" max="41" width="15.44140625" hidden="1" customWidth="1"/>
    <col min="42" max="42" width="0.109375" hidden="1" customWidth="1"/>
    <col min="43" max="48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219</v>
      </c>
      <c r="S8" s="27"/>
      <c r="T8" s="26" t="s">
        <v>220</v>
      </c>
      <c r="U8" s="27"/>
      <c r="V8" s="26" t="s">
        <v>221</v>
      </c>
      <c r="W8" s="27"/>
      <c r="X8" s="26" t="s">
        <v>222</v>
      </c>
      <c r="Y8" s="27"/>
      <c r="Z8" s="26" t="s">
        <v>223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34153225</v>
      </c>
      <c r="E11" s="38">
        <f>SUM(G11,I11,K11,M11,O11,Q11,S11,U11,W11,Y11,AA11,AC11,AE11)</f>
        <v>76196424.209999993</v>
      </c>
      <c r="F11" s="60">
        <f>'TIE-OUT'!AB11+RECLASS!Z11</f>
        <v>0</v>
      </c>
      <c r="G11" s="38">
        <f>'TIE-OUT'!AC11+RECLASS!AA11</f>
        <v>0</v>
      </c>
      <c r="H11" s="120">
        <f>+Actuals!E284</f>
        <v>33328415</v>
      </c>
      <c r="I11" s="121">
        <f>+Actuals!F284</f>
        <v>74015550.629999995</v>
      </c>
      <c r="J11" s="120">
        <f>+Actuals!G284</f>
        <v>196851</v>
      </c>
      <c r="K11" s="121">
        <f>+Actuals!H284</f>
        <v>774245.24</v>
      </c>
      <c r="L11" s="120">
        <f>+Actuals!I284</f>
        <v>0</v>
      </c>
      <c r="M11" s="121">
        <f>+Actuals!J284</f>
        <v>0</v>
      </c>
      <c r="N11" s="120">
        <f>+Actuals!K284</f>
        <v>0</v>
      </c>
      <c r="O11" s="121">
        <f>+Actuals!L284</f>
        <v>0</v>
      </c>
      <c r="P11" s="120">
        <f>+Actuals!M284</f>
        <v>627959</v>
      </c>
      <c r="Q11" s="121">
        <f>+Actuals!N284</f>
        <v>1406628.34</v>
      </c>
      <c r="R11" s="120">
        <f>+Actuals!O284</f>
        <v>0</v>
      </c>
      <c r="S11" s="121">
        <f>+Actuals!P284</f>
        <v>0</v>
      </c>
      <c r="T11" s="120">
        <f>+Actuals!Q284</f>
        <v>0</v>
      </c>
      <c r="U11" s="121">
        <f>+Actuals!R284</f>
        <v>0</v>
      </c>
      <c r="V11" s="120">
        <f>+Actuals!S284</f>
        <v>0</v>
      </c>
      <c r="W11" s="121">
        <f>+Actuals!T284</f>
        <v>0</v>
      </c>
      <c r="X11" s="120">
        <f>+Actuals!U284</f>
        <v>0</v>
      </c>
      <c r="Y11" s="121">
        <f>+Actuals!V284</f>
        <v>0</v>
      </c>
      <c r="Z11" s="120">
        <f>+Actuals!W284</f>
        <v>0</v>
      </c>
      <c r="AA11" s="121">
        <f>+Actuals!X284</f>
        <v>0</v>
      </c>
      <c r="AB11" s="120">
        <f>+Actuals!Y284</f>
        <v>0</v>
      </c>
      <c r="AC11" s="121">
        <f>+Actuals!Z284</f>
        <v>0</v>
      </c>
      <c r="AD11" s="120">
        <f>+Actuals!AA284</f>
        <v>0</v>
      </c>
      <c r="AE11" s="121">
        <f>+Actuals!AB284</f>
        <v>0</v>
      </c>
      <c r="AF11" s="120">
        <f>+Actuals!AC284</f>
        <v>0</v>
      </c>
      <c r="AG11" s="121">
        <f>+Actuals!AD284</f>
        <v>0</v>
      </c>
      <c r="AH11" s="120">
        <f>+Actuals!AE284</f>
        <v>0</v>
      </c>
      <c r="AI11" s="121">
        <f>+Actuals!AF284</f>
        <v>0</v>
      </c>
      <c r="AJ11" s="120">
        <f>+Actuals!AG284</f>
        <v>0</v>
      </c>
      <c r="AK11" s="121">
        <f>+Actuals!AH284</f>
        <v>0</v>
      </c>
      <c r="AL11" s="120">
        <f>+Actuals!AI284</f>
        <v>0</v>
      </c>
      <c r="AM11" s="121">
        <f>+Actuals!AJ284</f>
        <v>0</v>
      </c>
      <c r="AN11" s="120">
        <f>+Actuals!AK284</f>
        <v>0</v>
      </c>
      <c r="AO11" s="121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7969744.2800000003</v>
      </c>
      <c r="F12" s="60">
        <f>'TIE-OUT'!AB12+RECLASS!Z12</f>
        <v>0</v>
      </c>
      <c r="G12" s="38">
        <f>'TIE-OUT'!AC12+RECLASS!AA12</f>
        <v>7969744.2800000003</v>
      </c>
      <c r="H12" s="120">
        <f>+Actuals!E285</f>
        <v>0</v>
      </c>
      <c r="I12" s="121">
        <f>+Actuals!F285</f>
        <v>0</v>
      </c>
      <c r="J12" s="120">
        <f>+Actuals!G285</f>
        <v>0</v>
      </c>
      <c r="K12" s="121">
        <f>+Actuals!H285</f>
        <v>0</v>
      </c>
      <c r="L12" s="120">
        <f>+Actuals!I285</f>
        <v>0</v>
      </c>
      <c r="M12" s="121">
        <f>+Actuals!J285</f>
        <v>0</v>
      </c>
      <c r="N12" s="120">
        <f>+Actuals!K285</f>
        <v>0</v>
      </c>
      <c r="O12" s="121">
        <f>+Actuals!L285</f>
        <v>0</v>
      </c>
      <c r="P12" s="120">
        <f>+Actuals!M285</f>
        <v>0</v>
      </c>
      <c r="Q12" s="121">
        <f>+Actuals!N285</f>
        <v>0</v>
      </c>
      <c r="R12" s="120">
        <f>+Actuals!O285</f>
        <v>0</v>
      </c>
      <c r="S12" s="121">
        <f>+Actuals!P285</f>
        <v>0</v>
      </c>
      <c r="T12" s="120">
        <f>+Actuals!Q285</f>
        <v>0</v>
      </c>
      <c r="U12" s="121">
        <f>+Actuals!R285</f>
        <v>0</v>
      </c>
      <c r="V12" s="120">
        <f>+Actuals!S285</f>
        <v>0</v>
      </c>
      <c r="W12" s="121">
        <f>+Actuals!T285</f>
        <v>0</v>
      </c>
      <c r="X12" s="120">
        <f>+Actuals!U285</f>
        <v>0</v>
      </c>
      <c r="Y12" s="121">
        <f>+Actuals!V285</f>
        <v>0</v>
      </c>
      <c r="Z12" s="120">
        <f>+Actuals!W285</f>
        <v>0</v>
      </c>
      <c r="AA12" s="121">
        <f>+Actuals!X285</f>
        <v>0</v>
      </c>
      <c r="AB12" s="120">
        <f>+Actuals!Y285</f>
        <v>0</v>
      </c>
      <c r="AC12" s="121">
        <f>+Actuals!Z285</f>
        <v>0</v>
      </c>
      <c r="AD12" s="120">
        <f>+Actuals!AA285</f>
        <v>0</v>
      </c>
      <c r="AE12" s="121">
        <f>+Actuals!AB285</f>
        <v>0</v>
      </c>
      <c r="AF12" s="120">
        <f>+Actuals!AC285</f>
        <v>0</v>
      </c>
      <c r="AG12" s="121">
        <f>+Actuals!AD285</f>
        <v>0</v>
      </c>
      <c r="AH12" s="120">
        <f>+Actuals!AE285</f>
        <v>0</v>
      </c>
      <c r="AI12" s="121">
        <f>+Actuals!AF285</f>
        <v>0</v>
      </c>
      <c r="AJ12" s="120">
        <f>+Actuals!AG285</f>
        <v>0</v>
      </c>
      <c r="AK12" s="121">
        <f>+Actuals!AH285</f>
        <v>0</v>
      </c>
      <c r="AL12" s="120">
        <f>+Actuals!AI285</f>
        <v>0</v>
      </c>
      <c r="AM12" s="121">
        <f>+Actuals!AJ285</f>
        <v>0</v>
      </c>
      <c r="AN12" s="120">
        <f>+Actuals!AK285</f>
        <v>0</v>
      </c>
      <c r="AO12" s="121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2963205</v>
      </c>
      <c r="E13" s="38">
        <f t="shared" si="0"/>
        <v>7101003</v>
      </c>
      <c r="F13" s="60">
        <f>'TIE-OUT'!AB13+RECLASS!Z13</f>
        <v>0</v>
      </c>
      <c r="G13" s="38">
        <f>'TIE-OUT'!AC13+RECLASS!AA13</f>
        <v>0</v>
      </c>
      <c r="H13" s="120">
        <f>+Actuals!E286</f>
        <v>1398294</v>
      </c>
      <c r="I13" s="121">
        <f>+Actuals!F286</f>
        <v>3536180</v>
      </c>
      <c r="J13" s="120">
        <f>+Actuals!G286</f>
        <v>-14107</v>
      </c>
      <c r="K13" s="121">
        <f>+Actuals!H286</f>
        <v>-33251</v>
      </c>
      <c r="L13" s="120">
        <f>+Actuals!I286</f>
        <v>0</v>
      </c>
      <c r="M13" s="121">
        <f>+Actuals!J286</f>
        <v>0</v>
      </c>
      <c r="N13" s="120">
        <f>+Actuals!K286</f>
        <v>0</v>
      </c>
      <c r="O13" s="121">
        <f>+Actuals!L286</f>
        <v>0</v>
      </c>
      <c r="P13" s="120">
        <f>+Actuals!M286</f>
        <v>4107</v>
      </c>
      <c r="Q13" s="121">
        <f>+Actuals!N286</f>
        <v>10051</v>
      </c>
      <c r="R13" s="120">
        <f>+Actuals!O286</f>
        <v>0</v>
      </c>
      <c r="S13" s="121">
        <f>+Actuals!P286</f>
        <v>0</v>
      </c>
      <c r="T13" s="120">
        <f>+Actuals!Q286</f>
        <v>1574911</v>
      </c>
      <c r="U13" s="121">
        <f>+Actuals!R286</f>
        <v>3588023</v>
      </c>
      <c r="V13" s="120">
        <f>+Actuals!S286</f>
        <v>0</v>
      </c>
      <c r="W13" s="121">
        <f>+Actuals!T286</f>
        <v>0</v>
      </c>
      <c r="X13" s="120">
        <f>+Actuals!U286</f>
        <v>0</v>
      </c>
      <c r="Y13" s="121">
        <f>+Actuals!V286</f>
        <v>0</v>
      </c>
      <c r="Z13" s="120">
        <f>+Actuals!W286</f>
        <v>0</v>
      </c>
      <c r="AA13" s="121">
        <f>+Actuals!X286</f>
        <v>0</v>
      </c>
      <c r="AB13" s="120">
        <f>+Actuals!Y286</f>
        <v>0</v>
      </c>
      <c r="AC13" s="121">
        <f>+Actuals!Z286</f>
        <v>0</v>
      </c>
      <c r="AD13" s="120">
        <f>+Actuals!AA286</f>
        <v>0</v>
      </c>
      <c r="AE13" s="121">
        <f>+Actuals!AB286</f>
        <v>0</v>
      </c>
      <c r="AF13" s="120">
        <f>+Actuals!AC286</f>
        <v>0</v>
      </c>
      <c r="AG13" s="121">
        <f>+Actuals!AD286</f>
        <v>0</v>
      </c>
      <c r="AH13" s="120">
        <f>+Actuals!AE286</f>
        <v>0</v>
      </c>
      <c r="AI13" s="121">
        <f>+Actuals!AF286</f>
        <v>0</v>
      </c>
      <c r="AJ13" s="120">
        <f>+Actuals!AG286</f>
        <v>0</v>
      </c>
      <c r="AK13" s="121">
        <f>+Actuals!AH286</f>
        <v>0</v>
      </c>
      <c r="AL13" s="120">
        <f>+Actuals!AI286</f>
        <v>0</v>
      </c>
      <c r="AM13" s="121">
        <f>+Actuals!AJ286</f>
        <v>0</v>
      </c>
      <c r="AN13" s="120">
        <f>+Actuals!AK286</f>
        <v>0</v>
      </c>
      <c r="AO13" s="121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20">
        <f>+Actuals!E287</f>
        <v>0</v>
      </c>
      <c r="I14" s="121">
        <f>+Actuals!F287</f>
        <v>0</v>
      </c>
      <c r="J14" s="120">
        <f>+Actuals!G287</f>
        <v>0</v>
      </c>
      <c r="K14" s="121">
        <f>+Actuals!H287</f>
        <v>0</v>
      </c>
      <c r="L14" s="120">
        <f>+Actuals!I287</f>
        <v>0</v>
      </c>
      <c r="M14" s="121">
        <f>+Actuals!J287</f>
        <v>0</v>
      </c>
      <c r="N14" s="120">
        <f>+Actuals!K287</f>
        <v>0</v>
      </c>
      <c r="O14" s="121">
        <f>+Actuals!L287</f>
        <v>0</v>
      </c>
      <c r="P14" s="120">
        <f>+Actuals!M287</f>
        <v>0</v>
      </c>
      <c r="Q14" s="121">
        <f>+Actuals!N287</f>
        <v>0</v>
      </c>
      <c r="R14" s="120">
        <f>+Actuals!O287</f>
        <v>0</v>
      </c>
      <c r="S14" s="121">
        <f>+Actuals!P287</f>
        <v>0</v>
      </c>
      <c r="T14" s="120">
        <f>+Actuals!Q287</f>
        <v>0</v>
      </c>
      <c r="U14" s="121">
        <f>+Actuals!R287</f>
        <v>0</v>
      </c>
      <c r="V14" s="120">
        <f>+Actuals!S287</f>
        <v>0</v>
      </c>
      <c r="W14" s="121">
        <f>+Actuals!T287</f>
        <v>0</v>
      </c>
      <c r="X14" s="120">
        <f>+Actuals!U287</f>
        <v>0</v>
      </c>
      <c r="Y14" s="121">
        <f>+Actuals!V287</f>
        <v>0</v>
      </c>
      <c r="Z14" s="120">
        <f>+Actuals!W287</f>
        <v>0</v>
      </c>
      <c r="AA14" s="121">
        <f>+Actuals!X287</f>
        <v>0</v>
      </c>
      <c r="AB14" s="120">
        <f>+Actuals!Y287</f>
        <v>0</v>
      </c>
      <c r="AC14" s="121">
        <f>+Actuals!Z287</f>
        <v>0</v>
      </c>
      <c r="AD14" s="120">
        <f>+Actuals!AA287</f>
        <v>0</v>
      </c>
      <c r="AE14" s="121">
        <f>+Actuals!AB287</f>
        <v>0</v>
      </c>
      <c r="AF14" s="120">
        <f>+Actuals!AC287</f>
        <v>0</v>
      </c>
      <c r="AG14" s="121">
        <f>+Actuals!AD287</f>
        <v>0</v>
      </c>
      <c r="AH14" s="120">
        <f>+Actuals!AE287</f>
        <v>0</v>
      </c>
      <c r="AI14" s="121">
        <f>+Actuals!AF287</f>
        <v>0</v>
      </c>
      <c r="AJ14" s="120">
        <f>+Actuals!AG287</f>
        <v>0</v>
      </c>
      <c r="AK14" s="121">
        <f>+Actuals!AH287</f>
        <v>0</v>
      </c>
      <c r="AL14" s="120">
        <f>+Actuals!AI287</f>
        <v>0</v>
      </c>
      <c r="AM14" s="121">
        <f>+Actuals!AJ287</f>
        <v>0</v>
      </c>
      <c r="AN14" s="120">
        <f>+Actuals!AK287</f>
        <v>0</v>
      </c>
      <c r="AO14" s="121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20">
        <f>+Actuals!E288</f>
        <v>0</v>
      </c>
      <c r="I15" s="121">
        <f>+Actuals!F288</f>
        <v>-1470959.59</v>
      </c>
      <c r="J15" s="120">
        <f>+Actuals!G288</f>
        <v>0</v>
      </c>
      <c r="K15" s="121">
        <f>+Actuals!H288</f>
        <v>1470959.59</v>
      </c>
      <c r="L15" s="120">
        <f>+Actuals!I288</f>
        <v>0</v>
      </c>
      <c r="M15" s="121">
        <f>+Actuals!J288</f>
        <v>0</v>
      </c>
      <c r="N15" s="120">
        <f>+Actuals!K288</f>
        <v>0</v>
      </c>
      <c r="O15" s="121">
        <f>+Actuals!L288</f>
        <v>0</v>
      </c>
      <c r="P15" s="120">
        <f>+Actuals!M288</f>
        <v>0</v>
      </c>
      <c r="Q15" s="121">
        <f>+Actuals!N288</f>
        <v>0</v>
      </c>
      <c r="R15" s="120">
        <f>+Actuals!O288</f>
        <v>0</v>
      </c>
      <c r="S15" s="121">
        <f>+Actuals!P288</f>
        <v>0</v>
      </c>
      <c r="T15" s="120">
        <f>+Actuals!Q288</f>
        <v>0</v>
      </c>
      <c r="U15" s="121">
        <f>+Actuals!R288</f>
        <v>0</v>
      </c>
      <c r="V15" s="120">
        <f>+Actuals!S288</f>
        <v>0</v>
      </c>
      <c r="W15" s="121">
        <f>+Actuals!T288</f>
        <v>0</v>
      </c>
      <c r="X15" s="120">
        <f>+Actuals!U288</f>
        <v>0</v>
      </c>
      <c r="Y15" s="121">
        <f>+Actuals!V288</f>
        <v>0</v>
      </c>
      <c r="Z15" s="120">
        <f>+Actuals!W288</f>
        <v>0</v>
      </c>
      <c r="AA15" s="121">
        <f>+Actuals!X288</f>
        <v>0</v>
      </c>
      <c r="AB15" s="120">
        <f>+Actuals!Y288</f>
        <v>0</v>
      </c>
      <c r="AC15" s="121">
        <f>+Actuals!Z288</f>
        <v>0</v>
      </c>
      <c r="AD15" s="120">
        <f>+Actuals!AA288</f>
        <v>0</v>
      </c>
      <c r="AE15" s="121">
        <f>+Actuals!AB288</f>
        <v>0</v>
      </c>
      <c r="AF15" s="120">
        <f>+Actuals!AC288</f>
        <v>0</v>
      </c>
      <c r="AG15" s="121">
        <f>+Actuals!AD288</f>
        <v>0</v>
      </c>
      <c r="AH15" s="120">
        <f>+Actuals!AE288</f>
        <v>0</v>
      </c>
      <c r="AI15" s="121">
        <f>+Actuals!AF288</f>
        <v>0</v>
      </c>
      <c r="AJ15" s="120">
        <f>+Actuals!AG288</f>
        <v>0</v>
      </c>
      <c r="AK15" s="121">
        <f>+Actuals!AH288</f>
        <v>0</v>
      </c>
      <c r="AL15" s="120">
        <f>+Actuals!AI288</f>
        <v>0</v>
      </c>
      <c r="AM15" s="121">
        <f>+Actuals!AJ288</f>
        <v>0</v>
      </c>
      <c r="AN15" s="120">
        <f>+Actuals!AK288</f>
        <v>0</v>
      </c>
      <c r="AO15" s="121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37116430</v>
      </c>
      <c r="E16" s="39">
        <f t="shared" si="1"/>
        <v>91267171.489999995</v>
      </c>
      <c r="F16" s="61">
        <f t="shared" si="1"/>
        <v>0</v>
      </c>
      <c r="G16" s="39">
        <f t="shared" si="1"/>
        <v>7969744.2800000003</v>
      </c>
      <c r="H16" s="61">
        <f t="shared" si="1"/>
        <v>34726709</v>
      </c>
      <c r="I16" s="39">
        <f t="shared" si="1"/>
        <v>76080771.039999992</v>
      </c>
      <c r="J16" s="61">
        <f t="shared" si="1"/>
        <v>182744</v>
      </c>
      <c r="K16" s="39">
        <f t="shared" si="1"/>
        <v>2211953.83</v>
      </c>
      <c r="L16" s="61">
        <f t="shared" si="1"/>
        <v>0</v>
      </c>
      <c r="M16" s="39">
        <f t="shared" si="1"/>
        <v>0</v>
      </c>
      <c r="N16" s="61">
        <f t="shared" ref="N16:S16" si="2">SUM(N11:N15)</f>
        <v>0</v>
      </c>
      <c r="O16" s="39">
        <f t="shared" si="2"/>
        <v>0</v>
      </c>
      <c r="P16" s="61">
        <f t="shared" si="2"/>
        <v>632066</v>
      </c>
      <c r="Q16" s="39">
        <f t="shared" si="2"/>
        <v>1416679.34</v>
      </c>
      <c r="R16" s="61">
        <f t="shared" si="2"/>
        <v>0</v>
      </c>
      <c r="S16" s="39">
        <f t="shared" si="2"/>
        <v>0</v>
      </c>
      <c r="T16" s="61">
        <f t="shared" si="1"/>
        <v>1574911</v>
      </c>
      <c r="U16" s="39">
        <f t="shared" si="1"/>
        <v>3588023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-36342680</v>
      </c>
      <c r="E19" s="38">
        <f t="shared" si="3"/>
        <v>-80291670.729999989</v>
      </c>
      <c r="F19" s="64">
        <f>'TIE-OUT'!AB19+RECLASS!Z19</f>
        <v>0</v>
      </c>
      <c r="G19" s="68">
        <f>'TIE-OUT'!AC19+RECLASS!AA19</f>
        <v>0</v>
      </c>
      <c r="H19" s="120">
        <f>+Actuals!E289</f>
        <v>-35007316</v>
      </c>
      <c r="I19" s="121">
        <f>+Actuals!F289</f>
        <v>-77359366.039999992</v>
      </c>
      <c r="J19" s="120">
        <f>+Actuals!G289</f>
        <v>-707397</v>
      </c>
      <c r="K19" s="121">
        <f>+Actuals!H289</f>
        <v>-1525809.27</v>
      </c>
      <c r="L19" s="120">
        <f>+Actuals!I289</f>
        <v>0</v>
      </c>
      <c r="M19" s="121">
        <f>+Actuals!J289</f>
        <v>13.81</v>
      </c>
      <c r="N19" s="120">
        <f>+Actuals!K289</f>
        <v>0</v>
      </c>
      <c r="O19" s="121">
        <f>+Actuals!L289</f>
        <v>-7.45</v>
      </c>
      <c r="P19" s="120">
        <f>+Actuals!M289</f>
        <v>-627967</v>
      </c>
      <c r="Q19" s="121">
        <f>+Actuals!N289</f>
        <v>-1406563.03</v>
      </c>
      <c r="R19" s="120">
        <f>+Actuals!O289</f>
        <v>0</v>
      </c>
      <c r="S19" s="121">
        <f>+Actuals!P289</f>
        <v>44.52</v>
      </c>
      <c r="T19" s="120">
        <f>+Actuals!Q289</f>
        <v>0</v>
      </c>
      <c r="U19" s="121">
        <f>+Actuals!R289</f>
        <v>-44.52</v>
      </c>
      <c r="V19" s="120">
        <v>0</v>
      </c>
      <c r="W19" s="121">
        <f>-259028.46+171147.9</f>
        <v>-87880.56</v>
      </c>
      <c r="X19" s="120">
        <v>-1249051.23</v>
      </c>
      <c r="Y19" s="121">
        <v>-39.799999999999997</v>
      </c>
      <c r="Z19" s="120">
        <v>1249051.23</v>
      </c>
      <c r="AA19" s="121">
        <v>87981.61</v>
      </c>
      <c r="AB19" s="120">
        <f>+Actuals!Y289</f>
        <v>0</v>
      </c>
      <c r="AC19" s="121">
        <f>+Actuals!Z289</f>
        <v>0</v>
      </c>
      <c r="AD19" s="120">
        <f>+Actuals!AA289</f>
        <v>0</v>
      </c>
      <c r="AE19" s="121">
        <f>+Actuals!AB289</f>
        <v>0</v>
      </c>
      <c r="AF19" s="120">
        <f>+Actuals!AC289</f>
        <v>0</v>
      </c>
      <c r="AG19" s="121">
        <f>+Actuals!AD289</f>
        <v>0</v>
      </c>
      <c r="AH19" s="120">
        <f>+Actuals!AE289</f>
        <v>0</v>
      </c>
      <c r="AI19" s="121">
        <f>+Actuals!AF289</f>
        <v>0</v>
      </c>
      <c r="AJ19" s="120">
        <f>+Actuals!AG289</f>
        <v>0</v>
      </c>
      <c r="AK19" s="121">
        <f>+Actuals!AH289</f>
        <v>0</v>
      </c>
      <c r="AL19" s="120">
        <f>+Actuals!AI289</f>
        <v>0</v>
      </c>
      <c r="AM19" s="121">
        <f>+Actuals!AJ289</f>
        <v>0</v>
      </c>
      <c r="AN19" s="120">
        <f>+Actuals!AK289</f>
        <v>0</v>
      </c>
      <c r="AO19" s="121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-9232058.3300000001</v>
      </c>
      <c r="F20" s="60">
        <f>'TIE-OUT'!AB20+RECLASS!Z20</f>
        <v>0</v>
      </c>
      <c r="G20" s="38">
        <f>'TIE-OUT'!AC20+RECLASS!AA20</f>
        <v>-9346059.2400000002</v>
      </c>
      <c r="H20" s="120">
        <f>+Actuals!E290</f>
        <v>0</v>
      </c>
      <c r="I20" s="121">
        <f>+Actuals!F290</f>
        <v>0</v>
      </c>
      <c r="J20" s="120">
        <f>+Actuals!G290</f>
        <v>0</v>
      </c>
      <c r="K20" s="219">
        <f>76568.41+37432.5</f>
        <v>114000.91</v>
      </c>
      <c r="L20" s="120">
        <f>+Actuals!I290</f>
        <v>0</v>
      </c>
      <c r="M20" s="121">
        <f>+Actuals!J290</f>
        <v>0</v>
      </c>
      <c r="N20" s="120">
        <f>+Actuals!K290</f>
        <v>0</v>
      </c>
      <c r="O20" s="121">
        <f>+Actuals!L290</f>
        <v>0</v>
      </c>
      <c r="P20" s="120">
        <f>+Actuals!M290</f>
        <v>0</v>
      </c>
      <c r="Q20" s="121">
        <f>+Actuals!N290</f>
        <v>0</v>
      </c>
      <c r="R20" s="120">
        <f>+Actuals!O290</f>
        <v>0</v>
      </c>
      <c r="S20" s="121">
        <f>+Actuals!P290</f>
        <v>0</v>
      </c>
      <c r="T20" s="120">
        <f>+Actuals!Q290</f>
        <v>0</v>
      </c>
      <c r="U20" s="121">
        <f>+Actuals!R290</f>
        <v>0</v>
      </c>
      <c r="V20" s="120">
        <f>+Actuals!S290</f>
        <v>0</v>
      </c>
      <c r="W20" s="121">
        <f>+Actuals!T290</f>
        <v>0</v>
      </c>
      <c r="X20" s="120">
        <f>+Actuals!U290</f>
        <v>0</v>
      </c>
      <c r="Y20" s="121">
        <f>+Actuals!V290</f>
        <v>0</v>
      </c>
      <c r="Z20" s="120">
        <f>+Actuals!W290</f>
        <v>0</v>
      </c>
      <c r="AA20" s="121">
        <f>+Actuals!X290</f>
        <v>0</v>
      </c>
      <c r="AB20" s="120">
        <f>+Actuals!Y290</f>
        <v>0</v>
      </c>
      <c r="AC20" s="121">
        <f>+Actuals!Z290</f>
        <v>0</v>
      </c>
      <c r="AD20" s="120">
        <f>+Actuals!AA290</f>
        <v>0</v>
      </c>
      <c r="AE20" s="121">
        <f>+Actuals!AB290</f>
        <v>0</v>
      </c>
      <c r="AF20" s="120">
        <f>+Actuals!AC290</f>
        <v>0</v>
      </c>
      <c r="AG20" s="121">
        <f>+Actuals!AD290</f>
        <v>0</v>
      </c>
      <c r="AH20" s="120">
        <f>+Actuals!AE290</f>
        <v>0</v>
      </c>
      <c r="AI20" s="121">
        <f>+Actuals!AF290</f>
        <v>0</v>
      </c>
      <c r="AJ20" s="120">
        <f>+Actuals!AG290</f>
        <v>0</v>
      </c>
      <c r="AK20" s="121">
        <f>+Actuals!AH290</f>
        <v>0</v>
      </c>
      <c r="AL20" s="120">
        <f>+Actuals!AI290</f>
        <v>0</v>
      </c>
      <c r="AM20" s="121">
        <f>+Actuals!AJ290</f>
        <v>0</v>
      </c>
      <c r="AN20" s="120">
        <f>+Actuals!AK290</f>
        <v>0</v>
      </c>
      <c r="AO20" s="121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-807938</v>
      </c>
      <c r="E21" s="38">
        <f t="shared" si="3"/>
        <v>-1955813</v>
      </c>
      <c r="F21" s="60">
        <f>'TIE-OUT'!AB21+RECLASS!Z21</f>
        <v>0</v>
      </c>
      <c r="G21" s="38">
        <f>'TIE-OUT'!AC21+RECLASS!AA21</f>
        <v>0</v>
      </c>
      <c r="H21" s="120">
        <f>+Actuals!E291</f>
        <v>-793027</v>
      </c>
      <c r="I21" s="121">
        <f>+Actuals!F291</f>
        <v>-1916388</v>
      </c>
      <c r="J21" s="120">
        <f>+Actuals!G291</f>
        <v>450316</v>
      </c>
      <c r="K21" s="121">
        <f>+Actuals!H291</f>
        <v>1086478</v>
      </c>
      <c r="L21" s="120">
        <f>+Actuals!I291</f>
        <v>-88292</v>
      </c>
      <c r="M21" s="121">
        <f>+Actuals!J291</f>
        <v>-222750</v>
      </c>
      <c r="N21" s="120">
        <f>+Actuals!K291</f>
        <v>0</v>
      </c>
      <c r="O21" s="121">
        <f>+Actuals!L291</f>
        <v>0</v>
      </c>
      <c r="P21" s="120">
        <f>+Actuals!M291</f>
        <v>0</v>
      </c>
      <c r="Q21" s="121">
        <f>+Actuals!N291</f>
        <v>0</v>
      </c>
      <c r="R21" s="120">
        <f>+Actuals!O291</f>
        <v>0</v>
      </c>
      <c r="S21" s="121">
        <f>+Actuals!P291</f>
        <v>0</v>
      </c>
      <c r="T21" s="120">
        <f>+Actuals!Q291</f>
        <v>-376935</v>
      </c>
      <c r="U21" s="121">
        <f>+Actuals!R291</f>
        <v>-903153</v>
      </c>
      <c r="V21" s="120">
        <f>+Actuals!S291</f>
        <v>0</v>
      </c>
      <c r="W21" s="121">
        <f>+Actuals!T291</f>
        <v>0</v>
      </c>
      <c r="X21" s="120">
        <f>+Actuals!U291</f>
        <v>0</v>
      </c>
      <c r="Y21" s="121">
        <f>+Actuals!V291</f>
        <v>0</v>
      </c>
      <c r="Z21" s="120">
        <f>+Actuals!W291</f>
        <v>0</v>
      </c>
      <c r="AA21" s="121">
        <f>+Actuals!X291</f>
        <v>0</v>
      </c>
      <c r="AB21" s="120">
        <f>+Actuals!Y291</f>
        <v>0</v>
      </c>
      <c r="AC21" s="121">
        <f>+Actuals!Z291</f>
        <v>0</v>
      </c>
      <c r="AD21" s="120">
        <f>+Actuals!AA291</f>
        <v>0</v>
      </c>
      <c r="AE21" s="121">
        <f>+Actuals!AB291</f>
        <v>0</v>
      </c>
      <c r="AF21" s="120">
        <f>+Actuals!AC291</f>
        <v>0</v>
      </c>
      <c r="AG21" s="121">
        <f>+Actuals!AD291</f>
        <v>0</v>
      </c>
      <c r="AH21" s="120">
        <f>+Actuals!AE291</f>
        <v>0</v>
      </c>
      <c r="AI21" s="121">
        <f>+Actuals!AF291</f>
        <v>0</v>
      </c>
      <c r="AJ21" s="120">
        <f>+Actuals!AG291</f>
        <v>0</v>
      </c>
      <c r="AK21" s="121">
        <f>+Actuals!AH291</f>
        <v>0</v>
      </c>
      <c r="AL21" s="120">
        <f>+Actuals!AI291</f>
        <v>0</v>
      </c>
      <c r="AM21" s="121">
        <f>+Actuals!AJ291</f>
        <v>0</v>
      </c>
      <c r="AN21" s="120">
        <f>+Actuals!AK291</f>
        <v>0</v>
      </c>
      <c r="AO21" s="121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'TIE-OUT'!AB22+RECLASS!Z22</f>
        <v>0</v>
      </c>
      <c r="G22" s="38">
        <f>'TIE-OUT'!AC22+RECLASS!AA22</f>
        <v>0</v>
      </c>
      <c r="H22" s="120">
        <f>+Actuals!E292</f>
        <v>0</v>
      </c>
      <c r="I22" s="121">
        <f>+Actuals!F292</f>
        <v>0</v>
      </c>
      <c r="J22" s="120">
        <f>+Actuals!G292</f>
        <v>0</v>
      </c>
      <c r="K22" s="121">
        <f>+Actuals!H292</f>
        <v>0</v>
      </c>
      <c r="L22" s="120">
        <f>+Actuals!I292</f>
        <v>0</v>
      </c>
      <c r="M22" s="121">
        <f>+Actuals!J292</f>
        <v>0</v>
      </c>
      <c r="N22" s="120">
        <f>+Actuals!K292</f>
        <v>0</v>
      </c>
      <c r="O22" s="121">
        <f>+Actuals!L292</f>
        <v>0</v>
      </c>
      <c r="P22" s="120">
        <f>+Actuals!M292</f>
        <v>0</v>
      </c>
      <c r="Q22" s="121">
        <f>+Actuals!N292</f>
        <v>0</v>
      </c>
      <c r="R22" s="120">
        <f>+Actuals!O292</f>
        <v>0</v>
      </c>
      <c r="S22" s="121">
        <f>+Actuals!P292</f>
        <v>0</v>
      </c>
      <c r="T22" s="120">
        <f>+Actuals!Q292</f>
        <v>0</v>
      </c>
      <c r="U22" s="121">
        <f>+Actuals!R292</f>
        <v>0</v>
      </c>
      <c r="V22" s="120">
        <f>+Actuals!S292</f>
        <v>0</v>
      </c>
      <c r="W22" s="121">
        <f>+Actuals!T292</f>
        <v>0</v>
      </c>
      <c r="X22" s="120">
        <f>+Actuals!U292</f>
        <v>0</v>
      </c>
      <c r="Y22" s="121">
        <f>+Actuals!V292</f>
        <v>0</v>
      </c>
      <c r="Z22" s="120">
        <f>+Actuals!W292</f>
        <v>0</v>
      </c>
      <c r="AA22" s="121">
        <f>+Actuals!X292</f>
        <v>0</v>
      </c>
      <c r="AB22" s="120">
        <f>+Actuals!Y292</f>
        <v>0</v>
      </c>
      <c r="AC22" s="121">
        <f>+Actuals!Z292</f>
        <v>0</v>
      </c>
      <c r="AD22" s="120">
        <f>+Actuals!AA292</f>
        <v>0</v>
      </c>
      <c r="AE22" s="121">
        <f>+Actuals!AB292</f>
        <v>0</v>
      </c>
      <c r="AF22" s="120">
        <f>+Actuals!AC292</f>
        <v>0</v>
      </c>
      <c r="AG22" s="121">
        <f>+Actuals!AD292</f>
        <v>0</v>
      </c>
      <c r="AH22" s="120">
        <f>+Actuals!AE292</f>
        <v>0</v>
      </c>
      <c r="AI22" s="121">
        <f>+Actuals!AF292</f>
        <v>0</v>
      </c>
      <c r="AJ22" s="120">
        <f>+Actuals!AG292</f>
        <v>0</v>
      </c>
      <c r="AK22" s="121">
        <f>+Actuals!AH292</f>
        <v>0</v>
      </c>
      <c r="AL22" s="120">
        <f>+Actuals!AI292</f>
        <v>0</v>
      </c>
      <c r="AM22" s="121">
        <f>+Actuals!AJ292</f>
        <v>0</v>
      </c>
      <c r="AN22" s="120">
        <f>+Actuals!AK292</f>
        <v>0</v>
      </c>
      <c r="AO22" s="121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0.92650000000139698</v>
      </c>
      <c r="F23" s="81">
        <f>'TIE-OUT'!AB23+RECLASS!Z23</f>
        <v>0</v>
      </c>
      <c r="G23" s="82">
        <f>'TIE-OUT'!AC23+RECLASS!AA23</f>
        <v>0</v>
      </c>
      <c r="H23" s="120">
        <f>+Actuals!E293</f>
        <v>43857</v>
      </c>
      <c r="I23" s="121">
        <f>+Actuals!F293</f>
        <v>104819.1565</v>
      </c>
      <c r="J23" s="120">
        <f>+Actuals!G293</f>
        <v>27753</v>
      </c>
      <c r="K23" s="121">
        <f>+Actuals!H293</f>
        <v>66329.67</v>
      </c>
      <c r="L23" s="120">
        <f>+Actuals!I293</f>
        <v>0</v>
      </c>
      <c r="M23" s="121">
        <f>+Actuals!J293</f>
        <v>0</v>
      </c>
      <c r="N23" s="120">
        <f>+Actuals!K293</f>
        <v>0</v>
      </c>
      <c r="O23" s="121">
        <f>+Actuals!L293</f>
        <v>0</v>
      </c>
      <c r="P23" s="120">
        <f>+Actuals!M293</f>
        <v>0</v>
      </c>
      <c r="Q23" s="121">
        <f>+Actuals!N293</f>
        <v>0</v>
      </c>
      <c r="R23" s="120">
        <f>+Actuals!O293</f>
        <v>0</v>
      </c>
      <c r="S23" s="121">
        <f>+Actuals!P293</f>
        <v>0</v>
      </c>
      <c r="T23" s="120">
        <f>+Actuals!Q293</f>
        <v>0</v>
      </c>
      <c r="U23" s="121">
        <f>+Actuals!R293</f>
        <v>0</v>
      </c>
      <c r="V23" s="120">
        <v>-71610</v>
      </c>
      <c r="W23" s="121">
        <v>-171147.9</v>
      </c>
      <c r="X23" s="120">
        <f>+Actuals!U293</f>
        <v>0</v>
      </c>
      <c r="Y23" s="121">
        <f>+Actuals!V293</f>
        <v>0</v>
      </c>
      <c r="Z23" s="120">
        <f>+Actuals!W293</f>
        <v>0</v>
      </c>
      <c r="AA23" s="121">
        <f>+Actuals!X293</f>
        <v>0</v>
      </c>
      <c r="AB23" s="120">
        <f>+Actuals!Y293</f>
        <v>0</v>
      </c>
      <c r="AC23" s="121">
        <f>+Actuals!Z293</f>
        <v>0</v>
      </c>
      <c r="AD23" s="120">
        <f>+Actuals!AA293</f>
        <v>0</v>
      </c>
      <c r="AE23" s="121">
        <f>+Actuals!AB293</f>
        <v>0</v>
      </c>
      <c r="AF23" s="120">
        <f>+Actuals!AC293</f>
        <v>0</v>
      </c>
      <c r="AG23" s="121">
        <f>+Actuals!AD293</f>
        <v>0</v>
      </c>
      <c r="AH23" s="120">
        <f>+Actuals!AE293</f>
        <v>0</v>
      </c>
      <c r="AI23" s="121">
        <f>+Actuals!AF293</f>
        <v>0</v>
      </c>
      <c r="AJ23" s="120">
        <f>+Actuals!AG293</f>
        <v>0</v>
      </c>
      <c r="AK23" s="121">
        <f>+Actuals!AH293</f>
        <v>0</v>
      </c>
      <c r="AL23" s="120">
        <f>+Actuals!AI293</f>
        <v>0</v>
      </c>
      <c r="AM23" s="121">
        <f>+Actuals!AJ293</f>
        <v>0</v>
      </c>
      <c r="AN23" s="120">
        <f>+Actuals!AK293</f>
        <v>0</v>
      </c>
      <c r="AO23" s="121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4">SUM(D19:D23)</f>
        <v>-37150618</v>
      </c>
      <c r="E24" s="39">
        <f t="shared" si="4"/>
        <v>-91479541.133499995</v>
      </c>
      <c r="F24" s="61">
        <f t="shared" si="4"/>
        <v>0</v>
      </c>
      <c r="G24" s="39">
        <f t="shared" si="4"/>
        <v>-9346059.2400000002</v>
      </c>
      <c r="H24" s="61">
        <f t="shared" si="4"/>
        <v>-35756486</v>
      </c>
      <c r="I24" s="39">
        <f t="shared" si="4"/>
        <v>-79170934.883499995</v>
      </c>
      <c r="J24" s="61">
        <f t="shared" si="4"/>
        <v>-229328</v>
      </c>
      <c r="K24" s="39">
        <f t="shared" si="4"/>
        <v>-259000.69000000012</v>
      </c>
      <c r="L24" s="61">
        <f t="shared" si="4"/>
        <v>-88292</v>
      </c>
      <c r="M24" s="39">
        <f t="shared" si="4"/>
        <v>-222736.19</v>
      </c>
      <c r="N24" s="61">
        <f t="shared" ref="N24:S24" si="5">SUM(N19:N23)</f>
        <v>0</v>
      </c>
      <c r="O24" s="39">
        <f t="shared" si="5"/>
        <v>-7.45</v>
      </c>
      <c r="P24" s="61">
        <f t="shared" si="5"/>
        <v>-627967</v>
      </c>
      <c r="Q24" s="39">
        <f t="shared" si="5"/>
        <v>-1406563.03</v>
      </c>
      <c r="R24" s="61">
        <f t="shared" si="5"/>
        <v>0</v>
      </c>
      <c r="S24" s="39">
        <f t="shared" si="5"/>
        <v>44.52</v>
      </c>
      <c r="T24" s="61">
        <f t="shared" si="4"/>
        <v>-376935</v>
      </c>
      <c r="U24" s="39">
        <f t="shared" si="4"/>
        <v>-903197.52</v>
      </c>
      <c r="V24" s="61">
        <f t="shared" si="4"/>
        <v>-71610</v>
      </c>
      <c r="W24" s="39">
        <f t="shared" si="4"/>
        <v>-259028.46</v>
      </c>
      <c r="X24" s="61">
        <f t="shared" si="4"/>
        <v>-1249051.23</v>
      </c>
      <c r="Y24" s="39">
        <f t="shared" si="4"/>
        <v>-39.799999999999997</v>
      </c>
      <c r="Z24" s="61">
        <f t="shared" si="4"/>
        <v>1249051.23</v>
      </c>
      <c r="AA24" s="39">
        <f t="shared" si="4"/>
        <v>87981.61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20">
        <f>+Actuals!E294</f>
        <v>0</v>
      </c>
      <c r="I27" s="121">
        <f>+Actuals!F294</f>
        <v>0</v>
      </c>
      <c r="J27" s="120">
        <f>+Actuals!G294</f>
        <v>0</v>
      </c>
      <c r="K27" s="121">
        <f>+Actuals!H294</f>
        <v>0</v>
      </c>
      <c r="L27" s="120">
        <f>+Actuals!I294</f>
        <v>0</v>
      </c>
      <c r="M27" s="121">
        <f>+Actuals!J294</f>
        <v>0</v>
      </c>
      <c r="N27" s="120">
        <f>+Actuals!K294</f>
        <v>0</v>
      </c>
      <c r="O27" s="121">
        <f>+Actuals!L294</f>
        <v>0</v>
      </c>
      <c r="P27" s="120">
        <f>+Actuals!M294</f>
        <v>0</v>
      </c>
      <c r="Q27" s="121">
        <f>+Actuals!N294</f>
        <v>0</v>
      </c>
      <c r="R27" s="120">
        <f>+Actuals!O294</f>
        <v>0</v>
      </c>
      <c r="S27" s="121">
        <f>+Actuals!P294</f>
        <v>0</v>
      </c>
      <c r="T27" s="120">
        <f>+Actuals!Q294</f>
        <v>0</v>
      </c>
      <c r="U27" s="121">
        <f>+Actuals!R294</f>
        <v>0</v>
      </c>
      <c r="V27" s="120">
        <f>+Actuals!S294</f>
        <v>0</v>
      </c>
      <c r="W27" s="121">
        <f>+Actuals!T294</f>
        <v>0</v>
      </c>
      <c r="X27" s="120">
        <f>+Actuals!U294</f>
        <v>0</v>
      </c>
      <c r="Y27" s="121">
        <f>+Actuals!V294</f>
        <v>0</v>
      </c>
      <c r="Z27" s="120">
        <f>+Actuals!W294</f>
        <v>0</v>
      </c>
      <c r="AA27" s="121">
        <f>+Actuals!X294</f>
        <v>0</v>
      </c>
      <c r="AB27" s="120">
        <f>+Actuals!Y294</f>
        <v>0</v>
      </c>
      <c r="AC27" s="121">
        <f>+Actuals!Z294</f>
        <v>0</v>
      </c>
      <c r="AD27" s="120">
        <f>+Actuals!AA294</f>
        <v>0</v>
      </c>
      <c r="AE27" s="121">
        <f>+Actuals!AB294</f>
        <v>0</v>
      </c>
      <c r="AF27" s="120">
        <f>+Actuals!AC294</f>
        <v>0</v>
      </c>
      <c r="AG27" s="121">
        <f>+Actuals!AD294</f>
        <v>0</v>
      </c>
      <c r="AH27" s="120">
        <f>+Actuals!AE294</f>
        <v>0</v>
      </c>
      <c r="AI27" s="121">
        <f>+Actuals!AF294</f>
        <v>0</v>
      </c>
      <c r="AJ27" s="120">
        <f>+Actuals!AG294</f>
        <v>0</v>
      </c>
      <c r="AK27" s="121">
        <f>+Actuals!AH294</f>
        <v>0</v>
      </c>
      <c r="AL27" s="120">
        <f>+Actuals!AI294</f>
        <v>0</v>
      </c>
      <c r="AM27" s="121">
        <f>+Actuals!AJ294</f>
        <v>0</v>
      </c>
      <c r="AN27" s="120">
        <f>+Actuals!AK294</f>
        <v>0</v>
      </c>
      <c r="AO27" s="121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20">
        <f>+Actuals!E295</f>
        <v>0</v>
      </c>
      <c r="I28" s="121">
        <f>+Actuals!F295</f>
        <v>0</v>
      </c>
      <c r="J28" s="120">
        <f>+Actuals!G295</f>
        <v>0</v>
      </c>
      <c r="K28" s="121">
        <f>+Actuals!H295</f>
        <v>0</v>
      </c>
      <c r="L28" s="120">
        <f>+Actuals!I295</f>
        <v>0</v>
      </c>
      <c r="M28" s="121">
        <f>+Actuals!J295</f>
        <v>0</v>
      </c>
      <c r="N28" s="120">
        <f>+Actuals!K295</f>
        <v>0</v>
      </c>
      <c r="O28" s="121">
        <f>+Actuals!L295</f>
        <v>0</v>
      </c>
      <c r="P28" s="120">
        <f>+Actuals!M295</f>
        <v>0</v>
      </c>
      <c r="Q28" s="121">
        <f>+Actuals!N295</f>
        <v>0</v>
      </c>
      <c r="R28" s="120">
        <f>+Actuals!O295</f>
        <v>0</v>
      </c>
      <c r="S28" s="121">
        <f>+Actuals!P295</f>
        <v>0</v>
      </c>
      <c r="T28" s="120">
        <f>+Actuals!Q295</f>
        <v>0</v>
      </c>
      <c r="U28" s="121">
        <f>+Actuals!R295</f>
        <v>0</v>
      </c>
      <c r="V28" s="120">
        <f>+Actuals!S295</f>
        <v>0</v>
      </c>
      <c r="W28" s="121">
        <f>+Actuals!T295</f>
        <v>0</v>
      </c>
      <c r="X28" s="120">
        <f>+Actuals!U295</f>
        <v>0</v>
      </c>
      <c r="Y28" s="121">
        <f>+Actuals!V295</f>
        <v>0</v>
      </c>
      <c r="Z28" s="120">
        <f>+Actuals!W295</f>
        <v>0</v>
      </c>
      <c r="AA28" s="121">
        <f>+Actuals!X295</f>
        <v>0</v>
      </c>
      <c r="AB28" s="120">
        <f>+Actuals!Y295</f>
        <v>0</v>
      </c>
      <c r="AC28" s="121">
        <f>+Actuals!Z295</f>
        <v>0</v>
      </c>
      <c r="AD28" s="120">
        <f>+Actuals!AA295</f>
        <v>0</v>
      </c>
      <c r="AE28" s="121">
        <f>+Actuals!AB295</f>
        <v>0</v>
      </c>
      <c r="AF28" s="120">
        <f>+Actuals!AC295</f>
        <v>0</v>
      </c>
      <c r="AG28" s="121">
        <f>+Actuals!AD295</f>
        <v>0</v>
      </c>
      <c r="AH28" s="120">
        <f>+Actuals!AE295</f>
        <v>0</v>
      </c>
      <c r="AI28" s="121">
        <f>+Actuals!AF295</f>
        <v>0</v>
      </c>
      <c r="AJ28" s="120">
        <f>+Actuals!AG295</f>
        <v>0</v>
      </c>
      <c r="AK28" s="121">
        <f>+Actuals!AH295</f>
        <v>0</v>
      </c>
      <c r="AL28" s="120">
        <f>+Actuals!AI295</f>
        <v>0</v>
      </c>
      <c r="AM28" s="121">
        <f>+Actuals!AJ295</f>
        <v>0</v>
      </c>
      <c r="AN28" s="120">
        <f>+Actuals!AK295</f>
        <v>0</v>
      </c>
      <c r="AO28" s="121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S29" si="7">SUM(N27:N28)</f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725615</v>
      </c>
      <c r="E32" s="38">
        <f t="shared" si="8"/>
        <v>1734220.6147999999</v>
      </c>
      <c r="F32" s="64">
        <f>'TIE-OUT'!AB32+RECLASS!Z32</f>
        <v>0</v>
      </c>
      <c r="G32" s="68">
        <f>'TIE-OUT'!AC32+RECLASS!AA32</f>
        <v>0</v>
      </c>
      <c r="H32" s="120">
        <f>+Actuals!E296</f>
        <v>627900</v>
      </c>
      <c r="I32" s="121">
        <f>+Actuals!F296</f>
        <v>1500681.7648</v>
      </c>
      <c r="J32" s="120">
        <f>+Actuals!G296</f>
        <v>218539</v>
      </c>
      <c r="K32" s="121">
        <f>+Actuals!H296</f>
        <v>522308.21</v>
      </c>
      <c r="L32" s="120">
        <f>+Actuals!I296</f>
        <v>0</v>
      </c>
      <c r="M32" s="121">
        <f>+Actuals!J296</f>
        <v>0</v>
      </c>
      <c r="N32" s="120">
        <f>+Actuals!K296</f>
        <v>0</v>
      </c>
      <c r="O32" s="121">
        <f>+Actuals!L296</f>
        <v>0</v>
      </c>
      <c r="P32" s="120">
        <f>+Actuals!M296</f>
        <v>-3318</v>
      </c>
      <c r="Q32" s="121">
        <f>+Actuals!N296</f>
        <v>-7930.02</v>
      </c>
      <c r="R32" s="120">
        <f>+Actuals!O296</f>
        <v>0</v>
      </c>
      <c r="S32" s="121">
        <f>+Actuals!P296</f>
        <v>0</v>
      </c>
      <c r="T32" s="120">
        <f>+Actuals!Q296</f>
        <v>-117506</v>
      </c>
      <c r="U32" s="121">
        <f>+Actuals!R296</f>
        <v>-280839.34000000003</v>
      </c>
      <c r="V32" s="120">
        <f>+Actuals!S296</f>
        <v>0</v>
      </c>
      <c r="W32" s="121">
        <f>+Actuals!T296</f>
        <v>0</v>
      </c>
      <c r="X32" s="120">
        <f>+Actuals!U296</f>
        <v>0</v>
      </c>
      <c r="Y32" s="121">
        <f>+Actuals!V296</f>
        <v>0</v>
      </c>
      <c r="Z32" s="120">
        <f>+Actuals!W296</f>
        <v>0</v>
      </c>
      <c r="AA32" s="121">
        <f>+Actuals!X296</f>
        <v>0</v>
      </c>
      <c r="AB32" s="120">
        <f>+Actuals!Y296</f>
        <v>0</v>
      </c>
      <c r="AC32" s="121">
        <f>+Actuals!Z296</f>
        <v>0</v>
      </c>
      <c r="AD32" s="120">
        <f>+Actuals!AA296</f>
        <v>0</v>
      </c>
      <c r="AE32" s="121">
        <f>+Actuals!AB296</f>
        <v>0</v>
      </c>
      <c r="AF32" s="120">
        <f>+Actuals!AC296</f>
        <v>0</v>
      </c>
      <c r="AG32" s="121">
        <f>+Actuals!AD296</f>
        <v>0</v>
      </c>
      <c r="AH32" s="120">
        <f>+Actuals!AE296</f>
        <v>0</v>
      </c>
      <c r="AI32" s="121">
        <f>+Actuals!AF296</f>
        <v>0</v>
      </c>
      <c r="AJ32" s="120">
        <f>+Actuals!AG296</f>
        <v>0</v>
      </c>
      <c r="AK32" s="121">
        <f>+Actuals!AH296</f>
        <v>0</v>
      </c>
      <c r="AL32" s="120">
        <f>+Actuals!AI296</f>
        <v>0</v>
      </c>
      <c r="AM32" s="121">
        <f>+Actuals!AJ296</f>
        <v>0</v>
      </c>
      <c r="AN32" s="120">
        <f>+Actuals!AK296</f>
        <v>0</v>
      </c>
      <c r="AO32" s="121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'TIE-OUT'!AB33+RECLASS!Z33</f>
        <v>0</v>
      </c>
      <c r="G33" s="38">
        <f>'TIE-OUT'!AC33+RECLASS!AA33</f>
        <v>0</v>
      </c>
      <c r="H33" s="120">
        <f>+Actuals!E297</f>
        <v>0</v>
      </c>
      <c r="I33" s="121">
        <f>+Actuals!F297</f>
        <v>0</v>
      </c>
      <c r="J33" s="120">
        <f>+Actuals!G297</f>
        <v>0</v>
      </c>
      <c r="K33" s="121">
        <f>+Actuals!H297</f>
        <v>0</v>
      </c>
      <c r="L33" s="120">
        <f>+Actuals!I297</f>
        <v>0</v>
      </c>
      <c r="M33" s="121">
        <f>+Actuals!J297</f>
        <v>0</v>
      </c>
      <c r="N33" s="120">
        <f>+Actuals!K297</f>
        <v>0</v>
      </c>
      <c r="O33" s="121">
        <f>+Actuals!L297</f>
        <v>0</v>
      </c>
      <c r="P33" s="120">
        <f>+Actuals!M297</f>
        <v>0</v>
      </c>
      <c r="Q33" s="121">
        <f>+Actuals!N297</f>
        <v>0</v>
      </c>
      <c r="R33" s="120">
        <f>+Actuals!O297</f>
        <v>0</v>
      </c>
      <c r="S33" s="121">
        <f>+Actuals!P297</f>
        <v>0</v>
      </c>
      <c r="T33" s="120">
        <f>+Actuals!Q297</f>
        <v>0</v>
      </c>
      <c r="U33" s="121">
        <f>+Actuals!R297</f>
        <v>0</v>
      </c>
      <c r="V33" s="120">
        <f>+Actuals!S297</f>
        <v>0</v>
      </c>
      <c r="W33" s="121">
        <f>+Actuals!T297</f>
        <v>0</v>
      </c>
      <c r="X33" s="120">
        <f>+Actuals!U297</f>
        <v>0</v>
      </c>
      <c r="Y33" s="121">
        <f>+Actuals!V297</f>
        <v>0</v>
      </c>
      <c r="Z33" s="120">
        <f>+Actuals!W297</f>
        <v>0</v>
      </c>
      <c r="AA33" s="121">
        <f>+Actuals!X297</f>
        <v>0</v>
      </c>
      <c r="AB33" s="120">
        <f>+Actuals!Y297</f>
        <v>0</v>
      </c>
      <c r="AC33" s="121">
        <f>+Actuals!Z297</f>
        <v>0</v>
      </c>
      <c r="AD33" s="120">
        <f>+Actuals!AA297</f>
        <v>0</v>
      </c>
      <c r="AE33" s="121">
        <f>+Actuals!AB297</f>
        <v>0</v>
      </c>
      <c r="AF33" s="120">
        <f>+Actuals!AC297</f>
        <v>0</v>
      </c>
      <c r="AG33" s="121">
        <f>+Actuals!AD297</f>
        <v>0</v>
      </c>
      <c r="AH33" s="120">
        <f>+Actuals!AE297</f>
        <v>0</v>
      </c>
      <c r="AI33" s="121">
        <f>+Actuals!AF297</f>
        <v>0</v>
      </c>
      <c r="AJ33" s="120">
        <f>+Actuals!AG297</f>
        <v>0</v>
      </c>
      <c r="AK33" s="121">
        <f>+Actuals!AH297</f>
        <v>0</v>
      </c>
      <c r="AL33" s="120">
        <f>+Actuals!AI297</f>
        <v>0</v>
      </c>
      <c r="AM33" s="121">
        <f>+Actuals!AJ297</f>
        <v>0</v>
      </c>
      <c r="AN33" s="120">
        <f>+Actuals!AK297</f>
        <v>0</v>
      </c>
      <c r="AO33" s="121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'TIE-OUT'!AB34+RECLASS!Z34</f>
        <v>0</v>
      </c>
      <c r="G34" s="38">
        <f>'TIE-OUT'!AC34+RECLASS!AA34</f>
        <v>0</v>
      </c>
      <c r="H34" s="120">
        <f>+Actuals!E298</f>
        <v>0</v>
      </c>
      <c r="I34" s="121">
        <f>+Actuals!F298</f>
        <v>0</v>
      </c>
      <c r="J34" s="120">
        <f>+Actuals!G298</f>
        <v>0</v>
      </c>
      <c r="K34" s="121">
        <f>+Actuals!H298</f>
        <v>0</v>
      </c>
      <c r="L34" s="120">
        <f>+Actuals!I298</f>
        <v>0</v>
      </c>
      <c r="M34" s="121">
        <f>+Actuals!J298</f>
        <v>0</v>
      </c>
      <c r="N34" s="120">
        <f>+Actuals!K298</f>
        <v>0</v>
      </c>
      <c r="O34" s="121">
        <f>+Actuals!L298</f>
        <v>0</v>
      </c>
      <c r="P34" s="120">
        <f>+Actuals!M298</f>
        <v>0</v>
      </c>
      <c r="Q34" s="121">
        <f>+Actuals!N298</f>
        <v>0</v>
      </c>
      <c r="R34" s="120">
        <f>+Actuals!O298</f>
        <v>0</v>
      </c>
      <c r="S34" s="121">
        <f>+Actuals!P298</f>
        <v>0</v>
      </c>
      <c r="T34" s="120">
        <f>+Actuals!Q298</f>
        <v>0</v>
      </c>
      <c r="U34" s="121">
        <f>+Actuals!R298</f>
        <v>0</v>
      </c>
      <c r="V34" s="120">
        <f>+Actuals!S298</f>
        <v>0</v>
      </c>
      <c r="W34" s="121">
        <f>+Actuals!T298</f>
        <v>0</v>
      </c>
      <c r="X34" s="120">
        <f>+Actuals!U298</f>
        <v>0</v>
      </c>
      <c r="Y34" s="121">
        <f>+Actuals!V298</f>
        <v>0</v>
      </c>
      <c r="Z34" s="120">
        <f>+Actuals!W298</f>
        <v>0</v>
      </c>
      <c r="AA34" s="121">
        <f>+Actuals!X298</f>
        <v>0</v>
      </c>
      <c r="AB34" s="120">
        <f>+Actuals!Y298</f>
        <v>0</v>
      </c>
      <c r="AC34" s="121">
        <f>+Actuals!Z298</f>
        <v>0</v>
      </c>
      <c r="AD34" s="120">
        <f>+Actuals!AA298</f>
        <v>0</v>
      </c>
      <c r="AE34" s="121">
        <f>+Actuals!AB298</f>
        <v>0</v>
      </c>
      <c r="AF34" s="120">
        <f>+Actuals!AC298</f>
        <v>0</v>
      </c>
      <c r="AG34" s="121">
        <f>+Actuals!AD298</f>
        <v>0</v>
      </c>
      <c r="AH34" s="120">
        <f>+Actuals!AE298</f>
        <v>0</v>
      </c>
      <c r="AI34" s="121">
        <f>+Actuals!AF298</f>
        <v>0</v>
      </c>
      <c r="AJ34" s="120">
        <f>+Actuals!AG298</f>
        <v>0</v>
      </c>
      <c r="AK34" s="121">
        <f>+Actuals!AH298</f>
        <v>0</v>
      </c>
      <c r="AL34" s="120">
        <f>+Actuals!AI298</f>
        <v>0</v>
      </c>
      <c r="AM34" s="121">
        <f>+Actuals!AJ298</f>
        <v>0</v>
      </c>
      <c r="AN34" s="120">
        <f>+Actuals!AK298</f>
        <v>0</v>
      </c>
      <c r="AO34" s="121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'TIE-OUT'!AB35+RECLASS!Z35</f>
        <v>0</v>
      </c>
      <c r="G35" s="82">
        <f>'TIE-OUT'!AC35+RECLASS!AA35</f>
        <v>0</v>
      </c>
      <c r="H35" s="120">
        <f>+Actuals!E299</f>
        <v>0</v>
      </c>
      <c r="I35" s="121">
        <f>+Actuals!F299</f>
        <v>0</v>
      </c>
      <c r="J35" s="120">
        <f>+Actuals!G299</f>
        <v>0</v>
      </c>
      <c r="K35" s="121">
        <f>+Actuals!H299</f>
        <v>0</v>
      </c>
      <c r="L35" s="120">
        <f>+Actuals!I299</f>
        <v>0</v>
      </c>
      <c r="M35" s="121">
        <f>+Actuals!J299</f>
        <v>0</v>
      </c>
      <c r="N35" s="120">
        <f>+Actuals!K299</f>
        <v>0</v>
      </c>
      <c r="O35" s="121">
        <f>+Actuals!L299</f>
        <v>0</v>
      </c>
      <c r="P35" s="120">
        <f>+Actuals!M299</f>
        <v>0</v>
      </c>
      <c r="Q35" s="121">
        <f>+Actuals!N299</f>
        <v>0</v>
      </c>
      <c r="R35" s="120">
        <f>+Actuals!O299</f>
        <v>0</v>
      </c>
      <c r="S35" s="121">
        <f>+Actuals!P299</f>
        <v>0</v>
      </c>
      <c r="T35" s="120">
        <f>+Actuals!Q299</f>
        <v>0</v>
      </c>
      <c r="U35" s="121">
        <f>+Actuals!R299</f>
        <v>0</v>
      </c>
      <c r="V35" s="120">
        <f>+Actuals!S299</f>
        <v>0</v>
      </c>
      <c r="W35" s="121">
        <f>+Actuals!T299</f>
        <v>0</v>
      </c>
      <c r="X35" s="120">
        <f>+Actuals!U299</f>
        <v>0</v>
      </c>
      <c r="Y35" s="121">
        <f>+Actuals!V299</f>
        <v>0</v>
      </c>
      <c r="Z35" s="120">
        <f>+Actuals!W299</f>
        <v>0</v>
      </c>
      <c r="AA35" s="121">
        <f>+Actuals!X299</f>
        <v>0</v>
      </c>
      <c r="AB35" s="120">
        <f>+Actuals!Y299</f>
        <v>0</v>
      </c>
      <c r="AC35" s="121">
        <f>+Actuals!Z299</f>
        <v>0</v>
      </c>
      <c r="AD35" s="120">
        <f>+Actuals!AA299</f>
        <v>0</v>
      </c>
      <c r="AE35" s="121">
        <f>+Actuals!AB299</f>
        <v>0</v>
      </c>
      <c r="AF35" s="120">
        <f>+Actuals!AC299</f>
        <v>0</v>
      </c>
      <c r="AG35" s="121">
        <f>+Actuals!AD299</f>
        <v>0</v>
      </c>
      <c r="AH35" s="120">
        <f>+Actuals!AE299</f>
        <v>0</v>
      </c>
      <c r="AI35" s="121">
        <f>+Actuals!AF299</f>
        <v>0</v>
      </c>
      <c r="AJ35" s="120">
        <f>+Actuals!AG299</f>
        <v>0</v>
      </c>
      <c r="AK35" s="121">
        <f>+Actuals!AH299</f>
        <v>0</v>
      </c>
      <c r="AL35" s="120">
        <f>+Actuals!AI299</f>
        <v>0</v>
      </c>
      <c r="AM35" s="121">
        <f>+Actuals!AJ299</f>
        <v>0</v>
      </c>
      <c r="AN35" s="120">
        <f>+Actuals!AK299</f>
        <v>0</v>
      </c>
      <c r="AO35" s="121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9">SUM(D32:D35)</f>
        <v>725615</v>
      </c>
      <c r="E36" s="39">
        <f t="shared" si="9"/>
        <v>1734220.6147999999</v>
      </c>
      <c r="F36" s="61">
        <f t="shared" si="9"/>
        <v>0</v>
      </c>
      <c r="G36" s="39">
        <f t="shared" si="9"/>
        <v>0</v>
      </c>
      <c r="H36" s="61">
        <f t="shared" si="9"/>
        <v>627900</v>
      </c>
      <c r="I36" s="39">
        <f t="shared" si="9"/>
        <v>1500681.7648</v>
      </c>
      <c r="J36" s="61">
        <f t="shared" si="9"/>
        <v>218539</v>
      </c>
      <c r="K36" s="39">
        <f t="shared" si="9"/>
        <v>522308.21</v>
      </c>
      <c r="L36" s="61">
        <f t="shared" si="9"/>
        <v>0</v>
      </c>
      <c r="M36" s="39">
        <f t="shared" si="9"/>
        <v>0</v>
      </c>
      <c r="N36" s="61">
        <f t="shared" ref="N36:S36" si="10">SUM(N32:N35)</f>
        <v>0</v>
      </c>
      <c r="O36" s="39">
        <f t="shared" si="10"/>
        <v>0</v>
      </c>
      <c r="P36" s="61">
        <f t="shared" si="10"/>
        <v>-3318</v>
      </c>
      <c r="Q36" s="39">
        <f t="shared" si="10"/>
        <v>-7930.02</v>
      </c>
      <c r="R36" s="61">
        <f t="shared" si="10"/>
        <v>0</v>
      </c>
      <c r="S36" s="39">
        <f t="shared" si="10"/>
        <v>0</v>
      </c>
      <c r="T36" s="61">
        <f t="shared" si="9"/>
        <v>-117506</v>
      </c>
      <c r="U36" s="39">
        <f t="shared" si="9"/>
        <v>-280839.34000000003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'TIE-OUT'!AB39+RECLASS!Z39</f>
        <v>0</v>
      </c>
      <c r="G39" s="68">
        <f>'TIE-OUT'!AC39+RECLASS!AA39</f>
        <v>0</v>
      </c>
      <c r="H39" s="120">
        <f>+Actuals!E300</f>
        <v>0</v>
      </c>
      <c r="I39" s="121">
        <f>+Actuals!F300</f>
        <v>0</v>
      </c>
      <c r="J39" s="120">
        <f>+Actuals!G300</f>
        <v>0</v>
      </c>
      <c r="K39" s="121">
        <f>+Actuals!H300</f>
        <v>0</v>
      </c>
      <c r="L39" s="120">
        <f>+Actuals!I300</f>
        <v>0</v>
      </c>
      <c r="M39" s="121">
        <f>+Actuals!J300</f>
        <v>0</v>
      </c>
      <c r="N39" s="120">
        <f>+Actuals!K300</f>
        <v>0</v>
      </c>
      <c r="O39" s="121">
        <f>+Actuals!L300</f>
        <v>0</v>
      </c>
      <c r="P39" s="120">
        <f>+Actuals!M300</f>
        <v>0</v>
      </c>
      <c r="Q39" s="121">
        <f>+Actuals!N300</f>
        <v>0</v>
      </c>
      <c r="R39" s="120">
        <f>+Actuals!O300</f>
        <v>0</v>
      </c>
      <c r="S39" s="121">
        <f>+Actuals!P300</f>
        <v>0</v>
      </c>
      <c r="T39" s="120">
        <f>+Actuals!Q300</f>
        <v>0</v>
      </c>
      <c r="U39" s="121">
        <f>+Actuals!R300</f>
        <v>0</v>
      </c>
      <c r="V39" s="120">
        <f>+Actuals!S300</f>
        <v>0</v>
      </c>
      <c r="W39" s="121">
        <f>+Actuals!T300</f>
        <v>0</v>
      </c>
      <c r="X39" s="120">
        <f>+Actuals!U300</f>
        <v>0</v>
      </c>
      <c r="Y39" s="121">
        <f>+Actuals!V300</f>
        <v>0</v>
      </c>
      <c r="Z39" s="120">
        <f>+Actuals!W300</f>
        <v>0</v>
      </c>
      <c r="AA39" s="121">
        <f>+Actuals!X300</f>
        <v>0</v>
      </c>
      <c r="AB39" s="120">
        <f>+Actuals!Y300</f>
        <v>0</v>
      </c>
      <c r="AC39" s="121">
        <f>+Actuals!Z300</f>
        <v>0</v>
      </c>
      <c r="AD39" s="120">
        <f>+Actuals!AA300</f>
        <v>0</v>
      </c>
      <c r="AE39" s="121">
        <f>+Actuals!AB300</f>
        <v>0</v>
      </c>
      <c r="AF39" s="120">
        <f>+Actuals!AC300</f>
        <v>0</v>
      </c>
      <c r="AG39" s="121">
        <f>+Actuals!AD300</f>
        <v>0</v>
      </c>
      <c r="AH39" s="120">
        <f>+Actuals!AE300</f>
        <v>0</v>
      </c>
      <c r="AI39" s="121">
        <f>+Actuals!AF300</f>
        <v>0</v>
      </c>
      <c r="AJ39" s="120">
        <f>+Actuals!AG300</f>
        <v>0</v>
      </c>
      <c r="AK39" s="121">
        <f>+Actuals!AH300</f>
        <v>0</v>
      </c>
      <c r="AL39" s="120">
        <f>+Actuals!AI300</f>
        <v>0</v>
      </c>
      <c r="AM39" s="121">
        <f>+Actuals!AJ300</f>
        <v>0</v>
      </c>
      <c r="AN39" s="120">
        <f>+Actuals!AK300</f>
        <v>0</v>
      </c>
      <c r="AO39" s="121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'TIE-OUT'!AB40+RECLASS!Z40</f>
        <v>0</v>
      </c>
      <c r="G40" s="38">
        <f>'TIE-OUT'!AC40+RECLASS!AA40</f>
        <v>0</v>
      </c>
      <c r="H40" s="120">
        <f>+Actuals!E301</f>
        <v>0</v>
      </c>
      <c r="I40" s="121">
        <f>+Actuals!F301</f>
        <v>0</v>
      </c>
      <c r="J40" s="120">
        <f>+Actuals!G301</f>
        <v>0</v>
      </c>
      <c r="K40" s="121">
        <f>+Actuals!H301</f>
        <v>0</v>
      </c>
      <c r="L40" s="120">
        <f>+Actuals!I301</f>
        <v>0</v>
      </c>
      <c r="M40" s="121">
        <f>+Actuals!J301</f>
        <v>0</v>
      </c>
      <c r="N40" s="120">
        <f>+Actuals!K301</f>
        <v>0</v>
      </c>
      <c r="O40" s="121">
        <f>+Actuals!L301</f>
        <v>0</v>
      </c>
      <c r="P40" s="120">
        <f>+Actuals!M301</f>
        <v>0</v>
      </c>
      <c r="Q40" s="121">
        <f>+Actuals!N301</f>
        <v>0</v>
      </c>
      <c r="R40" s="120">
        <f>+Actuals!O301</f>
        <v>0</v>
      </c>
      <c r="S40" s="121">
        <f>+Actuals!P301</f>
        <v>0</v>
      </c>
      <c r="T40" s="120">
        <f>+Actuals!Q301</f>
        <v>0</v>
      </c>
      <c r="U40" s="121">
        <f>+Actuals!R301</f>
        <v>0</v>
      </c>
      <c r="V40" s="120">
        <f>+Actuals!S301</f>
        <v>0</v>
      </c>
      <c r="W40" s="121">
        <f>+Actuals!T301</f>
        <v>0</v>
      </c>
      <c r="X40" s="120">
        <f>+Actuals!U301</f>
        <v>0</v>
      </c>
      <c r="Y40" s="121">
        <f>+Actuals!V301</f>
        <v>0</v>
      </c>
      <c r="Z40" s="120">
        <f>+Actuals!W301</f>
        <v>0</v>
      </c>
      <c r="AA40" s="121">
        <f>+Actuals!X301</f>
        <v>0</v>
      </c>
      <c r="AB40" s="120">
        <f>+Actuals!Y301</f>
        <v>0</v>
      </c>
      <c r="AC40" s="121">
        <f>+Actuals!Z301</f>
        <v>0</v>
      </c>
      <c r="AD40" s="120">
        <f>+Actuals!AA301</f>
        <v>0</v>
      </c>
      <c r="AE40" s="121">
        <f>+Actuals!AB301</f>
        <v>0</v>
      </c>
      <c r="AF40" s="120">
        <f>+Actuals!AC301</f>
        <v>0</v>
      </c>
      <c r="AG40" s="121">
        <f>+Actuals!AD301</f>
        <v>0</v>
      </c>
      <c r="AH40" s="120">
        <f>+Actuals!AE301</f>
        <v>0</v>
      </c>
      <c r="AI40" s="121">
        <f>+Actuals!AF301</f>
        <v>0</v>
      </c>
      <c r="AJ40" s="120">
        <f>+Actuals!AG301</f>
        <v>0</v>
      </c>
      <c r="AK40" s="121">
        <f>+Actuals!AH301</f>
        <v>0</v>
      </c>
      <c r="AL40" s="120">
        <f>+Actuals!AI301</f>
        <v>0</v>
      </c>
      <c r="AM40" s="121">
        <f>+Actuals!AJ301</f>
        <v>0</v>
      </c>
      <c r="AN40" s="120">
        <f>+Actuals!AK301</f>
        <v>0</v>
      </c>
      <c r="AO40" s="121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'TIE-OUT'!AB41+RECLASS!Z41</f>
        <v>0</v>
      </c>
      <c r="G41" s="82">
        <f>'TIE-OUT'!AC41+RECLASS!AA41</f>
        <v>0</v>
      </c>
      <c r="H41" s="120">
        <f>+Actuals!E302</f>
        <v>0</v>
      </c>
      <c r="I41" s="121">
        <f>+Actuals!F302</f>
        <v>0</v>
      </c>
      <c r="J41" s="120">
        <f>+Actuals!G302</f>
        <v>0</v>
      </c>
      <c r="K41" s="121">
        <f>+Actuals!H302</f>
        <v>0</v>
      </c>
      <c r="L41" s="120">
        <f>+Actuals!I302</f>
        <v>0</v>
      </c>
      <c r="M41" s="121">
        <f>+Actuals!J302</f>
        <v>0</v>
      </c>
      <c r="N41" s="120">
        <f>+Actuals!K302</f>
        <v>0</v>
      </c>
      <c r="O41" s="121">
        <f>+Actuals!L302</f>
        <v>0</v>
      </c>
      <c r="P41" s="120">
        <f>+Actuals!M302</f>
        <v>0</v>
      </c>
      <c r="Q41" s="121">
        <f>+Actuals!N302</f>
        <v>0</v>
      </c>
      <c r="R41" s="120">
        <f>+Actuals!O302</f>
        <v>0</v>
      </c>
      <c r="S41" s="121">
        <f>+Actuals!P302</f>
        <v>0</v>
      </c>
      <c r="T41" s="120">
        <f>+Actuals!Q302</f>
        <v>0</v>
      </c>
      <c r="U41" s="121">
        <f>+Actuals!R302</f>
        <v>0</v>
      </c>
      <c r="V41" s="120">
        <f>+Actuals!S302</f>
        <v>0</v>
      </c>
      <c r="W41" s="121">
        <f>+Actuals!T302</f>
        <v>0</v>
      </c>
      <c r="X41" s="120">
        <f>+Actuals!U302</f>
        <v>0</v>
      </c>
      <c r="Y41" s="121">
        <f>+Actuals!V302</f>
        <v>0</v>
      </c>
      <c r="Z41" s="120">
        <f>+Actuals!W302</f>
        <v>0</v>
      </c>
      <c r="AA41" s="121">
        <f>+Actuals!X302</f>
        <v>0</v>
      </c>
      <c r="AB41" s="120">
        <f>+Actuals!Y302</f>
        <v>0</v>
      </c>
      <c r="AC41" s="121">
        <f>+Actuals!Z302</f>
        <v>0</v>
      </c>
      <c r="AD41" s="120">
        <f>+Actuals!AA302</f>
        <v>0</v>
      </c>
      <c r="AE41" s="121">
        <f>+Actuals!AB302</f>
        <v>0</v>
      </c>
      <c r="AF41" s="120">
        <f>+Actuals!AC302</f>
        <v>0</v>
      </c>
      <c r="AG41" s="121">
        <f>+Actuals!AD302</f>
        <v>0</v>
      </c>
      <c r="AH41" s="120">
        <f>+Actuals!AE302</f>
        <v>0</v>
      </c>
      <c r="AI41" s="121">
        <f>+Actuals!AF302</f>
        <v>0</v>
      </c>
      <c r="AJ41" s="120">
        <f>+Actuals!AG302</f>
        <v>0</v>
      </c>
      <c r="AK41" s="121">
        <f>+Actuals!AH302</f>
        <v>0</v>
      </c>
      <c r="AL41" s="120">
        <f>+Actuals!AI302</f>
        <v>0</v>
      </c>
      <c r="AM41" s="121">
        <f>+Actuals!AJ302</f>
        <v>0</v>
      </c>
      <c r="AN41" s="120">
        <f>+Actuals!AK302</f>
        <v>0</v>
      </c>
      <c r="AO41" s="121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S42" si="13">SUM(N40:N41)</f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S43" si="15">N42+N39</f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20">
        <f>+Actuals!E303</f>
        <v>0</v>
      </c>
      <c r="I45" s="121">
        <f>+Actuals!F303</f>
        <v>0</v>
      </c>
      <c r="J45" s="120">
        <f>+Actuals!G303</f>
        <v>0</v>
      </c>
      <c r="K45" s="121">
        <f>+Actuals!H303</f>
        <v>0</v>
      </c>
      <c r="L45" s="120">
        <f>+Actuals!I303</f>
        <v>0</v>
      </c>
      <c r="M45" s="121">
        <f>+Actuals!J303</f>
        <v>0</v>
      </c>
      <c r="N45" s="120">
        <f>+Actuals!K303</f>
        <v>0</v>
      </c>
      <c r="O45" s="121">
        <f>+Actuals!L303</f>
        <v>0</v>
      </c>
      <c r="P45" s="120">
        <f>+Actuals!M303</f>
        <v>0</v>
      </c>
      <c r="Q45" s="121">
        <f>+Actuals!N303</f>
        <v>0</v>
      </c>
      <c r="R45" s="120">
        <f>+Actuals!O303</f>
        <v>0</v>
      </c>
      <c r="S45" s="121">
        <f>+Actuals!P303</f>
        <v>0</v>
      </c>
      <c r="T45" s="120">
        <f>+Actuals!Q303</f>
        <v>0</v>
      </c>
      <c r="U45" s="121">
        <f>+Actuals!R303</f>
        <v>0</v>
      </c>
      <c r="V45" s="120">
        <f>+Actuals!S303</f>
        <v>0</v>
      </c>
      <c r="W45" s="121">
        <f>+Actuals!T303</f>
        <v>0</v>
      </c>
      <c r="X45" s="120">
        <f>+Actuals!U303</f>
        <v>0</v>
      </c>
      <c r="Y45" s="121">
        <f>+Actuals!V303</f>
        <v>0</v>
      </c>
      <c r="Z45" s="120">
        <f>+Actuals!W303</f>
        <v>0</v>
      </c>
      <c r="AA45" s="121">
        <f>+Actuals!X303</f>
        <v>0</v>
      </c>
      <c r="AB45" s="120">
        <f>+Actuals!Y303</f>
        <v>0</v>
      </c>
      <c r="AC45" s="121">
        <f>+Actuals!Z303</f>
        <v>0</v>
      </c>
      <c r="AD45" s="120">
        <f>+Actuals!AA303</f>
        <v>0</v>
      </c>
      <c r="AE45" s="121">
        <f>+Actuals!AB303</f>
        <v>0</v>
      </c>
      <c r="AF45" s="120">
        <f>+Actuals!AC303</f>
        <v>0</v>
      </c>
      <c r="AG45" s="121">
        <f>+Actuals!AD303</f>
        <v>0</v>
      </c>
      <c r="AH45" s="120">
        <f>+Actuals!AE303</f>
        <v>0</v>
      </c>
      <c r="AI45" s="121">
        <f>+Actuals!AF303</f>
        <v>0</v>
      </c>
      <c r="AJ45" s="120">
        <f>+Actuals!AG303</f>
        <v>0</v>
      </c>
      <c r="AK45" s="121">
        <f>+Actuals!AH303</f>
        <v>0</v>
      </c>
      <c r="AL45" s="120">
        <f>+Actuals!AI303</f>
        <v>0</v>
      </c>
      <c r="AM45" s="121">
        <f>+Actuals!AJ303</f>
        <v>0</v>
      </c>
      <c r="AN45" s="120">
        <f>+Actuals!AK303</f>
        <v>0</v>
      </c>
      <c r="AO45" s="121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20">
        <f>+Actuals!E304</f>
        <v>0</v>
      </c>
      <c r="I47" s="121">
        <f>+Actuals!F304</f>
        <v>0</v>
      </c>
      <c r="J47" s="120">
        <f>+Actuals!G304</f>
        <v>0</v>
      </c>
      <c r="K47" s="121">
        <f>+Actuals!H304</f>
        <v>0</v>
      </c>
      <c r="L47" s="120">
        <f>+Actuals!I304</f>
        <v>0</v>
      </c>
      <c r="M47" s="121">
        <f>+Actuals!J304</f>
        <v>0</v>
      </c>
      <c r="N47" s="120">
        <f>+Actuals!K304</f>
        <v>0</v>
      </c>
      <c r="O47" s="121">
        <f>+Actuals!L304</f>
        <v>0</v>
      </c>
      <c r="P47" s="120">
        <f>+Actuals!M304</f>
        <v>0</v>
      </c>
      <c r="Q47" s="121">
        <f>+Actuals!N304</f>
        <v>0</v>
      </c>
      <c r="R47" s="120">
        <f>+Actuals!O304</f>
        <v>0</v>
      </c>
      <c r="S47" s="121">
        <f>+Actuals!P304</f>
        <v>0</v>
      </c>
      <c r="T47" s="120">
        <f>+Actuals!Q304</f>
        <v>0</v>
      </c>
      <c r="U47" s="121">
        <f>+Actuals!R304</f>
        <v>0</v>
      </c>
      <c r="V47" s="120">
        <f>+Actuals!S304</f>
        <v>0</v>
      </c>
      <c r="W47" s="121">
        <f>+Actuals!T304</f>
        <v>0</v>
      </c>
      <c r="X47" s="120">
        <f>+Actuals!U304</f>
        <v>0</v>
      </c>
      <c r="Y47" s="121">
        <f>+Actuals!V304</f>
        <v>0</v>
      </c>
      <c r="Z47" s="120">
        <f>+Actuals!W304</f>
        <v>0</v>
      </c>
      <c r="AA47" s="121">
        <f>+Actuals!X304</f>
        <v>0</v>
      </c>
      <c r="AB47" s="120">
        <f>+Actuals!Y304</f>
        <v>0</v>
      </c>
      <c r="AC47" s="121">
        <f>+Actuals!Z304</f>
        <v>0</v>
      </c>
      <c r="AD47" s="120">
        <f>+Actuals!AA304</f>
        <v>0</v>
      </c>
      <c r="AE47" s="121">
        <f>+Actuals!AB304</f>
        <v>0</v>
      </c>
      <c r="AF47" s="120">
        <f>+Actuals!AC304</f>
        <v>0</v>
      </c>
      <c r="AG47" s="121">
        <f>+Actuals!AD304</f>
        <v>0</v>
      </c>
      <c r="AH47" s="120">
        <f>+Actuals!AE304</f>
        <v>0</v>
      </c>
      <c r="AI47" s="121">
        <f>+Actuals!AF304</f>
        <v>0</v>
      </c>
      <c r="AJ47" s="120">
        <f>+Actuals!AG304</f>
        <v>0</v>
      </c>
      <c r="AK47" s="121">
        <f>+Actuals!AH304</f>
        <v>0</v>
      </c>
      <c r="AL47" s="120">
        <f>+Actuals!AI304</f>
        <v>0</v>
      </c>
      <c r="AM47" s="121">
        <f>+Actuals!AJ304</f>
        <v>0</v>
      </c>
      <c r="AN47" s="120">
        <f>+Actuals!AK304</f>
        <v>0</v>
      </c>
      <c r="AO47" s="121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-691427</v>
      </c>
      <c r="E49" s="38">
        <f>SUM(G49,I49,K49,M49,O49,Q49,S49,U49,W49,Y49,AA49,AC49,AE49)</f>
        <v>-1652510.5299999998</v>
      </c>
      <c r="F49" s="60">
        <f>'TIE-OUT'!AB49+RECLASS!Z49</f>
        <v>0</v>
      </c>
      <c r="G49" s="38">
        <f>'TIE-OUT'!AC49+RECLASS!AA49</f>
        <v>0</v>
      </c>
      <c r="H49" s="120">
        <f>+Actuals!E305</f>
        <v>401877</v>
      </c>
      <c r="I49" s="121">
        <f>+Actuals!F305</f>
        <v>960486.03</v>
      </c>
      <c r="J49" s="120">
        <f>+Actuals!G305</f>
        <v>-171955</v>
      </c>
      <c r="K49" s="121">
        <f>+Actuals!H305</f>
        <v>-410972.45</v>
      </c>
      <c r="L49" s="120">
        <f>+Actuals!I305</f>
        <v>88292</v>
      </c>
      <c r="M49" s="121">
        <f>+Actuals!J305</f>
        <v>211017.88</v>
      </c>
      <c r="N49" s="120">
        <f>+Actuals!K305</f>
        <v>0</v>
      </c>
      <c r="O49" s="121">
        <f>+Actuals!L305</f>
        <v>0</v>
      </c>
      <c r="P49" s="120">
        <f>+Actuals!M305</f>
        <v>-781</v>
      </c>
      <c r="Q49" s="121">
        <f>+Actuals!N305</f>
        <v>-1866.59</v>
      </c>
      <c r="R49" s="120">
        <f>+Actuals!O305</f>
        <v>0</v>
      </c>
      <c r="S49" s="121">
        <f>+Actuals!P305</f>
        <v>0</v>
      </c>
      <c r="T49" s="120">
        <f>+Actuals!Q305</f>
        <v>-1080470</v>
      </c>
      <c r="U49" s="121">
        <f>+Actuals!R305</f>
        <v>-2582323.2999999998</v>
      </c>
      <c r="V49" s="120">
        <v>71610</v>
      </c>
      <c r="W49" s="121">
        <v>171147.9</v>
      </c>
      <c r="X49" s="120">
        <v>1249051</v>
      </c>
      <c r="Y49" s="121">
        <v>2985231.89</v>
      </c>
      <c r="Z49" s="120">
        <v>-1249051</v>
      </c>
      <c r="AA49" s="121">
        <v>-2985231.89</v>
      </c>
      <c r="AB49" s="120"/>
      <c r="AC49" s="121"/>
      <c r="AD49" s="120"/>
      <c r="AE49" s="121"/>
      <c r="AF49" s="120"/>
      <c r="AG49" s="121"/>
      <c r="AH49" s="120"/>
      <c r="AI49" s="121"/>
      <c r="AJ49" s="120"/>
      <c r="AK49" s="121"/>
      <c r="AL49" s="120"/>
      <c r="AM49" s="121"/>
      <c r="AN49" s="120"/>
      <c r="AO49" s="121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-0.92650000000139698</v>
      </c>
      <c r="F51" s="60">
        <f>'TIE-OUT'!AB51+RECLASS!Z51</f>
        <v>0</v>
      </c>
      <c r="G51" s="38">
        <f>'TIE-OUT'!AC51+RECLASS!AA51</f>
        <v>0</v>
      </c>
      <c r="H51" s="120">
        <f>+Actuals!E306</f>
        <v>-43857</v>
      </c>
      <c r="I51" s="121">
        <f>+Actuals!F306</f>
        <v>-104819.1565</v>
      </c>
      <c r="J51" s="120">
        <f>+Actuals!G306</f>
        <v>-27753</v>
      </c>
      <c r="K51" s="121">
        <f>+Actuals!H306</f>
        <v>-66329.67</v>
      </c>
      <c r="L51" s="120">
        <f>+Actuals!I306</f>
        <v>0</v>
      </c>
      <c r="M51" s="121">
        <f>+Actuals!J306</f>
        <v>0</v>
      </c>
      <c r="N51" s="120">
        <f>+Actuals!K306</f>
        <v>0</v>
      </c>
      <c r="O51" s="121">
        <f>+Actuals!L306</f>
        <v>0</v>
      </c>
      <c r="P51" s="120">
        <f>+Actuals!M306</f>
        <v>0</v>
      </c>
      <c r="Q51" s="121">
        <f>+Actuals!N306</f>
        <v>0</v>
      </c>
      <c r="R51" s="120">
        <f>+Actuals!O306</f>
        <v>0</v>
      </c>
      <c r="S51" s="121">
        <f>+Actuals!P306</f>
        <v>0</v>
      </c>
      <c r="T51" s="120">
        <f>+Actuals!Q306</f>
        <v>0</v>
      </c>
      <c r="U51" s="121">
        <f>+Actuals!R306</f>
        <v>0</v>
      </c>
      <c r="V51" s="120">
        <v>71610</v>
      </c>
      <c r="W51" s="121">
        <v>171147.9</v>
      </c>
      <c r="X51" s="120">
        <f>+Actuals!U306</f>
        <v>0</v>
      </c>
      <c r="Y51" s="121">
        <f>+Actuals!V306</f>
        <v>0</v>
      </c>
      <c r="Z51" s="120">
        <f>+Actuals!W306</f>
        <v>0</v>
      </c>
      <c r="AA51" s="121">
        <f>+Actuals!X306</f>
        <v>0</v>
      </c>
      <c r="AB51" s="120">
        <f>+Actuals!Y306</f>
        <v>0</v>
      </c>
      <c r="AC51" s="121">
        <f>+Actuals!Z306</f>
        <v>0</v>
      </c>
      <c r="AD51" s="120">
        <f>+Actuals!AA306</f>
        <v>0</v>
      </c>
      <c r="AE51" s="121">
        <f>+Actuals!AB306</f>
        <v>0</v>
      </c>
      <c r="AF51" s="120">
        <f>+Actuals!AC306</f>
        <v>0</v>
      </c>
      <c r="AG51" s="121">
        <f>+Actuals!AD306</f>
        <v>0</v>
      </c>
      <c r="AH51" s="120">
        <f>+Actuals!AE306</f>
        <v>0</v>
      </c>
      <c r="AI51" s="121">
        <f>+Actuals!AF306</f>
        <v>0</v>
      </c>
      <c r="AJ51" s="120">
        <f>+Actuals!AG306</f>
        <v>0</v>
      </c>
      <c r="AK51" s="121">
        <f>+Actuals!AH306</f>
        <v>0</v>
      </c>
      <c r="AL51" s="120">
        <f>+Actuals!AI306</f>
        <v>0</v>
      </c>
      <c r="AM51" s="121">
        <f>+Actuals!AJ306</f>
        <v>0</v>
      </c>
      <c r="AN51" s="120">
        <f>+Actuals!AK306</f>
        <v>0</v>
      </c>
      <c r="AO51" s="121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-72413.540000000008</v>
      </c>
      <c r="F54" s="64">
        <f>'TIE-OUT'!AB54+RECLASS!Z54</f>
        <v>0</v>
      </c>
      <c r="G54" s="68">
        <f>'TIE-OUT'!AC54+RECLASS!AA54</f>
        <v>0</v>
      </c>
      <c r="H54" s="120">
        <f>+Actuals!E307</f>
        <v>-570605</v>
      </c>
      <c r="I54" s="121">
        <f>+Actuals!F307</f>
        <v>-16348.83</v>
      </c>
      <c r="J54" s="120">
        <f>+Actuals!G307</f>
        <v>570605</v>
      </c>
      <c r="K54" s="121">
        <f>+Actuals!H307</f>
        <v>-95487.25</v>
      </c>
      <c r="L54" s="120">
        <f>+Actuals!I307</f>
        <v>0</v>
      </c>
      <c r="M54" s="121">
        <f>+Actuals!J307</f>
        <v>0</v>
      </c>
      <c r="N54" s="120">
        <f>+Actuals!K307</f>
        <v>0</v>
      </c>
      <c r="O54" s="121">
        <f>+Actuals!L307</f>
        <v>0</v>
      </c>
      <c r="P54" s="120">
        <f>+Actuals!M307</f>
        <v>0</v>
      </c>
      <c r="Q54" s="121">
        <f>+Actuals!N307</f>
        <v>39422.54</v>
      </c>
      <c r="R54" s="120">
        <f>+Actuals!O307</f>
        <v>0</v>
      </c>
      <c r="S54" s="121">
        <f>+Actuals!P307</f>
        <v>0</v>
      </c>
      <c r="T54" s="120">
        <f>+Actuals!Q307</f>
        <v>0</v>
      </c>
      <c r="U54" s="121">
        <f>+Actuals!R307</f>
        <v>0</v>
      </c>
      <c r="V54" s="120">
        <f>+Actuals!S307</f>
        <v>0</v>
      </c>
      <c r="W54" s="121">
        <f>+Actuals!T307</f>
        <v>0</v>
      </c>
      <c r="X54" s="120">
        <f>+Actuals!U307</f>
        <v>0</v>
      </c>
      <c r="Y54" s="121">
        <f>+Actuals!V307</f>
        <v>0</v>
      </c>
      <c r="Z54" s="120">
        <f>+Actuals!W307</f>
        <v>0</v>
      </c>
      <c r="AA54" s="121">
        <f>+Actuals!X307</f>
        <v>0</v>
      </c>
      <c r="AB54" s="120">
        <f>+Actuals!Y307</f>
        <v>0</v>
      </c>
      <c r="AC54" s="121">
        <f>+Actuals!Z307</f>
        <v>0</v>
      </c>
      <c r="AD54" s="120">
        <f>+Actuals!AA307</f>
        <v>0</v>
      </c>
      <c r="AE54" s="121">
        <f>+Actuals!AB307</f>
        <v>0</v>
      </c>
      <c r="AF54" s="120">
        <f>+Actuals!AC307</f>
        <v>0</v>
      </c>
      <c r="AG54" s="121">
        <f>+Actuals!AD307</f>
        <v>0</v>
      </c>
      <c r="AH54" s="120">
        <f>+Actuals!AE307</f>
        <v>0</v>
      </c>
      <c r="AI54" s="121">
        <f>+Actuals!AF307</f>
        <v>0</v>
      </c>
      <c r="AJ54" s="120">
        <f>+Actuals!AG307</f>
        <v>0</v>
      </c>
      <c r="AK54" s="121">
        <f>+Actuals!AH307</f>
        <v>0</v>
      </c>
      <c r="AL54" s="120">
        <f>+Actuals!AI307</f>
        <v>0</v>
      </c>
      <c r="AM54" s="121">
        <f>+Actuals!AJ307</f>
        <v>0</v>
      </c>
      <c r="AN54" s="120">
        <f>+Actuals!AK307</f>
        <v>0</v>
      </c>
      <c r="AO54" s="121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20">
        <f>+Actuals!E308</f>
        <v>0</v>
      </c>
      <c r="I55" s="121">
        <f>+Actuals!F308</f>
        <v>-1775499.69</v>
      </c>
      <c r="J55" s="120">
        <f>+Actuals!G308</f>
        <v>0</v>
      </c>
      <c r="K55" s="121">
        <f>+Actuals!H308</f>
        <v>1775499.69</v>
      </c>
      <c r="L55" s="120">
        <f>+Actuals!I308</f>
        <v>0</v>
      </c>
      <c r="M55" s="121">
        <f>+Actuals!J308</f>
        <v>0</v>
      </c>
      <c r="N55" s="120">
        <f>+Actuals!K308</f>
        <v>0</v>
      </c>
      <c r="O55" s="121">
        <f>+Actuals!L308</f>
        <v>0</v>
      </c>
      <c r="P55" s="120">
        <f>+Actuals!M308</f>
        <v>0</v>
      </c>
      <c r="Q55" s="121">
        <f>+Actuals!N308</f>
        <v>0</v>
      </c>
      <c r="R55" s="120">
        <f>+Actuals!O308</f>
        <v>0</v>
      </c>
      <c r="S55" s="121">
        <f>+Actuals!P308</f>
        <v>0</v>
      </c>
      <c r="T55" s="120">
        <f>+Actuals!Q308</f>
        <v>0</v>
      </c>
      <c r="U55" s="121">
        <f>+Actuals!R308</f>
        <v>0</v>
      </c>
      <c r="V55" s="120">
        <f>+Actuals!S308</f>
        <v>0</v>
      </c>
      <c r="W55" s="121">
        <f>+Actuals!T308</f>
        <v>0</v>
      </c>
      <c r="X55" s="120">
        <f>+Actuals!U308</f>
        <v>0</v>
      </c>
      <c r="Y55" s="121">
        <f>+Actuals!V308</f>
        <v>0</v>
      </c>
      <c r="Z55" s="120">
        <f>+Actuals!W308</f>
        <v>0</v>
      </c>
      <c r="AA55" s="121">
        <f>+Actuals!X308</f>
        <v>0</v>
      </c>
      <c r="AB55" s="120">
        <f>+Actuals!Y308</f>
        <v>0</v>
      </c>
      <c r="AC55" s="121">
        <f>+Actuals!Z308</f>
        <v>0</v>
      </c>
      <c r="AD55" s="120">
        <f>+Actuals!AA308</f>
        <v>0</v>
      </c>
      <c r="AE55" s="121">
        <f>+Actuals!AB308</f>
        <v>0</v>
      </c>
      <c r="AF55" s="120">
        <f>+Actuals!AC308</f>
        <v>0</v>
      </c>
      <c r="AG55" s="121">
        <f>+Actuals!AD308</f>
        <v>0</v>
      </c>
      <c r="AH55" s="120">
        <f>+Actuals!AE308</f>
        <v>0</v>
      </c>
      <c r="AI55" s="121">
        <f>+Actuals!AF308</f>
        <v>0</v>
      </c>
      <c r="AJ55" s="120">
        <f>+Actuals!AG308</f>
        <v>0</v>
      </c>
      <c r="AK55" s="121">
        <f>+Actuals!AH308</f>
        <v>0</v>
      </c>
      <c r="AL55" s="120">
        <f>+Actuals!AI308</f>
        <v>0</v>
      </c>
      <c r="AM55" s="121">
        <f>+Actuals!AJ308</f>
        <v>0</v>
      </c>
      <c r="AN55" s="120">
        <f>+Actuals!AK308</f>
        <v>0</v>
      </c>
      <c r="AO55" s="121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6">SUM(D54:D55)</f>
        <v>0</v>
      </c>
      <c r="E56" s="39">
        <f t="shared" si="16"/>
        <v>-72413.540000000008</v>
      </c>
      <c r="F56" s="61">
        <f t="shared" si="16"/>
        <v>0</v>
      </c>
      <c r="G56" s="39">
        <f t="shared" si="16"/>
        <v>0</v>
      </c>
      <c r="H56" s="61">
        <f t="shared" si="16"/>
        <v>-570605</v>
      </c>
      <c r="I56" s="39">
        <f t="shared" si="16"/>
        <v>-1791848.52</v>
      </c>
      <c r="J56" s="61">
        <f t="shared" si="16"/>
        <v>570605</v>
      </c>
      <c r="K56" s="39">
        <f t="shared" si="16"/>
        <v>1680012.44</v>
      </c>
      <c r="L56" s="61">
        <f t="shared" si="16"/>
        <v>0</v>
      </c>
      <c r="M56" s="39">
        <f t="shared" si="16"/>
        <v>0</v>
      </c>
      <c r="N56" s="61">
        <f t="shared" ref="N56:S56" si="17">SUM(N54:N55)</f>
        <v>0</v>
      </c>
      <c r="O56" s="39">
        <f t="shared" si="17"/>
        <v>0</v>
      </c>
      <c r="P56" s="61">
        <f t="shared" si="17"/>
        <v>0</v>
      </c>
      <c r="Q56" s="39">
        <f t="shared" si="17"/>
        <v>39422.54</v>
      </c>
      <c r="R56" s="61">
        <f t="shared" si="17"/>
        <v>0</v>
      </c>
      <c r="S56" s="39">
        <f t="shared" si="17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20">
        <f>+Actuals!E309</f>
        <v>0</v>
      </c>
      <c r="I59" s="121">
        <f>+Actuals!F309</f>
        <v>0</v>
      </c>
      <c r="J59" s="120">
        <f>+Actuals!G309</f>
        <v>0</v>
      </c>
      <c r="K59" s="121">
        <f>+Actuals!H309</f>
        <v>0</v>
      </c>
      <c r="L59" s="120">
        <f>+Actuals!I309</f>
        <v>0</v>
      </c>
      <c r="M59" s="121">
        <f>+Actuals!J309</f>
        <v>0</v>
      </c>
      <c r="N59" s="120">
        <f>+Actuals!K309</f>
        <v>0</v>
      </c>
      <c r="O59" s="121">
        <f>+Actuals!L309</f>
        <v>0</v>
      </c>
      <c r="P59" s="120">
        <f>+Actuals!M309</f>
        <v>0</v>
      </c>
      <c r="Q59" s="121">
        <f>+Actuals!N309</f>
        <v>0</v>
      </c>
      <c r="R59" s="120">
        <f>+Actuals!O309</f>
        <v>0</v>
      </c>
      <c r="S59" s="121">
        <f>+Actuals!P309</f>
        <v>0</v>
      </c>
      <c r="T59" s="120">
        <f>+Actuals!Q309</f>
        <v>0</v>
      </c>
      <c r="U59" s="121">
        <f>+Actuals!R309</f>
        <v>0</v>
      </c>
      <c r="V59" s="120">
        <f>+Actuals!S309</f>
        <v>0</v>
      </c>
      <c r="W59" s="121">
        <f>+Actuals!T309</f>
        <v>0</v>
      </c>
      <c r="X59" s="120">
        <f>+Actuals!U309</f>
        <v>0</v>
      </c>
      <c r="Y59" s="121">
        <f>+Actuals!V309</f>
        <v>0</v>
      </c>
      <c r="Z59" s="120">
        <f>+Actuals!W309</f>
        <v>0</v>
      </c>
      <c r="AA59" s="121">
        <f>+Actuals!X309</f>
        <v>0</v>
      </c>
      <c r="AB59" s="120">
        <f>+Actuals!Y309</f>
        <v>0</v>
      </c>
      <c r="AC59" s="121">
        <f>+Actuals!Z309</f>
        <v>0</v>
      </c>
      <c r="AD59" s="120">
        <f>+Actuals!AA309</f>
        <v>0</v>
      </c>
      <c r="AE59" s="121">
        <f>+Actuals!AB309</f>
        <v>0</v>
      </c>
      <c r="AF59" s="120">
        <f>+Actuals!AC309</f>
        <v>0</v>
      </c>
      <c r="AG59" s="121">
        <f>+Actuals!AD309</f>
        <v>0</v>
      </c>
      <c r="AH59" s="120">
        <f>+Actuals!AE309</f>
        <v>0</v>
      </c>
      <c r="AI59" s="121">
        <f>+Actuals!AF309</f>
        <v>0</v>
      </c>
      <c r="AJ59" s="120">
        <f>+Actuals!AG309</f>
        <v>0</v>
      </c>
      <c r="AK59" s="121">
        <f>+Actuals!AH309</f>
        <v>0</v>
      </c>
      <c r="AL59" s="120">
        <f>+Actuals!AI309</f>
        <v>0</v>
      </c>
      <c r="AM59" s="121">
        <f>+Actuals!AJ309</f>
        <v>0</v>
      </c>
      <c r="AN59" s="120">
        <f>+Actuals!AK309</f>
        <v>0</v>
      </c>
      <c r="AO59" s="121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20">
        <f>+Actuals!E310</f>
        <v>0</v>
      </c>
      <c r="I60" s="121">
        <f>+Actuals!F310</f>
        <v>0</v>
      </c>
      <c r="J60" s="120">
        <f>+Actuals!G310</f>
        <v>0</v>
      </c>
      <c r="K60" s="121">
        <f>+Actuals!H310</f>
        <v>0</v>
      </c>
      <c r="L60" s="120">
        <f>+Actuals!I310</f>
        <v>0</v>
      </c>
      <c r="M60" s="121">
        <f>+Actuals!J310</f>
        <v>0</v>
      </c>
      <c r="N60" s="120">
        <f>+Actuals!K310</f>
        <v>0</v>
      </c>
      <c r="O60" s="121">
        <f>+Actuals!L310</f>
        <v>0</v>
      </c>
      <c r="P60" s="120">
        <f>+Actuals!M310</f>
        <v>0</v>
      </c>
      <c r="Q60" s="121">
        <f>+Actuals!N310</f>
        <v>0</v>
      </c>
      <c r="R60" s="120">
        <f>+Actuals!O310</f>
        <v>0</v>
      </c>
      <c r="S60" s="121">
        <f>+Actuals!P310</f>
        <v>0</v>
      </c>
      <c r="T60" s="120">
        <f>+Actuals!Q310</f>
        <v>0</v>
      </c>
      <c r="U60" s="121">
        <f>+Actuals!R310</f>
        <v>0</v>
      </c>
      <c r="V60" s="120">
        <f>+Actuals!S310</f>
        <v>0</v>
      </c>
      <c r="W60" s="121">
        <f>+Actuals!T310</f>
        <v>0</v>
      </c>
      <c r="X60" s="120">
        <f>+Actuals!U310</f>
        <v>0</v>
      </c>
      <c r="Y60" s="121">
        <f>+Actuals!V310</f>
        <v>0</v>
      </c>
      <c r="Z60" s="120">
        <f>+Actuals!W310</f>
        <v>0</v>
      </c>
      <c r="AA60" s="121">
        <f>+Actuals!X310</f>
        <v>0</v>
      </c>
      <c r="AB60" s="120">
        <f>+Actuals!Y310</f>
        <v>0</v>
      </c>
      <c r="AC60" s="121">
        <f>+Actuals!Z310</f>
        <v>0</v>
      </c>
      <c r="AD60" s="120">
        <f>+Actuals!AA310</f>
        <v>0</v>
      </c>
      <c r="AE60" s="121">
        <f>+Actuals!AB310</f>
        <v>0</v>
      </c>
      <c r="AF60" s="120">
        <f>+Actuals!AC310</f>
        <v>0</v>
      </c>
      <c r="AG60" s="121">
        <f>+Actuals!AD310</f>
        <v>0</v>
      </c>
      <c r="AH60" s="120">
        <f>+Actuals!AE310</f>
        <v>0</v>
      </c>
      <c r="AI60" s="121">
        <f>+Actuals!AF310</f>
        <v>0</v>
      </c>
      <c r="AJ60" s="120">
        <f>+Actuals!AG310</f>
        <v>0</v>
      </c>
      <c r="AK60" s="121">
        <f>+Actuals!AH310</f>
        <v>0</v>
      </c>
      <c r="AL60" s="120">
        <f>+Actuals!AI310</f>
        <v>0</v>
      </c>
      <c r="AM60" s="121">
        <f>+Actuals!AJ310</f>
        <v>0</v>
      </c>
      <c r="AN60" s="120">
        <f>+Actuals!AK310</f>
        <v>0</v>
      </c>
      <c r="AO60" s="121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S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20">
        <f>+Actuals!E311</f>
        <v>0</v>
      </c>
      <c r="I64" s="121">
        <f>+Actuals!F311</f>
        <v>0</v>
      </c>
      <c r="J64" s="120">
        <f>+Actuals!G311</f>
        <v>0</v>
      </c>
      <c r="K64" s="121">
        <f>+Actuals!H311</f>
        <v>0</v>
      </c>
      <c r="L64" s="120">
        <f>+Actuals!I311</f>
        <v>0</v>
      </c>
      <c r="M64" s="121">
        <f>+Actuals!J311</f>
        <v>0</v>
      </c>
      <c r="N64" s="120">
        <f>+Actuals!K311</f>
        <v>0</v>
      </c>
      <c r="O64" s="121">
        <f>+Actuals!L311</f>
        <v>0</v>
      </c>
      <c r="P64" s="120">
        <f>+Actuals!M311</f>
        <v>0</v>
      </c>
      <c r="Q64" s="121">
        <f>+Actuals!N311</f>
        <v>0</v>
      </c>
      <c r="R64" s="120">
        <f>+Actuals!O311</f>
        <v>0</v>
      </c>
      <c r="S64" s="121">
        <f>+Actuals!P311</f>
        <v>0</v>
      </c>
      <c r="T64" s="120">
        <f>+Actuals!Q311</f>
        <v>0</v>
      </c>
      <c r="U64" s="121">
        <f>+Actuals!R311</f>
        <v>0</v>
      </c>
      <c r="V64" s="120">
        <f>+Actuals!S311</f>
        <v>0</v>
      </c>
      <c r="W64" s="121">
        <f>+Actuals!T311</f>
        <v>0</v>
      </c>
      <c r="X64" s="120">
        <f>+Actuals!U311</f>
        <v>0</v>
      </c>
      <c r="Y64" s="121">
        <f>+Actuals!V311</f>
        <v>0</v>
      </c>
      <c r="Z64" s="120">
        <f>+Actuals!W311</f>
        <v>0</v>
      </c>
      <c r="AA64" s="121">
        <f>+Actuals!X311</f>
        <v>0</v>
      </c>
      <c r="AB64" s="120">
        <f>+Actuals!Y311</f>
        <v>0</v>
      </c>
      <c r="AC64" s="121">
        <f>+Actuals!Z311</f>
        <v>0</v>
      </c>
      <c r="AD64" s="120">
        <f>+Actuals!AA311</f>
        <v>0</v>
      </c>
      <c r="AE64" s="121">
        <f>+Actuals!AB311</f>
        <v>0</v>
      </c>
      <c r="AF64" s="120">
        <f>+Actuals!AC311</f>
        <v>0</v>
      </c>
      <c r="AG64" s="121">
        <f>+Actuals!AD311</f>
        <v>0</v>
      </c>
      <c r="AH64" s="120">
        <f>+Actuals!AE311</f>
        <v>0</v>
      </c>
      <c r="AI64" s="121">
        <f>+Actuals!AF311</f>
        <v>0</v>
      </c>
      <c r="AJ64" s="120">
        <f>+Actuals!AG311</f>
        <v>0</v>
      </c>
      <c r="AK64" s="121">
        <f>+Actuals!AH311</f>
        <v>0</v>
      </c>
      <c r="AL64" s="120">
        <f>+Actuals!AI311</f>
        <v>0</v>
      </c>
      <c r="AM64" s="121">
        <f>+Actuals!AJ311</f>
        <v>0</v>
      </c>
      <c r="AN64" s="120">
        <f>+Actuals!AK311</f>
        <v>0</v>
      </c>
      <c r="AO64" s="121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20">
        <f>+Actuals!E312</f>
        <v>0</v>
      </c>
      <c r="I65" s="121">
        <f>+Actuals!F312</f>
        <v>0</v>
      </c>
      <c r="J65" s="120">
        <f>+Actuals!G312</f>
        <v>0</v>
      </c>
      <c r="K65" s="121">
        <f>+Actuals!H312</f>
        <v>0</v>
      </c>
      <c r="L65" s="120">
        <f>+Actuals!I312</f>
        <v>0</v>
      </c>
      <c r="M65" s="121">
        <f>+Actuals!J312</f>
        <v>0</v>
      </c>
      <c r="N65" s="120">
        <f>+Actuals!K312</f>
        <v>0</v>
      </c>
      <c r="O65" s="121">
        <f>+Actuals!L312</f>
        <v>0</v>
      </c>
      <c r="P65" s="120">
        <f>+Actuals!M312</f>
        <v>0</v>
      </c>
      <c r="Q65" s="121">
        <f>+Actuals!N312</f>
        <v>0</v>
      </c>
      <c r="R65" s="120">
        <f>+Actuals!O312</f>
        <v>0</v>
      </c>
      <c r="S65" s="121">
        <f>+Actuals!P312</f>
        <v>0</v>
      </c>
      <c r="T65" s="120">
        <f>+Actuals!Q312</f>
        <v>0</v>
      </c>
      <c r="U65" s="121">
        <f>+Actuals!R312</f>
        <v>0</v>
      </c>
      <c r="V65" s="120">
        <f>+Actuals!S312</f>
        <v>0</v>
      </c>
      <c r="W65" s="121">
        <f>+Actuals!T312</f>
        <v>0</v>
      </c>
      <c r="X65" s="120">
        <f>+Actuals!U312</f>
        <v>0</v>
      </c>
      <c r="Y65" s="121">
        <f>+Actuals!V312</f>
        <v>0</v>
      </c>
      <c r="Z65" s="120">
        <f>+Actuals!W312</f>
        <v>0</v>
      </c>
      <c r="AA65" s="121">
        <f>+Actuals!X312</f>
        <v>0</v>
      </c>
      <c r="AB65" s="120">
        <f>+Actuals!Y312</f>
        <v>0</v>
      </c>
      <c r="AC65" s="121">
        <f>+Actuals!Z312</f>
        <v>0</v>
      </c>
      <c r="AD65" s="120">
        <f>+Actuals!AA312</f>
        <v>0</v>
      </c>
      <c r="AE65" s="121">
        <f>+Actuals!AB312</f>
        <v>0</v>
      </c>
      <c r="AF65" s="120">
        <f>+Actuals!AC312</f>
        <v>0</v>
      </c>
      <c r="AG65" s="121">
        <f>+Actuals!AD312</f>
        <v>0</v>
      </c>
      <c r="AH65" s="120">
        <f>+Actuals!AE312</f>
        <v>0</v>
      </c>
      <c r="AI65" s="121">
        <f>+Actuals!AF312</f>
        <v>0</v>
      </c>
      <c r="AJ65" s="120">
        <f>+Actuals!AG312</f>
        <v>0</v>
      </c>
      <c r="AK65" s="121">
        <f>+Actuals!AH312</f>
        <v>0</v>
      </c>
      <c r="AL65" s="120">
        <f>+Actuals!AI312</f>
        <v>0</v>
      </c>
      <c r="AM65" s="121">
        <f>+Actuals!AJ312</f>
        <v>0</v>
      </c>
      <c r="AN65" s="120">
        <f>+Actuals!AK312</f>
        <v>0</v>
      </c>
      <c r="AO65" s="121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S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708911.52</v>
      </c>
      <c r="F70" s="64">
        <f>'TIE-OUT'!AB70+RECLASS!Z70</f>
        <v>0</v>
      </c>
      <c r="G70" s="68">
        <f>'TIE-OUT'!AC70+RECLASS!AA70</f>
        <v>708911.52</v>
      </c>
      <c r="H70" s="120">
        <f>+Actuals!E313</f>
        <v>0</v>
      </c>
      <c r="I70" s="121">
        <f>+Actuals!F313</f>
        <v>0</v>
      </c>
      <c r="J70" s="120">
        <f>+Actuals!G313</f>
        <v>0</v>
      </c>
      <c r="K70" s="121">
        <f>+Actuals!H313</f>
        <v>0</v>
      </c>
      <c r="L70" s="120">
        <f>+Actuals!I313</f>
        <v>0</v>
      </c>
      <c r="M70" s="121">
        <f>+Actuals!J313</f>
        <v>0</v>
      </c>
      <c r="N70" s="120">
        <f>+Actuals!K313</f>
        <v>0</v>
      </c>
      <c r="O70" s="121">
        <f>+Actuals!L313</f>
        <v>0</v>
      </c>
      <c r="P70" s="120">
        <f>+Actuals!M313</f>
        <v>0</v>
      </c>
      <c r="Q70" s="121">
        <f>+Actuals!N313</f>
        <v>0</v>
      </c>
      <c r="R70" s="120">
        <f>+Actuals!O313</f>
        <v>0</v>
      </c>
      <c r="S70" s="121">
        <f>+Actuals!P313</f>
        <v>0</v>
      </c>
      <c r="T70" s="120">
        <f>+Actuals!Q313</f>
        <v>0</v>
      </c>
      <c r="U70" s="121">
        <f>+Actuals!R313</f>
        <v>0</v>
      </c>
      <c r="V70" s="120">
        <f>+Actuals!S313</f>
        <v>0</v>
      </c>
      <c r="W70" s="121">
        <f>+Actuals!T313</f>
        <v>0</v>
      </c>
      <c r="X70" s="120">
        <f>+Actuals!U313</f>
        <v>0</v>
      </c>
      <c r="Y70" s="121">
        <f>+Actuals!V313</f>
        <v>0</v>
      </c>
      <c r="Z70" s="120">
        <f>+Actuals!W313</f>
        <v>0</v>
      </c>
      <c r="AA70" s="121">
        <f>+Actuals!X313</f>
        <v>0</v>
      </c>
      <c r="AB70" s="120">
        <f>+Actuals!Y313</f>
        <v>0</v>
      </c>
      <c r="AC70" s="121">
        <f>+Actuals!Z313</f>
        <v>0</v>
      </c>
      <c r="AD70" s="120">
        <f>+Actuals!AA313</f>
        <v>0</v>
      </c>
      <c r="AE70" s="121">
        <f>+Actuals!AB313</f>
        <v>0</v>
      </c>
      <c r="AF70" s="120">
        <f>+Actuals!AC313</f>
        <v>0</v>
      </c>
      <c r="AG70" s="121">
        <f>+Actuals!AD313</f>
        <v>0</v>
      </c>
      <c r="AH70" s="120">
        <f>+Actuals!AE313</f>
        <v>0</v>
      </c>
      <c r="AI70" s="121">
        <f>+Actuals!AF313</f>
        <v>0</v>
      </c>
      <c r="AJ70" s="120">
        <f>+Actuals!AG313</f>
        <v>0</v>
      </c>
      <c r="AK70" s="121">
        <f>+Actuals!AH313</f>
        <v>0</v>
      </c>
      <c r="AL70" s="120">
        <f>+Actuals!AI313</f>
        <v>0</v>
      </c>
      <c r="AM70" s="121">
        <f>+Actuals!AJ313</f>
        <v>0</v>
      </c>
      <c r="AN70" s="120">
        <f>+Actuals!AK313</f>
        <v>0</v>
      </c>
      <c r="AO70" s="121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-695660</v>
      </c>
      <c r="F71" s="81">
        <f>'TIE-OUT'!AB71+RECLASS!Z71</f>
        <v>0</v>
      </c>
      <c r="G71" s="82">
        <f>'TIE-OUT'!AC71+RECLASS!AA71</f>
        <v>-695660</v>
      </c>
      <c r="H71" s="120">
        <f>+Actuals!E314</f>
        <v>0</v>
      </c>
      <c r="I71" s="121">
        <f>+Actuals!F314</f>
        <v>0</v>
      </c>
      <c r="J71" s="120">
        <f>+Actuals!G314</f>
        <v>0</v>
      </c>
      <c r="K71" s="121">
        <f>+Actuals!H314</f>
        <v>0</v>
      </c>
      <c r="L71" s="120">
        <f>+Actuals!I314</f>
        <v>0</v>
      </c>
      <c r="M71" s="121">
        <f>+Actuals!J314</f>
        <v>0</v>
      </c>
      <c r="N71" s="120">
        <f>+Actuals!K314</f>
        <v>0</v>
      </c>
      <c r="O71" s="121">
        <f>+Actuals!L314</f>
        <v>0</v>
      </c>
      <c r="P71" s="120">
        <f>+Actuals!M314</f>
        <v>0</v>
      </c>
      <c r="Q71" s="121">
        <f>+Actuals!N314</f>
        <v>0</v>
      </c>
      <c r="R71" s="120">
        <f>+Actuals!O314</f>
        <v>0</v>
      </c>
      <c r="S71" s="121">
        <f>+Actuals!P314</f>
        <v>0</v>
      </c>
      <c r="T71" s="120">
        <f>+Actuals!Q314</f>
        <v>0</v>
      </c>
      <c r="U71" s="121">
        <f>+Actuals!R314</f>
        <v>0</v>
      </c>
      <c r="V71" s="120">
        <f>+Actuals!S314</f>
        <v>0</v>
      </c>
      <c r="W71" s="121">
        <f>+Actuals!T314</f>
        <v>0</v>
      </c>
      <c r="X71" s="120">
        <f>+Actuals!U314</f>
        <v>0</v>
      </c>
      <c r="Y71" s="121">
        <f>+Actuals!V314</f>
        <v>0</v>
      </c>
      <c r="Z71" s="120">
        <f>+Actuals!W314</f>
        <v>0</v>
      </c>
      <c r="AA71" s="121">
        <f>+Actuals!X314</f>
        <v>0</v>
      </c>
      <c r="AB71" s="120">
        <f>+Actuals!Y314</f>
        <v>0</v>
      </c>
      <c r="AC71" s="121">
        <f>+Actuals!Z314</f>
        <v>0</v>
      </c>
      <c r="AD71" s="120">
        <f>+Actuals!AA314</f>
        <v>0</v>
      </c>
      <c r="AE71" s="121">
        <f>+Actuals!AB314</f>
        <v>0</v>
      </c>
      <c r="AF71" s="120">
        <f>+Actuals!AC314</f>
        <v>0</v>
      </c>
      <c r="AG71" s="121">
        <f>+Actuals!AD314</f>
        <v>0</v>
      </c>
      <c r="AH71" s="120">
        <f>+Actuals!AE314</f>
        <v>0</v>
      </c>
      <c r="AI71" s="121">
        <f>+Actuals!AF314</f>
        <v>0</v>
      </c>
      <c r="AJ71" s="120">
        <f>+Actuals!AG314</f>
        <v>0</v>
      </c>
      <c r="AK71" s="121">
        <f>+Actuals!AH314</f>
        <v>0</v>
      </c>
      <c r="AL71" s="120">
        <f>+Actuals!AI314</f>
        <v>0</v>
      </c>
      <c r="AM71" s="121">
        <f>+Actuals!AJ314</f>
        <v>0</v>
      </c>
      <c r="AN71" s="120">
        <f>+Actuals!AK314</f>
        <v>0</v>
      </c>
      <c r="AO71" s="121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22">SUM(D70:D71)</f>
        <v>0</v>
      </c>
      <c r="E72" s="39">
        <f t="shared" si="22"/>
        <v>13251.520000000019</v>
      </c>
      <c r="F72" s="61">
        <f t="shared" si="22"/>
        <v>0</v>
      </c>
      <c r="G72" s="186">
        <f t="shared" si="22"/>
        <v>13251.520000000019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S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'TIE-OUT'!AB73+RECLASS!Z73</f>
        <v>0</v>
      </c>
      <c r="G73" s="60">
        <f>'TIE-OUT'!AC73+RECLASS!AA73</f>
        <v>0</v>
      </c>
      <c r="H73" s="120">
        <f>+Actuals!E315</f>
        <v>0</v>
      </c>
      <c r="I73" s="121">
        <f>+Actuals!F315</f>
        <v>0</v>
      </c>
      <c r="J73" s="120">
        <f>+Actuals!G315</f>
        <v>0</v>
      </c>
      <c r="K73" s="121">
        <f>+Actuals!H315</f>
        <v>0</v>
      </c>
      <c r="L73" s="120">
        <f>+Actuals!I315</f>
        <v>0</v>
      </c>
      <c r="M73" s="121">
        <f>+Actuals!J315</f>
        <v>0</v>
      </c>
      <c r="N73" s="120">
        <f>+Actuals!K315</f>
        <v>0</v>
      </c>
      <c r="O73" s="121">
        <f>+Actuals!L315</f>
        <v>0</v>
      </c>
      <c r="P73" s="120">
        <f>+Actuals!M315</f>
        <v>0</v>
      </c>
      <c r="Q73" s="121">
        <f>+Actuals!N315</f>
        <v>0</v>
      </c>
      <c r="R73" s="120">
        <f>+Actuals!O315</f>
        <v>0</v>
      </c>
      <c r="S73" s="121">
        <f>+Actuals!P315</f>
        <v>0</v>
      </c>
      <c r="T73" s="120">
        <f>+Actuals!Q315</f>
        <v>0</v>
      </c>
      <c r="U73" s="121">
        <f>+Actuals!R315</f>
        <v>0</v>
      </c>
      <c r="V73" s="120">
        <f>+Actuals!S315</f>
        <v>0</v>
      </c>
      <c r="W73" s="121">
        <f>+Actuals!T315</f>
        <v>0</v>
      </c>
      <c r="X73" s="120">
        <f>+Actuals!U315</f>
        <v>0</v>
      </c>
      <c r="Y73" s="121">
        <f>+Actuals!V315</f>
        <v>0</v>
      </c>
      <c r="Z73" s="120">
        <f>+Actuals!W315</f>
        <v>0</v>
      </c>
      <c r="AA73" s="121">
        <f>+Actuals!X315</f>
        <v>0</v>
      </c>
      <c r="AB73" s="120">
        <f>+Actuals!Y315</f>
        <v>0</v>
      </c>
      <c r="AC73" s="121">
        <f>+Actuals!Z315</f>
        <v>0</v>
      </c>
      <c r="AD73" s="120">
        <f>+Actuals!AA315</f>
        <v>0</v>
      </c>
      <c r="AE73" s="121">
        <f>+Actuals!AB315</f>
        <v>0</v>
      </c>
      <c r="AF73" s="120">
        <f>+Actuals!AC315</f>
        <v>0</v>
      </c>
      <c r="AG73" s="121">
        <f>+Actuals!AD315</f>
        <v>0</v>
      </c>
      <c r="AH73" s="120">
        <f>+Actuals!AE315</f>
        <v>0</v>
      </c>
      <c r="AI73" s="121">
        <f>+Actuals!AF315</f>
        <v>0</v>
      </c>
      <c r="AJ73" s="120">
        <f>+Actuals!AG315</f>
        <v>0</v>
      </c>
      <c r="AK73" s="121">
        <f>+Actuals!AH315</f>
        <v>0</v>
      </c>
      <c r="AL73" s="120">
        <f>+Actuals!AI315</f>
        <v>0</v>
      </c>
      <c r="AM73" s="121">
        <f>+Actuals!AJ315</f>
        <v>0</v>
      </c>
      <c r="AN73" s="120">
        <f>+Actuals!AK315</f>
        <v>0</v>
      </c>
      <c r="AO73" s="121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91044</v>
      </c>
      <c r="F74" s="60">
        <f>'TIE-OUT'!AB74+RECLASS!Z74</f>
        <v>0</v>
      </c>
      <c r="G74" s="60">
        <f>'TIE-OUT'!AC74+RECLASS!AA74</f>
        <v>91044</v>
      </c>
      <c r="H74" s="120">
        <f>+Actuals!E316</f>
        <v>0</v>
      </c>
      <c r="I74" s="121">
        <f>+Actuals!F316</f>
        <v>0</v>
      </c>
      <c r="J74" s="120">
        <f>+Actuals!G316</f>
        <v>0</v>
      </c>
      <c r="K74" s="121">
        <f>+Actuals!H316</f>
        <v>0</v>
      </c>
      <c r="L74" s="120">
        <f>+Actuals!I316</f>
        <v>0</v>
      </c>
      <c r="M74" s="121">
        <f>+Actuals!J316</f>
        <v>0</v>
      </c>
      <c r="N74" s="120">
        <f>+Actuals!K316</f>
        <v>0</v>
      </c>
      <c r="O74" s="121">
        <f>+Actuals!L316</f>
        <v>0</v>
      </c>
      <c r="P74" s="120">
        <f>+Actuals!M316</f>
        <v>0</v>
      </c>
      <c r="Q74" s="121">
        <f>+Actuals!N316</f>
        <v>0</v>
      </c>
      <c r="R74" s="120">
        <f>+Actuals!O316</f>
        <v>0</v>
      </c>
      <c r="S74" s="121">
        <f>+Actuals!P316</f>
        <v>0</v>
      </c>
      <c r="T74" s="120">
        <f>+Actuals!Q316</f>
        <v>0</v>
      </c>
      <c r="U74" s="121">
        <f>+Actuals!R316</f>
        <v>0</v>
      </c>
      <c r="V74" s="120">
        <f>+Actuals!S316</f>
        <v>0</v>
      </c>
      <c r="W74" s="121">
        <f>+Actuals!T316</f>
        <v>0</v>
      </c>
      <c r="X74" s="120">
        <f>+Actuals!U316</f>
        <v>0</v>
      </c>
      <c r="Y74" s="121">
        <f>+Actuals!V316</f>
        <v>0</v>
      </c>
      <c r="Z74" s="120">
        <f>+Actuals!W316</f>
        <v>0</v>
      </c>
      <c r="AA74" s="121">
        <f>+Actuals!X316</f>
        <v>0</v>
      </c>
      <c r="AB74" s="120">
        <f>+Actuals!Y316</f>
        <v>0</v>
      </c>
      <c r="AC74" s="121">
        <f>+Actuals!Z316</f>
        <v>0</v>
      </c>
      <c r="AD74" s="120">
        <f>+Actuals!AA316</f>
        <v>0</v>
      </c>
      <c r="AE74" s="121">
        <f>+Actuals!AB316</f>
        <v>0</v>
      </c>
      <c r="AF74" s="120">
        <f>+Actuals!AC316</f>
        <v>0</v>
      </c>
      <c r="AG74" s="121">
        <f>+Actuals!AD316</f>
        <v>0</v>
      </c>
      <c r="AH74" s="120">
        <f>+Actuals!AE316</f>
        <v>0</v>
      </c>
      <c r="AI74" s="121">
        <f>+Actuals!AF316</f>
        <v>0</v>
      </c>
      <c r="AJ74" s="120">
        <f>+Actuals!AG316</f>
        <v>0</v>
      </c>
      <c r="AK74" s="121">
        <f>+Actuals!AH316</f>
        <v>0</v>
      </c>
      <c r="AL74" s="120">
        <f>+Actuals!AI316</f>
        <v>0</v>
      </c>
      <c r="AM74" s="121">
        <f>+Actuals!AJ316</f>
        <v>0</v>
      </c>
      <c r="AN74" s="120">
        <f>+Actuals!AK316</f>
        <v>0</v>
      </c>
      <c r="AO74" s="121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'TIE-OUT'!AB75+RECLASS!Z75</f>
        <v>0</v>
      </c>
      <c r="G75" s="60">
        <f>'TIE-OUT'!AC75+RECLASS!AA75</f>
        <v>0</v>
      </c>
      <c r="H75" s="120">
        <f>+Actuals!E317</f>
        <v>0</v>
      </c>
      <c r="I75" s="121">
        <f>+Actuals!F317</f>
        <v>0</v>
      </c>
      <c r="J75" s="120">
        <f>+Actuals!G317</f>
        <v>0</v>
      </c>
      <c r="K75" s="121">
        <f>+Actuals!H317</f>
        <v>0</v>
      </c>
      <c r="L75" s="120">
        <f>+Actuals!I317</f>
        <v>0</v>
      </c>
      <c r="M75" s="121">
        <f>+Actuals!J317</f>
        <v>0</v>
      </c>
      <c r="N75" s="120">
        <f>+Actuals!K317</f>
        <v>0</v>
      </c>
      <c r="O75" s="121">
        <f>+Actuals!L317</f>
        <v>0</v>
      </c>
      <c r="P75" s="120">
        <f>+Actuals!M317</f>
        <v>0</v>
      </c>
      <c r="Q75" s="121">
        <f>+Actuals!N317</f>
        <v>0</v>
      </c>
      <c r="R75" s="120">
        <f>+Actuals!O317</f>
        <v>0</v>
      </c>
      <c r="S75" s="121">
        <f>+Actuals!P317</f>
        <v>0</v>
      </c>
      <c r="T75" s="120">
        <f>+Actuals!Q317</f>
        <v>0</v>
      </c>
      <c r="U75" s="121">
        <f>+Actuals!R317</f>
        <v>0</v>
      </c>
      <c r="V75" s="120">
        <f>+Actuals!S317</f>
        <v>0</v>
      </c>
      <c r="W75" s="121">
        <f>+Actuals!T317</f>
        <v>0</v>
      </c>
      <c r="X75" s="120">
        <f>+Actuals!U317</f>
        <v>0</v>
      </c>
      <c r="Y75" s="121">
        <f>+Actuals!V317</f>
        <v>0</v>
      </c>
      <c r="Z75" s="120">
        <f>+Actuals!W317</f>
        <v>0</v>
      </c>
      <c r="AA75" s="121">
        <f>+Actuals!X317</f>
        <v>0</v>
      </c>
      <c r="AB75" s="120">
        <f>+Actuals!Y317</f>
        <v>0</v>
      </c>
      <c r="AC75" s="121">
        <f>+Actuals!Z317</f>
        <v>0</v>
      </c>
      <c r="AD75" s="120">
        <f>+Actuals!AA317</f>
        <v>0</v>
      </c>
      <c r="AE75" s="121">
        <f>+Actuals!AB317</f>
        <v>0</v>
      </c>
      <c r="AF75" s="120">
        <f>+Actuals!AC317</f>
        <v>0</v>
      </c>
      <c r="AG75" s="121">
        <f>+Actuals!AD317</f>
        <v>0</v>
      </c>
      <c r="AH75" s="120">
        <f>+Actuals!AE317</f>
        <v>0</v>
      </c>
      <c r="AI75" s="121">
        <f>+Actuals!AF317</f>
        <v>0</v>
      </c>
      <c r="AJ75" s="120">
        <f>+Actuals!AG317</f>
        <v>0</v>
      </c>
      <c r="AK75" s="121">
        <f>+Actuals!AH317</f>
        <v>0</v>
      </c>
      <c r="AL75" s="120">
        <f>+Actuals!AI317</f>
        <v>0</v>
      </c>
      <c r="AM75" s="121">
        <f>+Actuals!AJ317</f>
        <v>0</v>
      </c>
      <c r="AN75" s="120">
        <f>+Actuals!AK317</f>
        <v>0</v>
      </c>
      <c r="AO75" s="121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-109.83</v>
      </c>
      <c r="F76" s="60">
        <f>'TIE-OUT'!AB76+RECLASS!Z76</f>
        <v>0</v>
      </c>
      <c r="G76" s="60">
        <f>'TIE-OUT'!AC76+RECLASS!AA76</f>
        <v>0</v>
      </c>
      <c r="H76" s="120">
        <f>+Actuals!E318</f>
        <v>0</v>
      </c>
      <c r="I76" s="121">
        <f>+Actuals!F318</f>
        <v>-109.83</v>
      </c>
      <c r="J76" s="120">
        <f>+Actuals!G318</f>
        <v>0</v>
      </c>
      <c r="K76" s="121">
        <f>+Actuals!H318</f>
        <v>0</v>
      </c>
      <c r="L76" s="120">
        <f>+Actuals!I318</f>
        <v>0</v>
      </c>
      <c r="M76" s="121">
        <f>+Actuals!J318</f>
        <v>0</v>
      </c>
      <c r="N76" s="120">
        <f>+Actuals!K318</f>
        <v>0</v>
      </c>
      <c r="O76" s="121">
        <f>+Actuals!L318</f>
        <v>0</v>
      </c>
      <c r="P76" s="120">
        <f>+Actuals!M318</f>
        <v>0</v>
      </c>
      <c r="Q76" s="121">
        <f>+Actuals!N318</f>
        <v>0</v>
      </c>
      <c r="R76" s="120">
        <f>+Actuals!O318</f>
        <v>0</v>
      </c>
      <c r="S76" s="121">
        <f>+Actuals!P318</f>
        <v>0</v>
      </c>
      <c r="T76" s="120">
        <f>+Actuals!Q318</f>
        <v>0</v>
      </c>
      <c r="U76" s="121">
        <f>+Actuals!R318</f>
        <v>0</v>
      </c>
      <c r="V76" s="120">
        <f>+Actuals!S318</f>
        <v>0</v>
      </c>
      <c r="W76" s="121">
        <f>+Actuals!T318</f>
        <v>0</v>
      </c>
      <c r="X76" s="120">
        <f>+Actuals!U318</f>
        <v>0</v>
      </c>
      <c r="Y76" s="121">
        <f>+Actuals!V318</f>
        <v>0</v>
      </c>
      <c r="Z76" s="120">
        <f>+Actuals!W318</f>
        <v>0</v>
      </c>
      <c r="AA76" s="121">
        <f>+Actuals!X318</f>
        <v>0</v>
      </c>
      <c r="AB76" s="120">
        <f>+Actuals!Y318</f>
        <v>0</v>
      </c>
      <c r="AC76" s="121">
        <f>+Actuals!Z318</f>
        <v>0</v>
      </c>
      <c r="AD76" s="120">
        <f>+Actuals!AA318</f>
        <v>0</v>
      </c>
      <c r="AE76" s="121">
        <f>+Actuals!AB318</f>
        <v>0</v>
      </c>
      <c r="AF76" s="120">
        <f>+Actuals!AC318</f>
        <v>0</v>
      </c>
      <c r="AG76" s="121">
        <f>+Actuals!AD318</f>
        <v>0</v>
      </c>
      <c r="AH76" s="120">
        <f>+Actuals!AE318</f>
        <v>0</v>
      </c>
      <c r="AI76" s="121">
        <f>+Actuals!AF318</f>
        <v>0</v>
      </c>
      <c r="AJ76" s="120">
        <f>+Actuals!AG318</f>
        <v>0</v>
      </c>
      <c r="AK76" s="121">
        <f>+Actuals!AH318</f>
        <v>0</v>
      </c>
      <c r="AL76" s="120">
        <f>+Actuals!AI318</f>
        <v>0</v>
      </c>
      <c r="AM76" s="121">
        <f>+Actuals!AJ318</f>
        <v>0</v>
      </c>
      <c r="AN76" s="120">
        <f>+Actuals!AK318</f>
        <v>0</v>
      </c>
      <c r="AO76" s="121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'TIE-OUT'!AB77+RECLASS!Z77</f>
        <v>0</v>
      </c>
      <c r="G77" s="60">
        <f>'TIE-OUT'!AC77+RECLASS!AA77</f>
        <v>0</v>
      </c>
      <c r="H77" s="120">
        <f>+Actuals!E319</f>
        <v>0</v>
      </c>
      <c r="I77" s="121">
        <f>+Actuals!F319</f>
        <v>0</v>
      </c>
      <c r="J77" s="120">
        <f>+Actuals!G319</f>
        <v>0</v>
      </c>
      <c r="K77" s="121">
        <f>+Actuals!H319</f>
        <v>0</v>
      </c>
      <c r="L77" s="120">
        <f>+Actuals!I319</f>
        <v>0</v>
      </c>
      <c r="M77" s="121">
        <f>+Actuals!J319</f>
        <v>0</v>
      </c>
      <c r="N77" s="120">
        <f>+Actuals!K319</f>
        <v>0</v>
      </c>
      <c r="O77" s="121">
        <f>+Actuals!L319</f>
        <v>0</v>
      </c>
      <c r="P77" s="120">
        <f>+Actuals!M319</f>
        <v>0</v>
      </c>
      <c r="Q77" s="121">
        <f>+Actuals!N319</f>
        <v>0</v>
      </c>
      <c r="R77" s="120">
        <f>+Actuals!O319</f>
        <v>0</v>
      </c>
      <c r="S77" s="121">
        <f>+Actuals!P319</f>
        <v>0</v>
      </c>
      <c r="T77" s="120">
        <f>+Actuals!Q319</f>
        <v>0</v>
      </c>
      <c r="U77" s="121">
        <f>+Actuals!R319</f>
        <v>0</v>
      </c>
      <c r="V77" s="120">
        <f>+Actuals!S319</f>
        <v>0</v>
      </c>
      <c r="W77" s="121">
        <f>+Actuals!T319</f>
        <v>0</v>
      </c>
      <c r="X77" s="120">
        <f>+Actuals!U319</f>
        <v>0</v>
      </c>
      <c r="Y77" s="121">
        <f>+Actuals!V319</f>
        <v>0</v>
      </c>
      <c r="Z77" s="120">
        <f>+Actuals!W319</f>
        <v>0</v>
      </c>
      <c r="AA77" s="121">
        <f>+Actuals!X319</f>
        <v>0</v>
      </c>
      <c r="AB77" s="120">
        <f>+Actuals!Y319</f>
        <v>0</v>
      </c>
      <c r="AC77" s="121">
        <f>+Actuals!Z319</f>
        <v>0</v>
      </c>
      <c r="AD77" s="120">
        <f>+Actuals!AA319</f>
        <v>0</v>
      </c>
      <c r="AE77" s="121">
        <f>+Actuals!AB319</f>
        <v>0</v>
      </c>
      <c r="AF77" s="120">
        <f>+Actuals!AC319</f>
        <v>0</v>
      </c>
      <c r="AG77" s="121">
        <f>+Actuals!AD319</f>
        <v>0</v>
      </c>
      <c r="AH77" s="120">
        <f>+Actuals!AE319</f>
        <v>0</v>
      </c>
      <c r="AI77" s="121">
        <f>+Actuals!AF319</f>
        <v>0</v>
      </c>
      <c r="AJ77" s="120">
        <f>+Actuals!AG319</f>
        <v>0</v>
      </c>
      <c r="AK77" s="121">
        <f>+Actuals!AH319</f>
        <v>0</v>
      </c>
      <c r="AL77" s="120">
        <f>+Actuals!AI319</f>
        <v>0</v>
      </c>
      <c r="AM77" s="121">
        <f>+Actuals!AJ319</f>
        <v>0</v>
      </c>
      <c r="AN77" s="120">
        <f>+Actuals!AK319</f>
        <v>0</v>
      </c>
      <c r="AO77" s="121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'TIE-OUT'!AB78+RECLASS!Z78</f>
        <v>0</v>
      </c>
      <c r="G78" s="60">
        <f>'TIE-OUT'!AC78+RECLASS!AA78</f>
        <v>0</v>
      </c>
      <c r="H78" s="120">
        <f>+Actuals!E320</f>
        <v>0</v>
      </c>
      <c r="I78" s="121">
        <f>+Actuals!F320</f>
        <v>0</v>
      </c>
      <c r="J78" s="120">
        <f>+Actuals!G320</f>
        <v>0</v>
      </c>
      <c r="K78" s="121">
        <f>+Actuals!H320</f>
        <v>0</v>
      </c>
      <c r="L78" s="120">
        <f>+Actuals!I320</f>
        <v>0</v>
      </c>
      <c r="M78" s="121">
        <f>+Actuals!J320</f>
        <v>0</v>
      </c>
      <c r="N78" s="120">
        <f>+Actuals!K320</f>
        <v>0</v>
      </c>
      <c r="O78" s="121">
        <f>+Actuals!L320</f>
        <v>0</v>
      </c>
      <c r="P78" s="120">
        <f>+Actuals!M320</f>
        <v>0</v>
      </c>
      <c r="Q78" s="121">
        <f>+Actuals!N320</f>
        <v>0</v>
      </c>
      <c r="R78" s="120">
        <f>+Actuals!O320</f>
        <v>0</v>
      </c>
      <c r="S78" s="121">
        <f>+Actuals!P320</f>
        <v>0</v>
      </c>
      <c r="T78" s="120">
        <f>+Actuals!Q320</f>
        <v>0</v>
      </c>
      <c r="U78" s="121">
        <f>+Actuals!R320</f>
        <v>0</v>
      </c>
      <c r="V78" s="120">
        <f>+Actuals!S320</f>
        <v>0</v>
      </c>
      <c r="W78" s="121">
        <f>+Actuals!T320</f>
        <v>0</v>
      </c>
      <c r="X78" s="120">
        <f>+Actuals!U320</f>
        <v>0</v>
      </c>
      <c r="Y78" s="121">
        <f>+Actuals!V320</f>
        <v>0</v>
      </c>
      <c r="Z78" s="120">
        <f>+Actuals!W320</f>
        <v>0</v>
      </c>
      <c r="AA78" s="121">
        <f>+Actuals!X320</f>
        <v>0</v>
      </c>
      <c r="AB78" s="120">
        <f>+Actuals!Y320</f>
        <v>0</v>
      </c>
      <c r="AC78" s="121">
        <f>+Actuals!Z320</f>
        <v>0</v>
      </c>
      <c r="AD78" s="120">
        <f>+Actuals!AA320</f>
        <v>0</v>
      </c>
      <c r="AE78" s="121">
        <f>+Actuals!AB320</f>
        <v>0</v>
      </c>
      <c r="AF78" s="120">
        <f>+Actuals!AC320</f>
        <v>0</v>
      </c>
      <c r="AG78" s="121">
        <f>+Actuals!AD320</f>
        <v>0</v>
      </c>
      <c r="AH78" s="120">
        <f>+Actuals!AE320</f>
        <v>0</v>
      </c>
      <c r="AI78" s="121">
        <f>+Actuals!AF320</f>
        <v>0</v>
      </c>
      <c r="AJ78" s="120">
        <f>+Actuals!AG320</f>
        <v>0</v>
      </c>
      <c r="AK78" s="121">
        <f>+Actuals!AH320</f>
        <v>0</v>
      </c>
      <c r="AL78" s="120">
        <f>+Actuals!AI320</f>
        <v>0</v>
      </c>
      <c r="AM78" s="121">
        <f>+Actuals!AJ320</f>
        <v>0</v>
      </c>
      <c r="AN78" s="120">
        <f>+Actuals!AK320</f>
        <v>0</v>
      </c>
      <c r="AO78" s="121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'TIE-OUT'!AB79+RECLASS!Z79</f>
        <v>0</v>
      </c>
      <c r="G79" s="60">
        <f>'TIE-OUT'!AC79+RECLASS!AA79</f>
        <v>0</v>
      </c>
      <c r="H79" s="120">
        <f>+Actuals!E321</f>
        <v>0</v>
      </c>
      <c r="I79" s="121">
        <f>+Actuals!F321</f>
        <v>0</v>
      </c>
      <c r="J79" s="120">
        <f>+Actuals!G321</f>
        <v>0</v>
      </c>
      <c r="K79" s="121">
        <f>+Actuals!H321</f>
        <v>0</v>
      </c>
      <c r="L79" s="120">
        <f>+Actuals!I321</f>
        <v>0</v>
      </c>
      <c r="M79" s="121">
        <f>+Actuals!J321</f>
        <v>0</v>
      </c>
      <c r="N79" s="120">
        <f>+Actuals!K321</f>
        <v>0</v>
      </c>
      <c r="O79" s="121">
        <f>+Actuals!L321</f>
        <v>0</v>
      </c>
      <c r="P79" s="120">
        <f>+Actuals!M321</f>
        <v>0</v>
      </c>
      <c r="Q79" s="121">
        <f>+Actuals!N321</f>
        <v>0</v>
      </c>
      <c r="R79" s="120">
        <f>+Actuals!O321</f>
        <v>0</v>
      </c>
      <c r="S79" s="121">
        <f>+Actuals!P321</f>
        <v>0</v>
      </c>
      <c r="T79" s="120">
        <f>+Actuals!Q321</f>
        <v>0</v>
      </c>
      <c r="U79" s="121">
        <f>+Actuals!R321</f>
        <v>0</v>
      </c>
      <c r="V79" s="120">
        <f>+Actuals!S321</f>
        <v>0</v>
      </c>
      <c r="W79" s="121">
        <f>+Actuals!T321</f>
        <v>0</v>
      </c>
      <c r="X79" s="120">
        <f>+Actuals!U321</f>
        <v>0</v>
      </c>
      <c r="Y79" s="121">
        <f>+Actuals!V321</f>
        <v>0</v>
      </c>
      <c r="Z79" s="120">
        <f>+Actuals!W321</f>
        <v>0</v>
      </c>
      <c r="AA79" s="121">
        <f>+Actuals!X321</f>
        <v>0</v>
      </c>
      <c r="AB79" s="120">
        <f>+Actuals!Y321</f>
        <v>0</v>
      </c>
      <c r="AC79" s="121">
        <f>+Actuals!Z321</f>
        <v>0</v>
      </c>
      <c r="AD79" s="120">
        <f>+Actuals!AA321</f>
        <v>0</v>
      </c>
      <c r="AE79" s="121">
        <f>+Actuals!AB321</f>
        <v>0</v>
      </c>
      <c r="AF79" s="120">
        <f>+Actuals!AC321</f>
        <v>0</v>
      </c>
      <c r="AG79" s="121">
        <f>+Actuals!AD321</f>
        <v>0</v>
      </c>
      <c r="AH79" s="120">
        <f>+Actuals!AE321</f>
        <v>0</v>
      </c>
      <c r="AI79" s="121">
        <f>+Actuals!AF321</f>
        <v>0</v>
      </c>
      <c r="AJ79" s="120">
        <f>+Actuals!AG321</f>
        <v>0</v>
      </c>
      <c r="AK79" s="121">
        <f>+Actuals!AH321</f>
        <v>0</v>
      </c>
      <c r="AL79" s="120">
        <f>+Actuals!AI321</f>
        <v>0</v>
      </c>
      <c r="AM79" s="121">
        <f>+Actuals!AJ321</f>
        <v>0</v>
      </c>
      <c r="AN79" s="120">
        <f>+Actuals!AK321</f>
        <v>0</v>
      </c>
      <c r="AO79" s="121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'TIE-OUT'!AB80+RECLASS!Z80</f>
        <v>0</v>
      </c>
      <c r="G80" s="60">
        <f>'TIE-OUT'!AC80+RECLASS!AA80</f>
        <v>0</v>
      </c>
      <c r="H80" s="120">
        <f>+Actuals!E322</f>
        <v>0</v>
      </c>
      <c r="I80" s="121">
        <f>+Actuals!F322</f>
        <v>0</v>
      </c>
      <c r="J80" s="120">
        <f>+Actuals!G322</f>
        <v>0</v>
      </c>
      <c r="K80" s="121">
        <f>+Actuals!H322</f>
        <v>0</v>
      </c>
      <c r="L80" s="120">
        <f>+Actuals!I322</f>
        <v>0</v>
      </c>
      <c r="M80" s="121">
        <f>+Actuals!J322</f>
        <v>0</v>
      </c>
      <c r="N80" s="120">
        <f>+Actuals!K322</f>
        <v>0</v>
      </c>
      <c r="O80" s="121">
        <f>+Actuals!L322</f>
        <v>0</v>
      </c>
      <c r="P80" s="120">
        <f>+Actuals!M322</f>
        <v>0</v>
      </c>
      <c r="Q80" s="121">
        <f>+Actuals!N322</f>
        <v>0</v>
      </c>
      <c r="R80" s="120">
        <f>+Actuals!O322</f>
        <v>0</v>
      </c>
      <c r="S80" s="121">
        <f>+Actuals!P322</f>
        <v>0</v>
      </c>
      <c r="T80" s="120">
        <f>+Actuals!Q322</f>
        <v>0</v>
      </c>
      <c r="U80" s="121">
        <f>+Actuals!R322</f>
        <v>0</v>
      </c>
      <c r="V80" s="120">
        <f>+Actuals!S322</f>
        <v>0</v>
      </c>
      <c r="W80" s="121">
        <f>+Actuals!T322</f>
        <v>0</v>
      </c>
      <c r="X80" s="120">
        <f>+Actuals!U322</f>
        <v>0</v>
      </c>
      <c r="Y80" s="121">
        <f>+Actuals!V322</f>
        <v>0</v>
      </c>
      <c r="Z80" s="120">
        <f>+Actuals!W322</f>
        <v>0</v>
      </c>
      <c r="AA80" s="121">
        <f>+Actuals!X322</f>
        <v>0</v>
      </c>
      <c r="AB80" s="120">
        <f>+Actuals!Y322</f>
        <v>0</v>
      </c>
      <c r="AC80" s="121">
        <f>+Actuals!Z322</f>
        <v>0</v>
      </c>
      <c r="AD80" s="120">
        <f>+Actuals!AA322</f>
        <v>0</v>
      </c>
      <c r="AE80" s="121">
        <f>+Actuals!AB322</f>
        <v>0</v>
      </c>
      <c r="AF80" s="120">
        <f>+Actuals!AC322</f>
        <v>0</v>
      </c>
      <c r="AG80" s="121">
        <f>+Actuals!AD322</f>
        <v>0</v>
      </c>
      <c r="AH80" s="120">
        <f>+Actuals!AE322</f>
        <v>0</v>
      </c>
      <c r="AI80" s="121">
        <f>+Actuals!AF322</f>
        <v>0</v>
      </c>
      <c r="AJ80" s="120">
        <f>+Actuals!AG322</f>
        <v>0</v>
      </c>
      <c r="AK80" s="121">
        <f>+Actuals!AH322</f>
        <v>0</v>
      </c>
      <c r="AL80" s="120">
        <f>+Actuals!AI322</f>
        <v>0</v>
      </c>
      <c r="AM80" s="121">
        <f>+Actuals!AJ322</f>
        <v>0</v>
      </c>
      <c r="AN80" s="120">
        <f>+Actuals!AK322</f>
        <v>0</v>
      </c>
      <c r="AO80" s="121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'TIE-OUT'!AB81+RECLASS!Z81</f>
        <v>0</v>
      </c>
      <c r="G81" s="60">
        <f>'TIE-OUT'!AC81+RECLASS!AA81</f>
        <v>0</v>
      </c>
      <c r="H81" s="120">
        <f>+Actuals!E323</f>
        <v>0</v>
      </c>
      <c r="I81" s="121">
        <f>+Actuals!F323</f>
        <v>0</v>
      </c>
      <c r="J81" s="120">
        <f>+Actuals!G323</f>
        <v>0</v>
      </c>
      <c r="K81" s="121">
        <f>+Actuals!H323</f>
        <v>0</v>
      </c>
      <c r="L81" s="120">
        <f>+Actuals!I323</f>
        <v>0</v>
      </c>
      <c r="M81" s="121">
        <f>+Actuals!J323</f>
        <v>0</v>
      </c>
      <c r="N81" s="120">
        <f>+Actuals!K323</f>
        <v>0</v>
      </c>
      <c r="O81" s="121">
        <f>+Actuals!L323</f>
        <v>0</v>
      </c>
      <c r="P81" s="120">
        <f>+Actuals!M323</f>
        <v>0</v>
      </c>
      <c r="Q81" s="121">
        <f>+Actuals!N323</f>
        <v>0</v>
      </c>
      <c r="R81" s="120">
        <f>+Actuals!O323</f>
        <v>0</v>
      </c>
      <c r="S81" s="121">
        <f>+Actuals!P323</f>
        <v>0</v>
      </c>
      <c r="T81" s="120">
        <f>+Actuals!Q323</f>
        <v>0</v>
      </c>
      <c r="U81" s="121">
        <f>+Actuals!R323</f>
        <v>0</v>
      </c>
      <c r="V81" s="120">
        <f>+Actuals!S323</f>
        <v>0</v>
      </c>
      <c r="W81" s="121">
        <f>+Actuals!T323</f>
        <v>0</v>
      </c>
      <c r="X81" s="120">
        <f>+Actuals!U323</f>
        <v>0</v>
      </c>
      <c r="Y81" s="121">
        <f>+Actuals!V323</f>
        <v>0</v>
      </c>
      <c r="Z81" s="120">
        <f>+Actuals!W323</f>
        <v>0</v>
      </c>
      <c r="AA81" s="121">
        <f>+Actuals!X323</f>
        <v>0</v>
      </c>
      <c r="AB81" s="120">
        <f>+Actuals!Y323</f>
        <v>0</v>
      </c>
      <c r="AC81" s="121">
        <f>+Actuals!Z323</f>
        <v>0</v>
      </c>
      <c r="AD81" s="120">
        <f>+Actuals!AA323</f>
        <v>0</v>
      </c>
      <c r="AE81" s="121">
        <f>+Actuals!AB323</f>
        <v>0</v>
      </c>
      <c r="AF81" s="120">
        <f>+Actuals!AC323</f>
        <v>0</v>
      </c>
      <c r="AG81" s="121">
        <f>+Actuals!AD323</f>
        <v>0</v>
      </c>
      <c r="AH81" s="120">
        <f>+Actuals!AE323</f>
        <v>0</v>
      </c>
      <c r="AI81" s="121">
        <f>+Actuals!AF323</f>
        <v>0</v>
      </c>
      <c r="AJ81" s="120">
        <f>+Actuals!AG323</f>
        <v>0</v>
      </c>
      <c r="AK81" s="121">
        <f>+Actuals!AH323</f>
        <v>0</v>
      </c>
      <c r="AL81" s="120">
        <f>+Actuals!AI323</f>
        <v>0</v>
      </c>
      <c r="AM81" s="121">
        <f>+Actuals!AJ323</f>
        <v>0</v>
      </c>
      <c r="AN81" s="120">
        <f>+Actuals!AK323</f>
        <v>0</v>
      </c>
      <c r="AO81" s="121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-98888.335200002562</v>
      </c>
      <c r="F82" s="91">
        <f>F16+F24+F29+F36+F43+F45+F47+F49</f>
        <v>0</v>
      </c>
      <c r="G82" s="92">
        <f>SUM(G72:G81)+G16+G24+G29+G36+G43+G45+G47+G49+G51+G56+G61+G66</f>
        <v>-1272019.4399999995</v>
      </c>
      <c r="H82" s="91">
        <f>H16+H24+H29+H36+H43+H45+H47+H49</f>
        <v>0</v>
      </c>
      <c r="I82" s="92">
        <f>SUM(I72:I81)+I16+I24+I29+I36+I43+I45+I47+I49+I51+I56+I61+I66</f>
        <v>-2525773.5552000012</v>
      </c>
      <c r="J82" s="91">
        <f>J16+J24+J29+J36+J43+J45+J47+J49</f>
        <v>0</v>
      </c>
      <c r="K82" s="142">
        <f>SUM(K72:K81)+K16+K24+K29+K36+K43+K45+K47+K49+K51+K56+K61+K66</f>
        <v>3677971.67</v>
      </c>
      <c r="L82" s="91">
        <f>L16+L24+L29+L36+L43+L45+L47+L49</f>
        <v>0</v>
      </c>
      <c r="M82" s="92">
        <f>SUM(M72:M81)+M16+M24+M29+M36+M43+M45+M47+M49+M51+M56+M61+M66</f>
        <v>-11718.309999999998</v>
      </c>
      <c r="N82" s="91">
        <f>N16+N24+N29+N36+N43+N45+N47+N49</f>
        <v>0</v>
      </c>
      <c r="O82" s="92">
        <f>SUM(O72:O81)+O16+O24+O29+O36+O43+O45+O47+O49+O51+O56+O61+O66</f>
        <v>-7.45</v>
      </c>
      <c r="P82" s="91">
        <f>P16+P24+P29+P36+P43+P45+P47+P49</f>
        <v>0</v>
      </c>
      <c r="Q82" s="92">
        <f>SUM(Q72:Q81)+Q16+Q24+Q29+Q36+Q43+Q45+Q47+Q49+Q51+Q56+Q61+Q66</f>
        <v>39742.240000000056</v>
      </c>
      <c r="R82" s="91">
        <f>R16+R24+R29+R36+R43+R45+R47+R49</f>
        <v>0</v>
      </c>
      <c r="S82" s="92">
        <f>SUM(S72:S81)+S16+S24+S29+S36+S43+S45+S47+S49+S51+S56+S61+S66</f>
        <v>44.52</v>
      </c>
      <c r="T82" s="91">
        <f>T16+T24+T29+T36+T43+T45+T47+T49</f>
        <v>0</v>
      </c>
      <c r="U82" s="92">
        <f>SUM(U72:U81)+U16+U24+U29+U36+U43+U45+U47+U49+U51+U56+U61+U66</f>
        <v>-178337.15999999968</v>
      </c>
      <c r="V82" s="91">
        <f>V16+V24+V29+V36+V43+V45+V47+V49</f>
        <v>0</v>
      </c>
      <c r="W82" s="92">
        <f>SUM(W72:W81)+W16+W24+W29+W36+W43+W45+W47+W49+W51+W56+W61+W66</f>
        <v>83267.34</v>
      </c>
      <c r="X82" s="91">
        <f>X16+X24+X29+X36+X43+X45+X47+X49</f>
        <v>-0.22999999998137355</v>
      </c>
      <c r="Y82" s="92">
        <f>SUM(Y72:Y81)+Y16+Y24+Y29+Y36+Y43+Y45+Y47+Y49+Y51+Y56+Y61+Y66</f>
        <v>2985192.0900000003</v>
      </c>
      <c r="Z82" s="91">
        <f>Z16+Z24+Z29+Z36+Z43+Z45+Z47+Z49</f>
        <v>0.22999999998137355</v>
      </c>
      <c r="AA82" s="92">
        <f>SUM(AA72:AA81)+AA16+AA24+AA29+AA36+AA43+AA45+AA47+AA49+AA51+AA56+AA61+AA66</f>
        <v>-2897250.2800000003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959431</v>
      </c>
      <c r="F86" s="147">
        <f>'TIE-OUT'!AB86+RECLASS!Z86</f>
        <v>0</v>
      </c>
      <c r="G86" s="187">
        <f>'TIE-OUT'!AC86+RECLASS!AA86</f>
        <v>266973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692458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5">
      <c r="A87" s="146"/>
      <c r="C87" s="10" t="s">
        <v>71</v>
      </c>
      <c r="D87" s="148">
        <f t="shared" si="25"/>
        <v>0</v>
      </c>
      <c r="E87" s="148">
        <f t="shared" si="25"/>
        <v>-655799</v>
      </c>
      <c r="F87" s="148">
        <f>'TIE-OUT'!AB87+RECLASS!Z87</f>
        <v>0</v>
      </c>
      <c r="G87" s="188">
        <f>'TIE-OUT'!AC87+RECLASS!AA87</f>
        <v>-655799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5">
      <c r="A88" s="146"/>
      <c r="C88" s="10" t="s">
        <v>72</v>
      </c>
      <c r="D88" s="149">
        <f t="shared" si="25"/>
        <v>0</v>
      </c>
      <c r="E88" s="149">
        <f t="shared" si="25"/>
        <v>-10632</v>
      </c>
      <c r="F88" s="149">
        <f>'TIE-OUT'!AB88+RECLASS!Z88</f>
        <v>0</v>
      </c>
      <c r="G88" s="189">
        <f>'TIE-OUT'!AC88+RECLASS!AA88</f>
        <v>-10632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M89" si="26">SUM(E86:E88)</f>
        <v>293000</v>
      </c>
      <c r="F89" s="157">
        <f t="shared" si="26"/>
        <v>0</v>
      </c>
      <c r="G89" s="157">
        <f t="shared" si="26"/>
        <v>-399458</v>
      </c>
      <c r="H89" s="157">
        <f t="shared" si="26"/>
        <v>0</v>
      </c>
      <c r="I89" s="157">
        <f t="shared" si="26"/>
        <v>0</v>
      </c>
      <c r="J89" s="157">
        <f t="shared" si="26"/>
        <v>0</v>
      </c>
      <c r="K89" s="157">
        <f t="shared" si="26"/>
        <v>0</v>
      </c>
      <c r="L89" s="157">
        <f t="shared" si="26"/>
        <v>0</v>
      </c>
      <c r="M89" s="157">
        <f t="shared" si="26"/>
        <v>0</v>
      </c>
      <c r="N89" s="157">
        <f t="shared" ref="N89:AE89" si="27">SUM(N86:N88)</f>
        <v>0</v>
      </c>
      <c r="O89" s="157">
        <f t="shared" si="27"/>
        <v>0</v>
      </c>
      <c r="P89" s="157">
        <f t="shared" si="27"/>
        <v>0</v>
      </c>
      <c r="Q89" s="157">
        <f t="shared" si="27"/>
        <v>692458</v>
      </c>
      <c r="R89" s="157">
        <f t="shared" si="27"/>
        <v>0</v>
      </c>
      <c r="S89" s="157">
        <f t="shared" si="27"/>
        <v>0</v>
      </c>
      <c r="T89" s="157">
        <f t="shared" si="27"/>
        <v>0</v>
      </c>
      <c r="U89" s="157">
        <f t="shared" si="27"/>
        <v>0</v>
      </c>
      <c r="V89" s="157">
        <f t="shared" si="27"/>
        <v>0</v>
      </c>
      <c r="W89" s="157">
        <f t="shared" si="27"/>
        <v>0</v>
      </c>
      <c r="X89" s="157">
        <f t="shared" si="27"/>
        <v>0</v>
      </c>
      <c r="Y89" s="157">
        <f t="shared" si="27"/>
        <v>0</v>
      </c>
      <c r="Z89" s="157">
        <f t="shared" si="27"/>
        <v>0</v>
      </c>
      <c r="AA89" s="157">
        <f t="shared" si="27"/>
        <v>0</v>
      </c>
      <c r="AB89" s="157">
        <f t="shared" si="27"/>
        <v>0</v>
      </c>
      <c r="AC89" s="157">
        <f t="shared" si="27"/>
        <v>0</v>
      </c>
      <c r="AD89" s="157">
        <f t="shared" si="27"/>
        <v>0</v>
      </c>
      <c r="AE89" s="157">
        <f t="shared" si="27"/>
        <v>0</v>
      </c>
      <c r="AF89" s="157">
        <f t="shared" ref="AF89:AO89" si="28">SUM(AF86:AF88)</f>
        <v>0</v>
      </c>
      <c r="AG89" s="157">
        <f t="shared" si="28"/>
        <v>0</v>
      </c>
      <c r="AH89" s="157">
        <f t="shared" si="28"/>
        <v>0</v>
      </c>
      <c r="AI89" s="157">
        <f t="shared" si="28"/>
        <v>0</v>
      </c>
      <c r="AJ89" s="157">
        <f t="shared" si="28"/>
        <v>0</v>
      </c>
      <c r="AK89" s="157">
        <f t="shared" si="28"/>
        <v>0</v>
      </c>
      <c r="AL89" s="157">
        <f t="shared" si="28"/>
        <v>0</v>
      </c>
      <c r="AM89" s="157">
        <f t="shared" si="28"/>
        <v>0</v>
      </c>
      <c r="AN89" s="157">
        <f t="shared" si="28"/>
        <v>0</v>
      </c>
      <c r="AO89" s="157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3"/>
      <c r="B91" s="154"/>
      <c r="C91" s="159" t="s">
        <v>172</v>
      </c>
      <c r="D91" s="157">
        <f>+D82+D89</f>
        <v>0</v>
      </c>
      <c r="E91" s="157">
        <f t="shared" ref="E91:M91" si="29">+E82+E89</f>
        <v>194111.66479999744</v>
      </c>
      <c r="F91" s="157">
        <f t="shared" si="29"/>
        <v>0</v>
      </c>
      <c r="G91" s="157">
        <f t="shared" si="29"/>
        <v>-1671477.4399999995</v>
      </c>
      <c r="H91" s="157">
        <f t="shared" si="29"/>
        <v>0</v>
      </c>
      <c r="I91" s="157">
        <f t="shared" si="29"/>
        <v>-2525773.5552000012</v>
      </c>
      <c r="J91" s="157">
        <f t="shared" si="29"/>
        <v>0</v>
      </c>
      <c r="K91" s="157">
        <f t="shared" si="29"/>
        <v>3677971.67</v>
      </c>
      <c r="L91" s="157">
        <f t="shared" si="29"/>
        <v>0</v>
      </c>
      <c r="M91" s="157">
        <f t="shared" si="29"/>
        <v>-11718.309999999998</v>
      </c>
      <c r="N91" s="157">
        <f t="shared" ref="N91:AE91" si="30">+N82+N89</f>
        <v>0</v>
      </c>
      <c r="O91" s="157">
        <f t="shared" si="30"/>
        <v>-7.45</v>
      </c>
      <c r="P91" s="157">
        <f t="shared" si="30"/>
        <v>0</v>
      </c>
      <c r="Q91" s="157">
        <f t="shared" si="30"/>
        <v>732200.24000000011</v>
      </c>
      <c r="R91" s="157">
        <f t="shared" si="30"/>
        <v>0</v>
      </c>
      <c r="S91" s="157">
        <f t="shared" si="30"/>
        <v>44.52</v>
      </c>
      <c r="T91" s="157">
        <f t="shared" si="30"/>
        <v>0</v>
      </c>
      <c r="U91" s="157">
        <f t="shared" si="30"/>
        <v>-178337.15999999968</v>
      </c>
      <c r="V91" s="157">
        <f t="shared" si="30"/>
        <v>0</v>
      </c>
      <c r="W91" s="157">
        <f t="shared" si="30"/>
        <v>83267.34</v>
      </c>
      <c r="X91" s="157">
        <f t="shared" si="30"/>
        <v>-0.22999999998137355</v>
      </c>
      <c r="Y91" s="157">
        <f t="shared" si="30"/>
        <v>2985192.0900000003</v>
      </c>
      <c r="Z91" s="157">
        <f t="shared" si="30"/>
        <v>0.22999999998137355</v>
      </c>
      <c r="AA91" s="157">
        <f t="shared" si="30"/>
        <v>-2897250.2800000003</v>
      </c>
      <c r="AB91" s="157">
        <f t="shared" si="30"/>
        <v>0</v>
      </c>
      <c r="AC91" s="157">
        <f t="shared" si="30"/>
        <v>0</v>
      </c>
      <c r="AD91" s="157">
        <f t="shared" si="30"/>
        <v>0</v>
      </c>
      <c r="AE91" s="157">
        <f t="shared" si="30"/>
        <v>0</v>
      </c>
      <c r="AF91" s="157">
        <f t="shared" ref="AF91:AO91" si="31">+AF82+AF89</f>
        <v>0</v>
      </c>
      <c r="AG91" s="157">
        <f t="shared" si="31"/>
        <v>0</v>
      </c>
      <c r="AH91" s="157">
        <f t="shared" si="31"/>
        <v>0</v>
      </c>
      <c r="AI91" s="157">
        <f t="shared" si="31"/>
        <v>0</v>
      </c>
      <c r="AJ91" s="157">
        <f t="shared" si="31"/>
        <v>0</v>
      </c>
      <c r="AK91" s="157">
        <f t="shared" si="31"/>
        <v>0</v>
      </c>
      <c r="AL91" s="157">
        <f t="shared" si="31"/>
        <v>0</v>
      </c>
      <c r="AM91" s="157">
        <f t="shared" si="31"/>
        <v>0</v>
      </c>
      <c r="AN91" s="157">
        <f t="shared" si="31"/>
        <v>0</v>
      </c>
      <c r="AO91" s="157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pane="topRight"/>
      <selection pane="bottomLeft"/>
      <selection pane="bottomRight" activeCell="K85" sqref="K85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75372445</v>
      </c>
      <c r="E11" s="66">
        <f>'CE-FLSH'!M11</f>
        <v>171024496</v>
      </c>
      <c r="F11" s="60">
        <f>CE_GL!D11</f>
        <v>74297173</v>
      </c>
      <c r="G11" s="38">
        <f>CE_GL!E11</f>
        <v>171468566.31999999</v>
      </c>
      <c r="H11" s="60">
        <f>F11-D11</f>
        <v>-1075272</v>
      </c>
      <c r="I11" s="38">
        <f>G11-E11</f>
        <v>444070.31999999285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1841542.65</v>
      </c>
      <c r="H12" s="60">
        <f>F12-D12</f>
        <v>0</v>
      </c>
      <c r="I12" s="38">
        <f>G12-E12</f>
        <v>1841542.65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32366719</v>
      </c>
      <c r="E13" s="66">
        <f>'CE-FLSH'!M13</f>
        <v>72950314</v>
      </c>
      <c r="F13" s="60">
        <f>CE_GL!D13</f>
        <v>32573303</v>
      </c>
      <c r="G13" s="38">
        <f>CE_GL!E13</f>
        <v>73446198</v>
      </c>
      <c r="H13" s="60">
        <f t="shared" ref="H13:I15" si="0">F13-D13</f>
        <v>206584</v>
      </c>
      <c r="I13" s="38">
        <f t="shared" si="0"/>
        <v>495884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995116.06999999983</v>
      </c>
      <c r="H15" s="60">
        <f t="shared" si="0"/>
        <v>0</v>
      </c>
      <c r="I15" s="38">
        <f t="shared" si="0"/>
        <v>995116.06999999983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107739164</v>
      </c>
      <c r="E16" s="39">
        <f t="shared" si="1"/>
        <v>243974810</v>
      </c>
      <c r="F16" s="61">
        <f t="shared" si="1"/>
        <v>106870476</v>
      </c>
      <c r="G16" s="39">
        <f t="shared" si="1"/>
        <v>247751423.03999999</v>
      </c>
      <c r="H16" s="61">
        <f t="shared" si="1"/>
        <v>-868688</v>
      </c>
      <c r="I16" s="39">
        <f t="shared" si="1"/>
        <v>3776613.0399999926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-82278061</v>
      </c>
      <c r="E19" s="66">
        <f>'CE-FLSH'!M19</f>
        <v>-183435098</v>
      </c>
      <c r="F19" s="60">
        <f>CE_GL!D19</f>
        <v>-82900422</v>
      </c>
      <c r="G19" s="38">
        <f>CE_GL!E19</f>
        <v>-187887583.51999995</v>
      </c>
      <c r="H19" s="60">
        <f>F19-D19</f>
        <v>-622361</v>
      </c>
      <c r="I19" s="38">
        <f>G19-E19</f>
        <v>-4452485.5199999511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724806.85</v>
      </c>
      <c r="H20" s="60">
        <f>F20-D20</f>
        <v>0</v>
      </c>
      <c r="I20" s="38">
        <f>G20-E20</f>
        <v>724806.85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-27633671</v>
      </c>
      <c r="E21" s="66">
        <f>'CE-FLSH'!M21</f>
        <v>-64228073.979999997</v>
      </c>
      <c r="F21" s="60">
        <f>CE_GL!D21</f>
        <v>-26535066</v>
      </c>
      <c r="G21" s="38">
        <f>CE_GL!E21</f>
        <v>-61777370</v>
      </c>
      <c r="H21" s="60">
        <f t="shared" ref="H21:I23" si="2">F21-D21</f>
        <v>1098605</v>
      </c>
      <c r="I21" s="38">
        <f t="shared" si="2"/>
        <v>2450703.9799999967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246736</v>
      </c>
      <c r="E23" s="66">
        <f>'CE-FLSH'!M23</f>
        <v>556223</v>
      </c>
      <c r="F23" s="60">
        <f>CE_GL!D23</f>
        <v>251673</v>
      </c>
      <c r="G23" s="38">
        <f>CE_GL!E23</f>
        <v>536818.67699999991</v>
      </c>
      <c r="H23" s="60">
        <f t="shared" si="2"/>
        <v>4937</v>
      </c>
      <c r="I23" s="38">
        <f t="shared" si="2"/>
        <v>-19404.323000000091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-109664996</v>
      </c>
      <c r="E24" s="39">
        <f t="shared" si="3"/>
        <v>-247106948.97999999</v>
      </c>
      <c r="F24" s="61">
        <f t="shared" si="3"/>
        <v>-109183815</v>
      </c>
      <c r="G24" s="39">
        <f t="shared" si="3"/>
        <v>-248403327.99299997</v>
      </c>
      <c r="H24" s="61">
        <f t="shared" si="3"/>
        <v>481181</v>
      </c>
      <c r="I24" s="39">
        <f t="shared" si="3"/>
        <v>-1296379.0129999544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509565</v>
      </c>
      <c r="G27" s="38">
        <f>CE_GL!E27</f>
        <v>1144526.68</v>
      </c>
      <c r="H27" s="60">
        <f>F27-D27</f>
        <v>509565</v>
      </c>
      <c r="I27" s="38">
        <f>G27-E27</f>
        <v>1144526.68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-90432</v>
      </c>
      <c r="G28" s="38">
        <f>CE_GL!E28</f>
        <v>-202259.04</v>
      </c>
      <c r="H28" s="60">
        <f>F28-D28</f>
        <v>-90432</v>
      </c>
      <c r="I28" s="38">
        <f>G28-E28</f>
        <v>-202259.04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419133</v>
      </c>
      <c r="G29" s="70">
        <f t="shared" si="4"/>
        <v>942267.6399999999</v>
      </c>
      <c r="H29" s="69">
        <f t="shared" si="4"/>
        <v>419133</v>
      </c>
      <c r="I29" s="70">
        <f t="shared" si="4"/>
        <v>942267.6399999999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248</v>
      </c>
      <c r="E32" s="66">
        <f>'CE-FLSH'!M32</f>
        <v>10</v>
      </c>
      <c r="F32" s="60">
        <f>CE_GL!D32</f>
        <v>64417</v>
      </c>
      <c r="G32" s="38">
        <f>CE_GL!E32</f>
        <v>137401.45899999974</v>
      </c>
      <c r="H32" s="60">
        <f>F32-D32</f>
        <v>64169</v>
      </c>
      <c r="I32" s="38">
        <f>G32-E32</f>
        <v>137391.45899999974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-6281</v>
      </c>
      <c r="G33" s="38">
        <f>CE_GL!E33</f>
        <v>-14662.46</v>
      </c>
      <c r="H33" s="60">
        <f t="shared" ref="H33:I35" si="5">F33-D33</f>
        <v>-6281</v>
      </c>
      <c r="I33" s="38">
        <f t="shared" si="5"/>
        <v>-14662.46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22167</v>
      </c>
      <c r="G34" s="38">
        <f>CE_GL!E34</f>
        <v>50594.990000000005</v>
      </c>
      <c r="H34" s="60">
        <f t="shared" si="5"/>
        <v>22167</v>
      </c>
      <c r="I34" s="38">
        <f t="shared" si="5"/>
        <v>50594.990000000005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2377169</v>
      </c>
      <c r="E35" s="66">
        <f>'CE-FLSH'!M35</f>
        <v>4895115</v>
      </c>
      <c r="F35" s="60">
        <f>CE_GL!D35</f>
        <v>458285</v>
      </c>
      <c r="G35" s="38">
        <f>CE_GL!E35</f>
        <v>805487.21</v>
      </c>
      <c r="H35" s="60">
        <f t="shared" si="5"/>
        <v>-1918884</v>
      </c>
      <c r="I35" s="38">
        <f t="shared" si="5"/>
        <v>-4089627.79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2377417</v>
      </c>
      <c r="E36" s="39">
        <f t="shared" si="6"/>
        <v>4895125</v>
      </c>
      <c r="F36" s="61">
        <f t="shared" si="6"/>
        <v>538588</v>
      </c>
      <c r="G36" s="39">
        <f t="shared" si="6"/>
        <v>978821.19899999979</v>
      </c>
      <c r="H36" s="61">
        <f t="shared" si="6"/>
        <v>-1838829</v>
      </c>
      <c r="I36" s="39">
        <f t="shared" si="6"/>
        <v>-3916303.8010000004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3189389</v>
      </c>
      <c r="G39" s="38">
        <f>CE_GL!E39</f>
        <v>7125380.9900000002</v>
      </c>
      <c r="H39" s="60">
        <f t="shared" ref="H39:I41" si="7">F39-D39</f>
        <v>3189389</v>
      </c>
      <c r="I39" s="38">
        <f t="shared" si="7"/>
        <v>7125380.9900000002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-299343</v>
      </c>
      <c r="E40" s="66">
        <f>'CE-FLSH'!M40</f>
        <v>-615150</v>
      </c>
      <c r="F40" s="60">
        <f>CE_GL!D40</f>
        <v>-299343</v>
      </c>
      <c r="G40" s="38">
        <f>CE_GL!E40</f>
        <v>-622602.89999999991</v>
      </c>
      <c r="H40" s="60">
        <f t="shared" si="7"/>
        <v>0</v>
      </c>
      <c r="I40" s="38">
        <f t="shared" si="7"/>
        <v>-7452.8999999999069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-299343</v>
      </c>
      <c r="E42" s="70">
        <f t="shared" si="8"/>
        <v>-615150</v>
      </c>
      <c r="F42" s="69">
        <f t="shared" si="8"/>
        <v>-299343</v>
      </c>
      <c r="G42" s="70">
        <f t="shared" si="8"/>
        <v>-622602.89999999991</v>
      </c>
      <c r="H42" s="69">
        <f t="shared" si="8"/>
        <v>0</v>
      </c>
      <c r="I42" s="70">
        <f t="shared" si="8"/>
        <v>-7452.8999999999069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-299343</v>
      </c>
      <c r="E43" s="39">
        <f t="shared" si="9"/>
        <v>-615150</v>
      </c>
      <c r="F43" s="61">
        <f t="shared" si="9"/>
        <v>2890046</v>
      </c>
      <c r="G43" s="39">
        <f t="shared" si="9"/>
        <v>6502778.0899999999</v>
      </c>
      <c r="H43" s="61">
        <f t="shared" si="9"/>
        <v>3189389</v>
      </c>
      <c r="I43" s="39">
        <f t="shared" si="9"/>
        <v>7117928.0899999999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-152242</v>
      </c>
      <c r="E49" s="66">
        <f>'CE-FLSH'!M49</f>
        <v>-324732.18599999999</v>
      </c>
      <c r="F49" s="60">
        <f>CE_GL!D49</f>
        <v>-1534428</v>
      </c>
      <c r="G49" s="38">
        <f>CE_GL!E49</f>
        <v>-3272934.9180000001</v>
      </c>
      <c r="H49" s="60">
        <f>F49-D49</f>
        <v>-1382186</v>
      </c>
      <c r="I49" s="38">
        <f>G49-E49</f>
        <v>-2948202.7319999998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-246736</v>
      </c>
      <c r="E51" s="66">
        <f>'CE-FLSH'!M51</f>
        <v>-556223</v>
      </c>
      <c r="F51" s="60">
        <f>CE_GL!D51</f>
        <v>-251673</v>
      </c>
      <c r="G51" s="38">
        <f>CE_GL!E51</f>
        <v>-536818.50699999998</v>
      </c>
      <c r="H51" s="60">
        <f>F51-D51</f>
        <v>-4937</v>
      </c>
      <c r="I51" s="38">
        <f>G51-E51</f>
        <v>19404.493000000017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-64099</v>
      </c>
      <c r="F54" s="60">
        <f>CE_GL!D54</f>
        <v>-37976267</v>
      </c>
      <c r="G54" s="38">
        <f>CE_GL!E54</f>
        <v>617063.47000000009</v>
      </c>
      <c r="H54" s="60">
        <f>F54-D54</f>
        <v>-37976267</v>
      </c>
      <c r="I54" s="38">
        <f>G54-E54</f>
        <v>681162.47000000009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-2009563</v>
      </c>
      <c r="F55" s="60">
        <f>CE_GL!D55</f>
        <v>0</v>
      </c>
      <c r="G55" s="38">
        <f>CE_GL!E55</f>
        <v>-2121128.4300000002</v>
      </c>
      <c r="H55" s="60">
        <f>F55-D55</f>
        <v>0</v>
      </c>
      <c r="I55" s="38">
        <f>G55-E55</f>
        <v>-111565.43000000017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-2073662</v>
      </c>
      <c r="F56" s="61">
        <f t="shared" si="10"/>
        <v>-37976267</v>
      </c>
      <c r="G56" s="39">
        <f t="shared" si="10"/>
        <v>-1504064.96</v>
      </c>
      <c r="H56" s="61">
        <f t="shared" si="10"/>
        <v>-37976267</v>
      </c>
      <c r="I56" s="39">
        <f t="shared" si="10"/>
        <v>569597.03999999992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1768212.0425999996</v>
      </c>
      <c r="F70" s="60">
        <f>CE_GL!D70</f>
        <v>0</v>
      </c>
      <c r="G70" s="38">
        <f>CE_GL!E70</f>
        <v>1768212</v>
      </c>
      <c r="H70" s="60">
        <f>F70-D70</f>
        <v>0</v>
      </c>
      <c r="I70" s="38">
        <f>G70-E70</f>
        <v>-4.2599999578669667E-2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2767229</v>
      </c>
      <c r="F71" s="60">
        <f>CE_GL!D71</f>
        <v>0</v>
      </c>
      <c r="G71" s="38">
        <f>CE_GL!E71</f>
        <v>2767229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4535441.0425999993</v>
      </c>
      <c r="F72" s="69">
        <f t="shared" si="13"/>
        <v>0</v>
      </c>
      <c r="G72" s="70">
        <f t="shared" si="13"/>
        <v>4535441</v>
      </c>
      <c r="H72" s="69">
        <f t="shared" si="13"/>
        <v>0</v>
      </c>
      <c r="I72" s="70">
        <f t="shared" si="13"/>
        <v>-4.2599999578669667E-2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-4350605</v>
      </c>
      <c r="F74" s="60">
        <f>CE_GL!D74</f>
        <v>0</v>
      </c>
      <c r="G74" s="38">
        <f>CE_GL!E74</f>
        <v>-6137125</v>
      </c>
      <c r="H74" s="60">
        <f t="shared" ref="H74:I79" si="14">F74-D74</f>
        <v>0</v>
      </c>
      <c r="I74" s="38">
        <f t="shared" si="14"/>
        <v>-1786520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7439</v>
      </c>
      <c r="F75" s="60">
        <f>CE_GL!D75</f>
        <v>0</v>
      </c>
      <c r="G75" s="38">
        <f>CE_GL!E75</f>
        <v>7500</v>
      </c>
      <c r="H75" s="60">
        <f t="shared" si="14"/>
        <v>0</v>
      </c>
      <c r="I75" s="38">
        <f t="shared" si="14"/>
        <v>61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-17214.57</v>
      </c>
      <c r="H76" s="60">
        <f t="shared" si="14"/>
        <v>0</v>
      </c>
      <c r="I76" s="38">
        <f t="shared" si="14"/>
        <v>-17214.57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1083367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-1083367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-531139.12339998316</v>
      </c>
      <c r="F82" s="71">
        <f>F16+F24+F29+F36+F43+F45+F47+F49</f>
        <v>0</v>
      </c>
      <c r="G82" s="72">
        <f>SUM(G72:G81)+G16+G24+G29+G36+G43+G45+G47+G49+G51+G56+G61+G66</f>
        <v>846745.02100002766</v>
      </c>
      <c r="H82" s="71">
        <f>H16+H24+H29+H36+H43+H45+H47+H49</f>
        <v>0</v>
      </c>
      <c r="I82" s="72">
        <f>SUM(I72:I81)+I16+I24+I29+I36+I43+I45+I47+I49+I51+I56+I61+I66</f>
        <v>1377884.1444000378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5376098</v>
      </c>
      <c r="E11" s="66">
        <f>'SITHE-FLSH'!M11</f>
        <v>11250392</v>
      </c>
      <c r="F11" s="60">
        <f>SITHE_GL!D11</f>
        <v>5374611</v>
      </c>
      <c r="G11" s="38">
        <f>SITHE_GL!E11</f>
        <v>17033526.460000001</v>
      </c>
      <c r="H11" s="60">
        <f>F11-D11</f>
        <v>-1487</v>
      </c>
      <c r="I11" s="38">
        <f>G11-E11</f>
        <v>5783134.4600000009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-5288275.82</v>
      </c>
      <c r="H12" s="60">
        <f>F12-D12</f>
        <v>0</v>
      </c>
      <c r="I12" s="38">
        <f>G12-E12</f>
        <v>-5288275.82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6498714</v>
      </c>
      <c r="E13" s="66">
        <f>'SITHE-FLSH'!M13</f>
        <v>15325359</v>
      </c>
      <c r="F13" s="60">
        <f>SITHE_GL!D13</f>
        <v>6498714</v>
      </c>
      <c r="G13" s="38">
        <f>SITHE_GL!E13</f>
        <v>15325359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11874812</v>
      </c>
      <c r="E16" s="39">
        <f t="shared" si="1"/>
        <v>26575751</v>
      </c>
      <c r="F16" s="61">
        <f t="shared" si="1"/>
        <v>11873325</v>
      </c>
      <c r="G16" s="39">
        <f t="shared" si="1"/>
        <v>27070609.640000001</v>
      </c>
      <c r="H16" s="61">
        <f t="shared" si="1"/>
        <v>-1487</v>
      </c>
      <c r="I16" s="39">
        <f t="shared" si="1"/>
        <v>494858.6400000006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-2210033</v>
      </c>
      <c r="E19" s="66">
        <f>'SITHE-FLSH'!M19</f>
        <v>-5334526</v>
      </c>
      <c r="F19" s="60">
        <f>SITHE_GL!D19</f>
        <v>-900491</v>
      </c>
      <c r="G19" s="38">
        <f>SITHE_GL!E19</f>
        <v>-1741936.5400000005</v>
      </c>
      <c r="H19" s="60">
        <f>F19-D19</f>
        <v>1309542</v>
      </c>
      <c r="I19" s="38">
        <f>G19-E19</f>
        <v>3592589.4599999995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-9703868</v>
      </c>
      <c r="E21" s="66">
        <f>'SITHE-FLSH'!M21</f>
        <v>-21344546</v>
      </c>
      <c r="F21" s="60">
        <f>SITHE_GL!D21</f>
        <v>-11013410</v>
      </c>
      <c r="G21" s="38">
        <f>SITHE_GL!E21</f>
        <v>-24731462</v>
      </c>
      <c r="H21" s="60">
        <f t="shared" ref="H21:I23" si="2">F21-D21</f>
        <v>-1309542</v>
      </c>
      <c r="I21" s="38">
        <f t="shared" si="2"/>
        <v>-3386916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6578</v>
      </c>
      <c r="E23" s="66">
        <f>'SITHE-FLSH'!M23</f>
        <v>15328</v>
      </c>
      <c r="F23" s="60">
        <f>SITHE_GL!D23</f>
        <v>0</v>
      </c>
      <c r="G23" s="38">
        <f>SITHE_GL!E23</f>
        <v>0</v>
      </c>
      <c r="H23" s="60">
        <f t="shared" si="2"/>
        <v>-6578</v>
      </c>
      <c r="I23" s="38">
        <f t="shared" si="2"/>
        <v>-15328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-11907323</v>
      </c>
      <c r="E24" s="39">
        <f t="shared" si="3"/>
        <v>-26663744</v>
      </c>
      <c r="F24" s="61">
        <f t="shared" si="3"/>
        <v>-11913901</v>
      </c>
      <c r="G24" s="39">
        <f t="shared" si="3"/>
        <v>-26473398.539999999</v>
      </c>
      <c r="H24" s="61">
        <f t="shared" si="3"/>
        <v>-6578</v>
      </c>
      <c r="I24" s="39">
        <f t="shared" si="3"/>
        <v>190345.4599999995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18884</v>
      </c>
      <c r="E32" s="66">
        <f>'SITHE-FLSH'!M32</f>
        <v>181988</v>
      </c>
      <c r="F32" s="60">
        <f>SITHE_GL!D32</f>
        <v>0</v>
      </c>
      <c r="G32" s="38">
        <f>SITHE_GL!E32</f>
        <v>0</v>
      </c>
      <c r="H32" s="60">
        <f>F32-D32</f>
        <v>-18884</v>
      </c>
      <c r="I32" s="38">
        <f>G32-E32</f>
        <v>-181988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30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-30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18884</v>
      </c>
      <c r="E36" s="39">
        <f t="shared" si="6"/>
        <v>182018</v>
      </c>
      <c r="F36" s="61">
        <f t="shared" si="6"/>
        <v>0</v>
      </c>
      <c r="G36" s="39">
        <f t="shared" si="6"/>
        <v>0</v>
      </c>
      <c r="H36" s="61">
        <f t="shared" si="6"/>
        <v>-18884</v>
      </c>
      <c r="I36" s="39">
        <f t="shared" si="6"/>
        <v>-182018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117507</v>
      </c>
      <c r="G39" s="38">
        <f>SITHE_GL!E39</f>
        <v>272381.23</v>
      </c>
      <c r="H39" s="60">
        <f t="shared" ref="H39:I41" si="7">F39-D39</f>
        <v>117507</v>
      </c>
      <c r="I39" s="38">
        <f t="shared" si="7"/>
        <v>272381.23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117507</v>
      </c>
      <c r="G43" s="39">
        <f t="shared" si="9"/>
        <v>272381.23</v>
      </c>
      <c r="H43" s="61">
        <f t="shared" si="9"/>
        <v>117507</v>
      </c>
      <c r="I43" s="39">
        <f t="shared" si="9"/>
        <v>272381.23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13627</v>
      </c>
      <c r="E49" s="66">
        <f>'SITHE-FLSH'!M49</f>
        <v>31584.036732865465</v>
      </c>
      <c r="F49" s="60">
        <f>SITHE_GL!D49</f>
        <v>-76931</v>
      </c>
      <c r="G49" s="38">
        <f>SITHE_GL!E49</f>
        <v>-178326.06199999992</v>
      </c>
      <c r="H49" s="60">
        <f>F49-D49</f>
        <v>-90558</v>
      </c>
      <c r="I49" s="38">
        <f>G49-E49</f>
        <v>-209910.09873286539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-6578</v>
      </c>
      <c r="E51" s="66">
        <f>'SITHE-FLSH'!M51</f>
        <v>-15328</v>
      </c>
      <c r="F51" s="60">
        <f>SITHE_GL!D51</f>
        <v>0</v>
      </c>
      <c r="G51" s="38">
        <f>SITHE_GL!E51</f>
        <v>0</v>
      </c>
      <c r="H51" s="60">
        <f>F51-D51</f>
        <v>6578</v>
      </c>
      <c r="I51" s="38">
        <f>G51-E51</f>
        <v>15328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-7556</v>
      </c>
      <c r="F54" s="60">
        <f>SITHE_GL!D54</f>
        <v>-122243.13</v>
      </c>
      <c r="G54" s="38">
        <f>SITHE_GL!E54</f>
        <v>-642084.04999999993</v>
      </c>
      <c r="H54" s="60">
        <f>F54-D54</f>
        <v>-122243.13</v>
      </c>
      <c r="I54" s="38">
        <f>G54-E54</f>
        <v>-634528.04999999993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-7556</v>
      </c>
      <c r="F56" s="61">
        <f t="shared" si="10"/>
        <v>-122243.13</v>
      </c>
      <c r="G56" s="39">
        <f t="shared" si="10"/>
        <v>-642084.04999999993</v>
      </c>
      <c r="H56" s="61">
        <f t="shared" si="10"/>
        <v>-122243.13</v>
      </c>
      <c r="I56" s="39">
        <f t="shared" si="10"/>
        <v>-634528.04999999993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77884</v>
      </c>
      <c r="F70" s="60">
        <f>SITHE_GL!D70</f>
        <v>0</v>
      </c>
      <c r="G70" s="38">
        <f>SITHE_GL!E70</f>
        <v>77884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-17435</v>
      </c>
      <c r="F71" s="60">
        <f>SITHE_GL!D71</f>
        <v>0</v>
      </c>
      <c r="G71" s="38">
        <f>SITHE_GL!E71</f>
        <v>-17435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60449</v>
      </c>
      <c r="F72" s="69">
        <f t="shared" si="13"/>
        <v>0</v>
      </c>
      <c r="G72" s="70">
        <f t="shared" si="13"/>
        <v>60449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-202520</v>
      </c>
      <c r="F74" s="60">
        <f>SITHE_GL!D74</f>
        <v>0</v>
      </c>
      <c r="G74" s="38">
        <f>SITHE_GL!E74</f>
        <v>-168616</v>
      </c>
      <c r="H74" s="60">
        <f t="shared" ref="H74:I79" si="14">F74-D74</f>
        <v>0</v>
      </c>
      <c r="I74" s="38">
        <f t="shared" si="14"/>
        <v>33904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139400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-139400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100054.03673286547</v>
      </c>
      <c r="F82" s="71">
        <f>F16+F24+F29+F36+F43+F45+F47+F49</f>
        <v>0</v>
      </c>
      <c r="G82" s="72">
        <f>SUM(G72:G81)+G16+G24+G29+G36+G43+G45+G47+G49+G51+G56+G61+G66</f>
        <v>-58984.781999998377</v>
      </c>
      <c r="H82" s="71">
        <f>H16+H24+H29+H36+H43+H45+H47+H49</f>
        <v>0</v>
      </c>
      <c r="I82" s="72">
        <f>SUM(I72:I81)+I16+I24+I29+I36+I43+I45+I47+I49+I51+I56+I61+I66</f>
        <v>-159038.81873286527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75" right="0.75" top="1" bottom="1" header="0.5" footer="0.5"/>
  <pageSetup paperSize="5" scale="6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4" zoomScale="75" workbookViewId="0">
      <selection activeCell="G74" sqref="G74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13637253</v>
      </c>
      <c r="E11" s="66">
        <f>'ARUBA-FLSH'!M11</f>
        <v>30242537</v>
      </c>
      <c r="F11" s="60">
        <f>ARUBA_GL!D11</f>
        <v>13640741</v>
      </c>
      <c r="G11" s="38">
        <f>ARUBA_GL!E11</f>
        <v>30946632.989999998</v>
      </c>
      <c r="H11" s="60">
        <f>F11-D11</f>
        <v>3488</v>
      </c>
      <c r="I11" s="38">
        <f>G11-E11</f>
        <v>704095.98999999836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53110.26</v>
      </c>
      <c r="H12" s="60">
        <f>F12-D12</f>
        <v>0</v>
      </c>
      <c r="I12" s="38">
        <f>G12-E12</f>
        <v>53110.26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22737066</v>
      </c>
      <c r="E13" s="66">
        <f>'ARUBA-FLSH'!M13</f>
        <v>53455982</v>
      </c>
      <c r="F13" s="60">
        <f>ARUBA_GL!D13</f>
        <v>22737066</v>
      </c>
      <c r="G13" s="38">
        <f>ARUBA_GL!E13</f>
        <v>53455982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2887608</v>
      </c>
      <c r="H15" s="60">
        <f t="shared" si="0"/>
        <v>0</v>
      </c>
      <c r="I15" s="38">
        <f t="shared" si="0"/>
        <v>2887608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36374319</v>
      </c>
      <c r="E16" s="39">
        <f t="shared" si="1"/>
        <v>83698519</v>
      </c>
      <c r="F16" s="61">
        <f t="shared" si="1"/>
        <v>36377807</v>
      </c>
      <c r="G16" s="39">
        <f t="shared" si="1"/>
        <v>87343333.25</v>
      </c>
      <c r="H16" s="61">
        <f t="shared" si="1"/>
        <v>3488</v>
      </c>
      <c r="I16" s="39">
        <f t="shared" si="1"/>
        <v>3644814.2499999981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-11306322</v>
      </c>
      <c r="E19" s="66">
        <f>'ARUBA-FLSH'!M19</f>
        <v>-24702746</v>
      </c>
      <c r="F19" s="60">
        <f>ARUBA_GL!D19</f>
        <v>-11306576</v>
      </c>
      <c r="G19" s="38">
        <f>ARUBA_GL!E19</f>
        <v>-24700429.819999997</v>
      </c>
      <c r="H19" s="60">
        <f>F19-D19</f>
        <v>-254</v>
      </c>
      <c r="I19" s="38">
        <f>G19-E19</f>
        <v>2316.1800000034273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154946</v>
      </c>
      <c r="H20" s="60">
        <f>F20-D20</f>
        <v>0</v>
      </c>
      <c r="I20" s="38">
        <f>G20-E20</f>
        <v>154946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-25299406</v>
      </c>
      <c r="E21" s="66">
        <f>'ARUBA-FLSH'!M21</f>
        <v>-58250227</v>
      </c>
      <c r="F21" s="60">
        <f>ARUBA_GL!D21</f>
        <v>-25299406</v>
      </c>
      <c r="G21" s="38">
        <f>ARUBA_GL!E21</f>
        <v>-58250230</v>
      </c>
      <c r="H21" s="60">
        <f t="shared" ref="H21:I23" si="2">F21-D21</f>
        <v>0</v>
      </c>
      <c r="I21" s="38">
        <f t="shared" si="2"/>
        <v>-3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235365</v>
      </c>
      <c r="E23" s="66">
        <f>'ARUBA-FLSH'!M23</f>
        <v>547419</v>
      </c>
      <c r="F23" s="60">
        <f>ARUBA_GL!D23</f>
        <v>224609</v>
      </c>
      <c r="G23" s="38">
        <f>ARUBA_GL!E23</f>
        <v>491219.88</v>
      </c>
      <c r="H23" s="60">
        <f t="shared" si="2"/>
        <v>-10756</v>
      </c>
      <c r="I23" s="38">
        <f t="shared" si="2"/>
        <v>-56199.119999999995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-36370363</v>
      </c>
      <c r="E24" s="39">
        <f t="shared" si="3"/>
        <v>-82405554</v>
      </c>
      <c r="F24" s="61">
        <f t="shared" si="3"/>
        <v>-36381373</v>
      </c>
      <c r="G24" s="39">
        <f t="shared" si="3"/>
        <v>-82304493.939999998</v>
      </c>
      <c r="H24" s="61">
        <f t="shared" si="3"/>
        <v>-11010</v>
      </c>
      <c r="I24" s="39">
        <f t="shared" si="3"/>
        <v>101060.06000000343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-3956</v>
      </c>
      <c r="E49" s="66">
        <f>'ARUBA-FLSH'!M49</f>
        <v>-8651.6201649815139</v>
      </c>
      <c r="F49" s="60">
        <f>ARUBA_GL!D49</f>
        <v>3566</v>
      </c>
      <c r="G49" s="38">
        <f>ARUBA_GL!E49</f>
        <v>7798.842000000077</v>
      </c>
      <c r="H49" s="60">
        <f>F49-D49</f>
        <v>7522</v>
      </c>
      <c r="I49" s="38">
        <f>G49-E49</f>
        <v>16450.462164981589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-235365</v>
      </c>
      <c r="E51" s="66">
        <f>'ARUBA-FLSH'!M51</f>
        <v>-547419</v>
      </c>
      <c r="F51" s="60">
        <f>ARUBA_GL!D51</f>
        <v>-224609</v>
      </c>
      <c r="G51" s="38">
        <f>ARUBA_GL!E51</f>
        <v>-491219.88</v>
      </c>
      <c r="H51" s="60">
        <f>F51-D51</f>
        <v>10756</v>
      </c>
      <c r="I51" s="38">
        <f>G51-E51</f>
        <v>56199.119999999995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-123694</v>
      </c>
      <c r="F54" s="60">
        <f>ARUBA_GL!D54</f>
        <v>-7210619</v>
      </c>
      <c r="G54" s="38">
        <f>ARUBA_GL!E54</f>
        <v>-129711.97999999998</v>
      </c>
      <c r="H54" s="60">
        <f>F54-D54</f>
        <v>-7210619</v>
      </c>
      <c r="I54" s="38">
        <f>G54-E54</f>
        <v>-6017.9799999999814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-2781535</v>
      </c>
      <c r="H55" s="60">
        <f>F55-D55</f>
        <v>0</v>
      </c>
      <c r="I55" s="38">
        <f>G55-E55</f>
        <v>-2781535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-123694</v>
      </c>
      <c r="F56" s="61">
        <f t="shared" si="10"/>
        <v>-7210619</v>
      </c>
      <c r="G56" s="39">
        <f t="shared" si="10"/>
        <v>-2911246.98</v>
      </c>
      <c r="H56" s="61">
        <f t="shared" si="10"/>
        <v>-7210619</v>
      </c>
      <c r="I56" s="39">
        <f t="shared" si="10"/>
        <v>-2787552.98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14085867</v>
      </c>
      <c r="F70" s="60">
        <f>ARUBA_GL!D70</f>
        <v>0</v>
      </c>
      <c r="G70" s="38">
        <f>ARUBA_GL!E70</f>
        <v>14085867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-14919886</v>
      </c>
      <c r="F71" s="60">
        <f>ARUBA_GL!D71</f>
        <v>0</v>
      </c>
      <c r="G71" s="38">
        <f>ARUBA_GL!E71</f>
        <v>-15019906</v>
      </c>
      <c r="H71" s="60">
        <f>F71-D71</f>
        <v>0</v>
      </c>
      <c r="I71" s="38">
        <f>G71-E71</f>
        <v>-100020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-834019</v>
      </c>
      <c r="F72" s="69">
        <f t="shared" si="13"/>
        <v>0</v>
      </c>
      <c r="G72" s="70">
        <f t="shared" si="13"/>
        <v>-934039</v>
      </c>
      <c r="H72" s="69">
        <f t="shared" si="13"/>
        <v>0</v>
      </c>
      <c r="I72" s="70">
        <f t="shared" si="13"/>
        <v>-100020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541489</v>
      </c>
      <c r="F74" s="60">
        <f>ARUBA_GL!D74</f>
        <v>0</v>
      </c>
      <c r="G74" s="38">
        <f>ARUBA_GL!E74</f>
        <v>1439044</v>
      </c>
      <c r="H74" s="60">
        <f t="shared" ref="H74:I79" si="14">F74-D74</f>
        <v>0</v>
      </c>
      <c r="I74" s="38">
        <f t="shared" si="14"/>
        <v>897555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0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320670.37983501854</v>
      </c>
      <c r="F82" s="71">
        <f>F16+F24+F29+F36+F43+F45+F47+F49</f>
        <v>0</v>
      </c>
      <c r="G82" s="72">
        <f>SUM(G72:G81)+G16+G24+G29+G36+G43+G45+G47+G49+G51+G56+G61+G66</f>
        <v>2149176.2920000027</v>
      </c>
      <c r="H82" s="71">
        <f>H16+H24+H29+H36+H43+H45+H47+H49</f>
        <v>0</v>
      </c>
      <c r="I82" s="72">
        <f>SUM(I72:I81)+I16+I24+I29+I36+I43+I45+I47+I49+I51+I56+I61+I66</f>
        <v>1828505.9121649829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112784842</v>
      </c>
      <c r="E11" s="66">
        <f>'EAST-EGM-FLSH'!M11</f>
        <v>259383408.34387043</v>
      </c>
      <c r="F11" s="60">
        <f>'EAST-EGM-GL'!D11</f>
        <v>108562799</v>
      </c>
      <c r="G11" s="38">
        <f>'EAST-EGM-GL'!E11</f>
        <v>255183754.83599997</v>
      </c>
      <c r="H11" s="60">
        <f>F11-D11</f>
        <v>-4222043</v>
      </c>
      <c r="I11" s="38">
        <f>G11-E11</f>
        <v>-4199653.5078704655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-7661463.1100000003</v>
      </c>
      <c r="H12" s="60">
        <f>F12-D12</f>
        <v>0</v>
      </c>
      <c r="I12" s="38">
        <f>G12-E12</f>
        <v>-7661463.1100000003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35399361</v>
      </c>
      <c r="E13" s="66">
        <f>'EAST-EGM-FLSH'!M13</f>
        <v>83539570</v>
      </c>
      <c r="F13" s="60">
        <f>'EAST-EGM-GL'!D13</f>
        <v>37550214</v>
      </c>
      <c r="G13" s="38">
        <f>'EAST-EGM-GL'!E13</f>
        <v>88583524</v>
      </c>
      <c r="H13" s="60">
        <f t="shared" ref="H13:I15" si="0">F13-D13</f>
        <v>2150853</v>
      </c>
      <c r="I13" s="38">
        <f t="shared" si="0"/>
        <v>5043954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879055.2699999999</v>
      </c>
      <c r="H15" s="60">
        <f t="shared" si="0"/>
        <v>0</v>
      </c>
      <c r="I15" s="38">
        <f t="shared" si="0"/>
        <v>879055.2699999999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148184203</v>
      </c>
      <c r="E16" s="39">
        <f t="shared" si="1"/>
        <v>342922482.3438704</v>
      </c>
      <c r="F16" s="61">
        <f t="shared" si="1"/>
        <v>146113013</v>
      </c>
      <c r="G16" s="39">
        <f t="shared" si="1"/>
        <v>336984870.99599993</v>
      </c>
      <c r="H16" s="61">
        <f t="shared" si="1"/>
        <v>-2071190</v>
      </c>
      <c r="I16" s="39">
        <f t="shared" si="1"/>
        <v>-5937611.3478704654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-113041005</v>
      </c>
      <c r="E19" s="66">
        <f>'EAST-EGM-FLSH'!M19</f>
        <v>-251061724</v>
      </c>
      <c r="F19" s="60">
        <f>'EAST-EGM-GL'!D19</f>
        <v>-120375059</v>
      </c>
      <c r="G19" s="38">
        <f>'EAST-EGM-GL'!E19</f>
        <v>-270529376.24999994</v>
      </c>
      <c r="H19" s="60">
        <f>F19-D19</f>
        <v>-7334054</v>
      </c>
      <c r="I19" s="38">
        <f>G19-E19</f>
        <v>-19467652.24999994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-35716476</v>
      </c>
      <c r="E21" s="66">
        <f>'EAST-EGM-FLSH'!M21</f>
        <v>-87339489</v>
      </c>
      <c r="F21" s="60">
        <f>'EAST-EGM-GL'!D21</f>
        <v>-37105350</v>
      </c>
      <c r="G21" s="38">
        <f>'EAST-EGM-GL'!E21</f>
        <v>-90701481</v>
      </c>
      <c r="H21" s="60">
        <f t="shared" ref="H21:I23" si="2">F21-D21</f>
        <v>-1388874</v>
      </c>
      <c r="I21" s="38">
        <f t="shared" si="2"/>
        <v>-3361992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126324</v>
      </c>
      <c r="E23" s="66">
        <f>'EAST-EGM-FLSH'!M23</f>
        <v>294758</v>
      </c>
      <c r="F23" s="60">
        <f>'EAST-EGM-GL'!D23</f>
        <v>70225</v>
      </c>
      <c r="G23" s="38">
        <f>'EAST-EGM-GL'!E23</f>
        <v>1838709.4960000005</v>
      </c>
      <c r="H23" s="60">
        <f t="shared" si="2"/>
        <v>-56099</v>
      </c>
      <c r="I23" s="38">
        <f t="shared" si="2"/>
        <v>1543951.4960000005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-148631157</v>
      </c>
      <c r="E24" s="39">
        <f t="shared" si="3"/>
        <v>-338106455</v>
      </c>
      <c r="F24" s="61">
        <f t="shared" si="3"/>
        <v>-157410184</v>
      </c>
      <c r="G24" s="39">
        <f t="shared" si="3"/>
        <v>-355655849.70399994</v>
      </c>
      <c r="H24" s="61">
        <f t="shared" si="3"/>
        <v>-8779027</v>
      </c>
      <c r="I24" s="39">
        <f t="shared" si="3"/>
        <v>-17549394.70399994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8819141</v>
      </c>
      <c r="G27" s="38">
        <f>'EAST-EGM-GL'!E27</f>
        <v>20761077.809999999</v>
      </c>
      <c r="H27" s="60">
        <f>F27-D27</f>
        <v>8819141</v>
      </c>
      <c r="I27" s="38">
        <f>G27-E27</f>
        <v>20761077.809999999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-2982950</v>
      </c>
      <c r="G28" s="38">
        <f>'EAST-EGM-GL'!E28</f>
        <v>-6878191.7900000019</v>
      </c>
      <c r="H28" s="60">
        <f>F28-D28</f>
        <v>-2982950</v>
      </c>
      <c r="I28" s="38">
        <f>G28-E28</f>
        <v>-6878191.7900000019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5836191</v>
      </c>
      <c r="G29" s="70">
        <f t="shared" si="4"/>
        <v>13882886.019999996</v>
      </c>
      <c r="H29" s="69">
        <f t="shared" si="4"/>
        <v>5836191</v>
      </c>
      <c r="I29" s="70">
        <f t="shared" si="4"/>
        <v>13882886.019999996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-50195</v>
      </c>
      <c r="E32" s="66">
        <f>'EAST-EGM-FLSH'!M32</f>
        <v>-134108</v>
      </c>
      <c r="F32" s="60">
        <f>'EAST-EGM-GL'!D32</f>
        <v>-223435</v>
      </c>
      <c r="G32" s="38">
        <f>'EAST-EGM-GL'!E32</f>
        <v>-487311.72600000002</v>
      </c>
      <c r="H32" s="60">
        <f>F32-D32</f>
        <v>-173240</v>
      </c>
      <c r="I32" s="38">
        <f>G32-E32</f>
        <v>-353203.72600000002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343047</v>
      </c>
      <c r="E33" s="66">
        <f>'EAST-EGM-FLSH'!M33</f>
        <v>752294</v>
      </c>
      <c r="F33" s="60">
        <f>'EAST-EGM-GL'!D33</f>
        <v>-5677172</v>
      </c>
      <c r="G33" s="38">
        <f>'EAST-EGM-GL'!E33</f>
        <v>-754280.75</v>
      </c>
      <c r="H33" s="60">
        <f t="shared" ref="H33:I35" si="5">F33-D33</f>
        <v>-6020219</v>
      </c>
      <c r="I33" s="38">
        <f t="shared" si="5"/>
        <v>-1506574.75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-411686</v>
      </c>
      <c r="E34" s="66">
        <f>'EAST-EGM-FLSH'!M34</f>
        <v>-904101</v>
      </c>
      <c r="F34" s="60">
        <f>'EAST-EGM-GL'!D34</f>
        <v>195021</v>
      </c>
      <c r="G34" s="38">
        <f>'EAST-EGM-GL'!E34</f>
        <v>422646.96</v>
      </c>
      <c r="H34" s="60">
        <f t="shared" si="5"/>
        <v>606707</v>
      </c>
      <c r="I34" s="38">
        <f t="shared" si="5"/>
        <v>1326747.96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-177265</v>
      </c>
      <c r="E35" s="66">
        <f>'EAST-EGM-FLSH'!M35</f>
        <v>-380601</v>
      </c>
      <c r="F35" s="60">
        <f>'EAST-EGM-GL'!D35</f>
        <v>0</v>
      </c>
      <c r="G35" s="38">
        <f>'EAST-EGM-GL'!E35</f>
        <v>0</v>
      </c>
      <c r="H35" s="60">
        <f t="shared" si="5"/>
        <v>177265</v>
      </c>
      <c r="I35" s="38">
        <f t="shared" si="5"/>
        <v>380601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-5705586</v>
      </c>
      <c r="G36" s="39">
        <f t="shared" si="6"/>
        <v>-818945.51600000006</v>
      </c>
      <c r="H36" s="61">
        <f t="shared" si="6"/>
        <v>-5409487</v>
      </c>
      <c r="I36" s="39">
        <f t="shared" si="6"/>
        <v>-152429.51600000006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0</v>
      </c>
      <c r="E39" s="66">
        <f>'EAST-EGM-FLSH'!M39</f>
        <v>0</v>
      </c>
      <c r="F39" s="60">
        <f>'EAST-EGM-GL'!D39</f>
        <v>10199580</v>
      </c>
      <c r="G39" s="38">
        <f>'EAST-EGM-GL'!E39</f>
        <v>22245208</v>
      </c>
      <c r="H39" s="60">
        <f t="shared" ref="H39:I41" si="7">F39-D39</f>
        <v>10199580</v>
      </c>
      <c r="I39" s="38">
        <f t="shared" si="7"/>
        <v>22245208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17716</v>
      </c>
      <c r="E40" s="66">
        <f>'EAST-EGM-FLSH'!M40</f>
        <v>37912</v>
      </c>
      <c r="F40" s="60">
        <f>'EAST-EGM-GL'!D40</f>
        <v>369299</v>
      </c>
      <c r="G40" s="38">
        <f>'EAST-EGM-GL'!E40</f>
        <v>-450442.19999999995</v>
      </c>
      <c r="H40" s="60">
        <f t="shared" si="7"/>
        <v>351583</v>
      </c>
      <c r="I40" s="38">
        <f t="shared" si="7"/>
        <v>-488354.19999999995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17716</v>
      </c>
      <c r="E42" s="70">
        <f t="shared" si="8"/>
        <v>37912</v>
      </c>
      <c r="F42" s="69">
        <f t="shared" si="8"/>
        <v>369299</v>
      </c>
      <c r="G42" s="70">
        <f t="shared" si="8"/>
        <v>-450442.19999999995</v>
      </c>
      <c r="H42" s="69">
        <f t="shared" si="8"/>
        <v>351583</v>
      </c>
      <c r="I42" s="70">
        <f t="shared" si="8"/>
        <v>-488354.19999999995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17716</v>
      </c>
      <c r="E43" s="39">
        <f t="shared" si="9"/>
        <v>37912</v>
      </c>
      <c r="F43" s="61">
        <f t="shared" si="9"/>
        <v>10568879</v>
      </c>
      <c r="G43" s="39">
        <f t="shared" si="9"/>
        <v>21794765.800000001</v>
      </c>
      <c r="H43" s="61">
        <f t="shared" si="9"/>
        <v>10551163</v>
      </c>
      <c r="I43" s="39">
        <f t="shared" si="9"/>
        <v>21756853.800000001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785337</v>
      </c>
      <c r="E49" s="66">
        <f>'EAST-EGM-FLSH'!M49</f>
        <v>1738072.8682440352</v>
      </c>
      <c r="F49" s="60">
        <f>'EAST-EGM-GL'!D49</f>
        <v>597687</v>
      </c>
      <c r="G49" s="38">
        <f>'EAST-EGM-GL'!E49</f>
        <v>1303555.345</v>
      </c>
      <c r="H49" s="60">
        <f>F49-D49</f>
        <v>-187650</v>
      </c>
      <c r="I49" s="38">
        <f>G49-E49</f>
        <v>-434517.5232440352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-126324</v>
      </c>
      <c r="E51" s="66">
        <f>'EAST-EGM-FLSH'!M51</f>
        <v>-294758</v>
      </c>
      <c r="F51" s="60">
        <f>'EAST-EGM-GL'!D51</f>
        <v>-843058</v>
      </c>
      <c r="G51" s="38">
        <f>'EAST-EGM-GL'!E51</f>
        <v>-1838709.4960000005</v>
      </c>
      <c r="H51" s="60">
        <f>F51-D51</f>
        <v>-716734</v>
      </c>
      <c r="I51" s="38">
        <f>G51-E51</f>
        <v>-1543951.4960000005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-528962</v>
      </c>
      <c r="F54" s="60">
        <f>'EAST-EGM-GL'!D54</f>
        <v>-80577416</v>
      </c>
      <c r="G54" s="38">
        <f>'EAST-EGM-GL'!E54</f>
        <v>-123087.97000000006</v>
      </c>
      <c r="H54" s="60">
        <f>F54-D54</f>
        <v>-80577416</v>
      </c>
      <c r="I54" s="38">
        <f>G54-E54</f>
        <v>405874.02999999991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-474120</v>
      </c>
      <c r="F55" s="60">
        <f>'EAST-EGM-GL'!D55</f>
        <v>0</v>
      </c>
      <c r="G55" s="38">
        <f>'EAST-EGM-GL'!E55</f>
        <v>-1291824.3600000001</v>
      </c>
      <c r="H55" s="60">
        <f>F55-D55</f>
        <v>0</v>
      </c>
      <c r="I55" s="38">
        <f>G55-E55</f>
        <v>-817704.3600000001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-80577416</v>
      </c>
      <c r="G56" s="39">
        <f t="shared" si="10"/>
        <v>-1414912.33</v>
      </c>
      <c r="H56" s="61">
        <f t="shared" si="10"/>
        <v>-80577416</v>
      </c>
      <c r="I56" s="39">
        <f t="shared" si="10"/>
        <v>-411830.33000000019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46456.07</v>
      </c>
      <c r="H59" s="60">
        <f>F59-D59</f>
        <v>0</v>
      </c>
      <c r="I59" s="38">
        <f>G59-E59</f>
        <v>46456.07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46456.07</v>
      </c>
      <c r="H61" s="69">
        <f t="shared" si="11"/>
        <v>0</v>
      </c>
      <c r="I61" s="70">
        <f t="shared" si="11"/>
        <v>128983.07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42944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-42944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-42944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5194257.0563999992</v>
      </c>
      <c r="F70" s="60">
        <f>'EAST-EGM-GL'!D70</f>
        <v>0</v>
      </c>
      <c r="G70" s="38">
        <f>'EAST-EGM-GL'!E70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-15409479.086300001</v>
      </c>
      <c r="F71" s="60">
        <f>'EAST-EGM-GL'!D71</f>
        <v>0</v>
      </c>
      <c r="G71" s="38">
        <f>'EAST-EGM-GL'!E71</f>
        <v>-15355188</v>
      </c>
      <c r="H71" s="60">
        <f>F71-D71</f>
        <v>0</v>
      </c>
      <c r="I71" s="38">
        <f>G71-E71</f>
        <v>54291.086300000548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6568205</v>
      </c>
      <c r="F74" s="60">
        <f>'EAST-EGM-GL'!D74</f>
        <v>0</v>
      </c>
      <c r="G74" s="38">
        <f>'EAST-EGM-GL'!E74</f>
        <v>6551482</v>
      </c>
      <c r="H74" s="60">
        <f t="shared" ref="H74:I79" si="14">F74-D74</f>
        <v>0</v>
      </c>
      <c r="I74" s="38">
        <f t="shared" si="14"/>
        <v>-16723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111621</v>
      </c>
      <c r="F75" s="60">
        <f>'EAST-EGM-GL'!D75</f>
        <v>0</v>
      </c>
      <c r="G75" s="38">
        <f>'EAST-EGM-GL'!E75</f>
        <v>111600</v>
      </c>
      <c r="H75" s="60">
        <f t="shared" si="14"/>
        <v>0</v>
      </c>
      <c r="I75" s="38">
        <f t="shared" si="14"/>
        <v>-21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-10489</v>
      </c>
      <c r="F76" s="60">
        <f>'EAST-EGM-GL'!D76</f>
        <v>0</v>
      </c>
      <c r="G76" s="38">
        <f>'EAST-EGM-GL'!E76</f>
        <v>-3806.43</v>
      </c>
      <c r="H76" s="60">
        <f t="shared" si="14"/>
        <v>0</v>
      </c>
      <c r="I76" s="38">
        <f t="shared" si="14"/>
        <v>6682.57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-3933809</v>
      </c>
      <c r="H77" s="60">
        <f t="shared" si="14"/>
        <v>0</v>
      </c>
      <c r="I77" s="38">
        <f t="shared" si="14"/>
        <v>-3897000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51367</v>
      </c>
      <c r="F81" s="60">
        <f>'EAST-EGM-GL'!D81</f>
        <v>0</v>
      </c>
      <c r="G81" s="38">
        <f>'EAST-EGM-GL'!E81</f>
        <v>0.30000000000654836</v>
      </c>
      <c r="H81" s="60">
        <f>F81-D81</f>
        <v>0</v>
      </c>
      <c r="I81" s="38">
        <f>G81-E81</f>
        <v>-51366.7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1081270.127214415</v>
      </c>
      <c r="F82" s="71">
        <f>F16+F24+F29+F36+F43+F45+F47+F49</f>
        <v>0</v>
      </c>
      <c r="G82" s="72">
        <f>SUM(G72:G81)+G16+G24+G29+G36+G43+G45+G47+G49+G51+G56+G61+G66</f>
        <v>6875619.1149999993</v>
      </c>
      <c r="H82" s="71">
        <f>H16+H24+H29+H36+H43+H45+H47+H49</f>
        <v>-60000</v>
      </c>
      <c r="I82" s="72">
        <f>SUM(I72:I81)+I16+I24+I29+I36+I43+I45+I47+I49+I51+I56+I61+I66</f>
        <v>5794348.9877855536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'EAST-EGM-FLSH'!L86</f>
        <v>0</v>
      </c>
      <c r="E86" s="147">
        <f>'EAST-EGM-FLSH'!M86</f>
        <v>580000</v>
      </c>
      <c r="F86" s="147">
        <f>'EAST-EGM-GL'!D86</f>
        <v>0</v>
      </c>
      <c r="G86" s="147">
        <f>'EAST-EGM-GL'!E86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5">
      <c r="A87" s="146"/>
      <c r="B87" s="3"/>
      <c r="C87" s="10" t="s">
        <v>71</v>
      </c>
      <c r="D87" s="148">
        <f>'EAST-EGM-FLSH'!L87</f>
        <v>0</v>
      </c>
      <c r="E87" s="148">
        <f>'EAST-EGM-FLSH'!M87</f>
        <v>0</v>
      </c>
      <c r="F87" s="148">
        <f>'EAST-EGM-GL'!D87</f>
        <v>0</v>
      </c>
      <c r="G87" s="148">
        <f>'EAST-EGM-GL'!E87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5">
      <c r="A88" s="146"/>
      <c r="B88" s="3"/>
      <c r="C88" s="10" t="s">
        <v>72</v>
      </c>
      <c r="D88" s="149">
        <f>'EAST-EGM-FLSH'!L88</f>
        <v>0</v>
      </c>
      <c r="E88" s="149">
        <f>'EAST-EGM-FLSH'!M88</f>
        <v>0</v>
      </c>
      <c r="F88" s="149">
        <f>'EAST-EGM-GL'!D88</f>
        <v>0</v>
      </c>
      <c r="G88" s="149">
        <f>'EAST-EGM-GL'!E88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580000</v>
      </c>
      <c r="F89" s="162">
        <f t="shared" si="16"/>
        <v>0</v>
      </c>
      <c r="G89" s="162">
        <f t="shared" si="16"/>
        <v>-239000</v>
      </c>
      <c r="H89" s="162">
        <f t="shared" si="16"/>
        <v>0</v>
      </c>
      <c r="I89" s="162">
        <f t="shared" si="16"/>
        <v>-819000</v>
      </c>
    </row>
    <row r="90" spans="1:63" s="129" customFormat="1" x14ac:dyDescent="0.25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5">
      <c r="A91" s="160"/>
      <c r="B91" s="161"/>
      <c r="C91" s="159" t="s">
        <v>172</v>
      </c>
      <c r="D91" s="162">
        <f t="shared" ref="D91:I91" si="17">+D82+D89</f>
        <v>60000</v>
      </c>
      <c r="E91" s="162">
        <f t="shared" si="17"/>
        <v>1661270.127214415</v>
      </c>
      <c r="F91" s="162">
        <f t="shared" si="17"/>
        <v>0</v>
      </c>
      <c r="G91" s="162">
        <f t="shared" si="17"/>
        <v>6636619.1149999993</v>
      </c>
      <c r="H91" s="162">
        <f t="shared" si="17"/>
        <v>-60000</v>
      </c>
      <c r="I91" s="162">
        <f t="shared" si="17"/>
        <v>4975348.9877855536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11729336</v>
      </c>
      <c r="E11" s="66">
        <f>'EAST-LRC-FLSH'!M11</f>
        <v>26612640.656129573</v>
      </c>
      <c r="F11" s="60">
        <f>'EAST-LRC-GL'!D11</f>
        <v>7358128</v>
      </c>
      <c r="G11" s="38">
        <f>'EAST-LRC-GL'!E11</f>
        <v>16322280.879999997</v>
      </c>
      <c r="H11" s="60">
        <f>F11-D11</f>
        <v>-4371208</v>
      </c>
      <c r="I11" s="38">
        <f>G11-E11</f>
        <v>-10290359.776129575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-238632.95999999999</v>
      </c>
      <c r="H12" s="60">
        <f>F12-D12</f>
        <v>0</v>
      </c>
      <c r="I12" s="38">
        <f>G12-E12</f>
        <v>-238632.95999999999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11729336</v>
      </c>
      <c r="E16" s="39">
        <f t="shared" si="1"/>
        <v>26612640.656129573</v>
      </c>
      <c r="F16" s="61">
        <f t="shared" si="1"/>
        <v>7358128</v>
      </c>
      <c r="G16" s="39">
        <f t="shared" si="1"/>
        <v>16083647.919999996</v>
      </c>
      <c r="H16" s="61">
        <f t="shared" si="1"/>
        <v>-4371208</v>
      </c>
      <c r="I16" s="39">
        <f t="shared" si="1"/>
        <v>-10528992.736129576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-11708048</v>
      </c>
      <c r="E19" s="66">
        <f>'EAST-LRC-FLSH'!M19</f>
        <v>-27388022</v>
      </c>
      <c r="F19" s="60">
        <f>'EAST-LRC-GL'!D19</f>
        <v>-942918</v>
      </c>
      <c r="G19" s="38">
        <f>'EAST-LRC-GL'!E19</f>
        <v>-1955285.6</v>
      </c>
      <c r="H19" s="60">
        <f>F19-D19</f>
        <v>10765130</v>
      </c>
      <c r="I19" s="38">
        <f>G19-E19</f>
        <v>25432736.399999999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36173</v>
      </c>
      <c r="G23" s="38">
        <f>'EAST-LRC-GL'!E23</f>
        <v>85698.98</v>
      </c>
      <c r="H23" s="60">
        <f t="shared" si="2"/>
        <v>36173</v>
      </c>
      <c r="I23" s="38">
        <f t="shared" si="2"/>
        <v>85698.98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-11708048</v>
      </c>
      <c r="E24" s="39">
        <f t="shared" si="3"/>
        <v>-27388022</v>
      </c>
      <c r="F24" s="61">
        <f t="shared" si="3"/>
        <v>-906745</v>
      </c>
      <c r="G24" s="39">
        <f t="shared" si="3"/>
        <v>-1869586.62</v>
      </c>
      <c r="H24" s="61">
        <f t="shared" si="3"/>
        <v>10801303</v>
      </c>
      <c r="I24" s="39">
        <f t="shared" si="3"/>
        <v>25518435.379999999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2415634</v>
      </c>
      <c r="G27" s="38">
        <f>'EAST-LRC-GL'!E27</f>
        <v>5667397.4100000001</v>
      </c>
      <c r="H27" s="60">
        <f>F27-D27</f>
        <v>2415634</v>
      </c>
      <c r="I27" s="38">
        <f>G27-E27</f>
        <v>5667397.4100000001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-9185598</v>
      </c>
      <c r="G28" s="38">
        <f>'EAST-LRC-GL'!E28</f>
        <v>-21655853.180000003</v>
      </c>
      <c r="H28" s="60">
        <f>F28-D28</f>
        <v>-9185598</v>
      </c>
      <c r="I28" s="38">
        <f>G28-E28</f>
        <v>-21655853.180000003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-6769964</v>
      </c>
      <c r="G29" s="70">
        <f t="shared" si="4"/>
        <v>-15988455.770000003</v>
      </c>
      <c r="H29" s="69">
        <f t="shared" si="4"/>
        <v>-6769964</v>
      </c>
      <c r="I29" s="70">
        <f t="shared" si="4"/>
        <v>-15988455.770000003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-223071</v>
      </c>
      <c r="G32" s="38">
        <f>'EAST-LRC-GL'!E32</f>
        <v>-486517.85</v>
      </c>
      <c r="H32" s="60">
        <f>F32-D32</f>
        <v>-223071</v>
      </c>
      <c r="I32" s="38">
        <f>G32-E32</f>
        <v>-486517.85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-223071</v>
      </c>
      <c r="G36" s="39">
        <f t="shared" si="6"/>
        <v>-486517.85</v>
      </c>
      <c r="H36" s="61">
        <f t="shared" si="6"/>
        <v>-223071</v>
      </c>
      <c r="I36" s="39">
        <f t="shared" si="6"/>
        <v>-486517.85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1573893</v>
      </c>
      <c r="E39" s="66">
        <f>'EAST-LRC-FLSH'!M39</f>
        <v>3368132</v>
      </c>
      <c r="F39" s="60">
        <f>'EAST-LRC-GL'!D39</f>
        <v>1604146</v>
      </c>
      <c r="G39" s="38">
        <f>'EAST-LRC-GL'!E39</f>
        <v>3432872.44</v>
      </c>
      <c r="H39" s="60">
        <f t="shared" ref="H39:I41" si="7">F39-D39</f>
        <v>30253</v>
      </c>
      <c r="I39" s="38">
        <f t="shared" si="7"/>
        <v>64740.439999999944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-1104551</v>
      </c>
      <c r="E40" s="66">
        <f>'EAST-LRC-FLSH'!M40</f>
        <v>-2363738</v>
      </c>
      <c r="F40" s="60">
        <f>'EAST-LRC-GL'!D40</f>
        <v>-1134989</v>
      </c>
      <c r="G40" s="38">
        <f>'EAST-LRC-GL'!E40</f>
        <v>-2428876.46</v>
      </c>
      <c r="H40" s="60">
        <f t="shared" si="7"/>
        <v>-30438</v>
      </c>
      <c r="I40" s="38">
        <f t="shared" si="7"/>
        <v>-65138.459999999963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-1104551</v>
      </c>
      <c r="E42" s="70">
        <f t="shared" si="8"/>
        <v>-2363738</v>
      </c>
      <c r="F42" s="69">
        <f t="shared" si="8"/>
        <v>-1134989</v>
      </c>
      <c r="G42" s="70">
        <f t="shared" si="8"/>
        <v>-2428876.46</v>
      </c>
      <c r="H42" s="69">
        <f t="shared" si="8"/>
        <v>-30438</v>
      </c>
      <c r="I42" s="70">
        <f t="shared" si="8"/>
        <v>-65138.459999999963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469342</v>
      </c>
      <c r="E43" s="39">
        <f t="shared" si="9"/>
        <v>1004394</v>
      </c>
      <c r="F43" s="61">
        <f t="shared" si="9"/>
        <v>469157</v>
      </c>
      <c r="G43" s="39">
        <f t="shared" si="9"/>
        <v>1003995.98</v>
      </c>
      <c r="H43" s="61">
        <f t="shared" si="9"/>
        <v>-185</v>
      </c>
      <c r="I43" s="39">
        <f t="shared" si="9"/>
        <v>-398.02000000001863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5161</v>
      </c>
      <c r="G45" s="38">
        <f>'EAST-LRC-GL'!E45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-550630</v>
      </c>
      <c r="E49" s="66">
        <f>'EAST-LRC-FLSH'!M49</f>
        <v>-1226176.9012440352</v>
      </c>
      <c r="F49" s="60">
        <f>'EAST-LRC-GL'!D49</f>
        <v>67334</v>
      </c>
      <c r="G49" s="38">
        <f>'EAST-LRC-GL'!E49</f>
        <v>146855.45500000002</v>
      </c>
      <c r="H49" s="60">
        <f>F49-D49</f>
        <v>617964</v>
      </c>
      <c r="I49" s="38">
        <f>G49-E49</f>
        <v>1373032.3562440353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-48792</v>
      </c>
      <c r="G51" s="38">
        <f>'EAST-LRC-GL'!E51</f>
        <v>-116050.98</v>
      </c>
      <c r="H51" s="60">
        <f>F51-D51</f>
        <v>-48792</v>
      </c>
      <c r="I51" s="38">
        <f>G51-E51</f>
        <v>-116050.98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-574244</v>
      </c>
      <c r="G54" s="38">
        <f>'EAST-LRC-GL'!E54</f>
        <v>-3961.47</v>
      </c>
      <c r="H54" s="60">
        <f>F54-D54</f>
        <v>-574244</v>
      </c>
      <c r="I54" s="38">
        <f>G54-E54</f>
        <v>-3961.47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-574244</v>
      </c>
      <c r="G56" s="39">
        <f t="shared" si="10"/>
        <v>-3961.47</v>
      </c>
      <c r="H56" s="61">
        <f t="shared" si="10"/>
        <v>-574244</v>
      </c>
      <c r="I56" s="39">
        <f t="shared" si="10"/>
        <v>-3961.47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3263597</v>
      </c>
      <c r="G59" s="38">
        <f>'EAST-LRC-GL'!E59</f>
        <v>71544.72</v>
      </c>
      <c r="H59" s="60">
        <f>F59-D59</f>
        <v>3263597</v>
      </c>
      <c r="I59" s="38">
        <f>G59-E59</f>
        <v>71544.72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170000</v>
      </c>
      <c r="H60" s="60">
        <f>F60-D60</f>
        <v>0</v>
      </c>
      <c r="I60" s="38">
        <f>G60-E60</f>
        <v>87473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3263597</v>
      </c>
      <c r="G61" s="70">
        <f t="shared" si="11"/>
        <v>241544.72</v>
      </c>
      <c r="H61" s="69">
        <f t="shared" si="11"/>
        <v>3263597</v>
      </c>
      <c r="I61" s="70">
        <f t="shared" si="11"/>
        <v>159017.72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-19968184</v>
      </c>
      <c r="G64" s="38">
        <f>'EAST-LRC-GL'!E64</f>
        <v>-2359601.39</v>
      </c>
      <c r="H64" s="60">
        <f>F64-D64</f>
        <v>-19968184</v>
      </c>
      <c r="I64" s="38">
        <f>G64-E64</f>
        <v>-2359601.39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19989553</v>
      </c>
      <c r="G65" s="38">
        <f>'EAST-LRC-GL'!E65</f>
        <v>2359055.08</v>
      </c>
      <c r="H65" s="60">
        <f>F65-D65</f>
        <v>19989553</v>
      </c>
      <c r="I65" s="38">
        <f>G65-E65</f>
        <v>2359055.08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21369</v>
      </c>
      <c r="G66" s="39">
        <f t="shared" si="12"/>
        <v>-546.31000000005588</v>
      </c>
      <c r="H66" s="61">
        <f t="shared" si="12"/>
        <v>21369</v>
      </c>
      <c r="I66" s="39">
        <f t="shared" si="12"/>
        <v>-546.31000000005588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-4811637.2451144625</v>
      </c>
      <c r="F82" s="71">
        <f>F16+F24+F29+F36+F43+F45+F47+F49</f>
        <v>0</v>
      </c>
      <c r="G82" s="72">
        <f>SUM(G72:G81)+G16+G24+G29+G36+G43+G45+G47+G49+G51+G56+G61+G66</f>
        <v>-978175.89500000631</v>
      </c>
      <c r="H82" s="71">
        <f>H16+H24+H29+H36+H43+H45+H47+H49</f>
        <v>60000</v>
      </c>
      <c r="I82" s="72">
        <f>SUM(I72:I81)+I16+I24+I29+I36+I43+I45+I47+I49+I51+I56+I61+I66</f>
        <v>3833461.3501144527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124514178</v>
      </c>
      <c r="E11" s="66">
        <f>'EAST-CON-FLSH'!M11</f>
        <v>285996049</v>
      </c>
      <c r="F11" s="60">
        <f>'EAST-CON-GL '!D11</f>
        <v>115920927</v>
      </c>
      <c r="G11" s="38">
        <f>'EAST-CON-GL '!E11</f>
        <v>271506035.71600002</v>
      </c>
      <c r="H11" s="60">
        <f>F11-D11</f>
        <v>-8593251</v>
      </c>
      <c r="I11" s="38">
        <f>G11-E11</f>
        <v>-14490013.283999979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-7900096.0700000003</v>
      </c>
      <c r="H12" s="60">
        <f>F12-D12</f>
        <v>0</v>
      </c>
      <c r="I12" s="38">
        <f>G12-E12</f>
        <v>-7900096.0700000003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35399361</v>
      </c>
      <c r="E13" s="66">
        <f>'EAST-CON-FLSH'!M13</f>
        <v>83539570</v>
      </c>
      <c r="F13" s="60">
        <f>'EAST-CON-GL '!D13</f>
        <v>37550214</v>
      </c>
      <c r="G13" s="38">
        <f>'EAST-CON-GL '!E13</f>
        <v>88583524</v>
      </c>
      <c r="H13" s="60">
        <f t="shared" ref="H13:I15" si="0">F13-D13</f>
        <v>2150853</v>
      </c>
      <c r="I13" s="38">
        <f t="shared" si="0"/>
        <v>5043954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879055.2699999999</v>
      </c>
      <c r="H15" s="60">
        <f t="shared" si="0"/>
        <v>0</v>
      </c>
      <c r="I15" s="38">
        <f t="shared" si="0"/>
        <v>879055.2699999999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159913539</v>
      </c>
      <c r="E16" s="39">
        <f t="shared" si="1"/>
        <v>369535123</v>
      </c>
      <c r="F16" s="61">
        <f t="shared" si="1"/>
        <v>153471141</v>
      </c>
      <c r="G16" s="39">
        <f t="shared" si="1"/>
        <v>353068518.91600001</v>
      </c>
      <c r="H16" s="61">
        <f t="shared" si="1"/>
        <v>-6442398</v>
      </c>
      <c r="I16" s="39">
        <f t="shared" si="1"/>
        <v>-16466604.08399998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-124749053</v>
      </c>
      <c r="E19" s="66">
        <f>'EAST-CON-FLSH'!M19</f>
        <v>-278449746</v>
      </c>
      <c r="F19" s="60">
        <f>'EAST-CON-GL '!D19</f>
        <v>-121317977</v>
      </c>
      <c r="G19" s="38">
        <f>'EAST-CON-GL '!E19</f>
        <v>-272484661.84999996</v>
      </c>
      <c r="H19" s="60">
        <f>F19-D19</f>
        <v>3431076</v>
      </c>
      <c r="I19" s="38">
        <f>G19-E19</f>
        <v>5965084.1500000358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-35716476</v>
      </c>
      <c r="E21" s="66">
        <f>'EAST-CON-FLSH'!M21</f>
        <v>-87339489</v>
      </c>
      <c r="F21" s="60">
        <f>'EAST-CON-GL '!D21</f>
        <v>-37105350</v>
      </c>
      <c r="G21" s="38">
        <f>'EAST-CON-GL '!E21</f>
        <v>-90701481</v>
      </c>
      <c r="H21" s="60">
        <f t="shared" ref="H21:I23" si="2">F21-D21</f>
        <v>-1388874</v>
      </c>
      <c r="I21" s="38">
        <f t="shared" si="2"/>
        <v>-3361992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126324</v>
      </c>
      <c r="E23" s="66">
        <f>'EAST-CON-FLSH'!M23</f>
        <v>294758</v>
      </c>
      <c r="F23" s="60">
        <f>'EAST-CON-GL '!D23</f>
        <v>106398</v>
      </c>
      <c r="G23" s="38">
        <f>'EAST-CON-GL '!E23</f>
        <v>1924408.4760000005</v>
      </c>
      <c r="H23" s="60">
        <f t="shared" si="2"/>
        <v>-19926</v>
      </c>
      <c r="I23" s="38">
        <f t="shared" si="2"/>
        <v>1629650.4760000005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-160339205</v>
      </c>
      <c r="E24" s="39">
        <f t="shared" si="3"/>
        <v>-365494477</v>
      </c>
      <c r="F24" s="61">
        <f t="shared" si="3"/>
        <v>-158316929</v>
      </c>
      <c r="G24" s="39">
        <f t="shared" si="3"/>
        <v>-357525436.32399994</v>
      </c>
      <c r="H24" s="61">
        <f t="shared" si="3"/>
        <v>2022276</v>
      </c>
      <c r="I24" s="39">
        <f t="shared" si="3"/>
        <v>7969040.6760000372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11234775</v>
      </c>
      <c r="G27" s="38">
        <f>'EAST-CON-GL '!E27</f>
        <v>26428475.219999999</v>
      </c>
      <c r="H27" s="60">
        <f>F27-D27</f>
        <v>11234775</v>
      </c>
      <c r="I27" s="38">
        <f>G27-E27</f>
        <v>26428475.219999999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-12168548</v>
      </c>
      <c r="G28" s="38">
        <f>'EAST-CON-GL '!E28</f>
        <v>-28534044.970000006</v>
      </c>
      <c r="H28" s="60">
        <f>F28-D28</f>
        <v>-12168548</v>
      </c>
      <c r="I28" s="38">
        <f>G28-E28</f>
        <v>-28534044.970000006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-933773</v>
      </c>
      <c r="G29" s="70">
        <f t="shared" si="4"/>
        <v>-2105569.7500000075</v>
      </c>
      <c r="H29" s="69">
        <f t="shared" si="4"/>
        <v>-933773</v>
      </c>
      <c r="I29" s="70">
        <f t="shared" si="4"/>
        <v>-2105569.7500000075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-50195</v>
      </c>
      <c r="E32" s="66">
        <f>'EAST-CON-FLSH'!M32</f>
        <v>-134108</v>
      </c>
      <c r="F32" s="60">
        <f>'EAST-CON-GL '!D32</f>
        <v>-446506</v>
      </c>
      <c r="G32" s="38">
        <f>'EAST-CON-GL '!E32</f>
        <v>-973829.57599999965</v>
      </c>
      <c r="H32" s="60">
        <f>F32-D32</f>
        <v>-396311</v>
      </c>
      <c r="I32" s="38">
        <f>G32-E32</f>
        <v>-839721.57599999965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343047</v>
      </c>
      <c r="E33" s="66">
        <f>'EAST-CON-FLSH'!M33</f>
        <v>752294</v>
      </c>
      <c r="F33" s="60">
        <f>'EAST-CON-GL '!D33</f>
        <v>-5677172</v>
      </c>
      <c r="G33" s="38">
        <f>'EAST-CON-GL '!E33</f>
        <v>-754280.75</v>
      </c>
      <c r="H33" s="60">
        <f t="shared" ref="H33:I35" si="5">F33-D33</f>
        <v>-6020219</v>
      </c>
      <c r="I33" s="38">
        <f t="shared" si="5"/>
        <v>-1506574.75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-411686</v>
      </c>
      <c r="E34" s="66">
        <f>'EAST-CON-FLSH'!M34</f>
        <v>-904101</v>
      </c>
      <c r="F34" s="60">
        <f>'EAST-CON-GL '!D34</f>
        <v>195021</v>
      </c>
      <c r="G34" s="38">
        <f>'EAST-CON-GL '!E34</f>
        <v>422646.96</v>
      </c>
      <c r="H34" s="60">
        <f t="shared" si="5"/>
        <v>606707</v>
      </c>
      <c r="I34" s="38">
        <f t="shared" si="5"/>
        <v>1326747.96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-177265</v>
      </c>
      <c r="E35" s="66">
        <f>'EAST-CON-FLSH'!M35</f>
        <v>-380601</v>
      </c>
      <c r="F35" s="60">
        <f>'EAST-CON-GL '!D35</f>
        <v>0</v>
      </c>
      <c r="G35" s="38">
        <f>'EAST-CON-GL '!E35</f>
        <v>0</v>
      </c>
      <c r="H35" s="60">
        <f t="shared" si="5"/>
        <v>177265</v>
      </c>
      <c r="I35" s="38">
        <f t="shared" si="5"/>
        <v>380601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-5928657</v>
      </c>
      <c r="G36" s="39">
        <f t="shared" si="6"/>
        <v>-1305463.3659999997</v>
      </c>
      <c r="H36" s="61">
        <f t="shared" si="6"/>
        <v>-5632558</v>
      </c>
      <c r="I36" s="39">
        <f t="shared" si="6"/>
        <v>-638947.36599999946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1573893</v>
      </c>
      <c r="E39" s="66">
        <f>'EAST-CON-FLSH'!M39</f>
        <v>3368132</v>
      </c>
      <c r="F39" s="60">
        <f>'EAST-CON-GL '!D39</f>
        <v>11803726</v>
      </c>
      <c r="G39" s="38">
        <f>'EAST-CON-GL '!E39</f>
        <v>25678080.439999998</v>
      </c>
      <c r="H39" s="60">
        <f t="shared" ref="H39:I41" si="7">F39-D39</f>
        <v>10229833</v>
      </c>
      <c r="I39" s="38">
        <f t="shared" si="7"/>
        <v>22309948.439999998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-1086835</v>
      </c>
      <c r="E40" s="66">
        <f>'EAST-CON-FLSH'!M40</f>
        <v>-2325826</v>
      </c>
      <c r="F40" s="60">
        <f>'EAST-CON-GL '!D40</f>
        <v>-765690</v>
      </c>
      <c r="G40" s="38">
        <f>'EAST-CON-GL '!E40</f>
        <v>-2879318.66</v>
      </c>
      <c r="H40" s="60">
        <f t="shared" si="7"/>
        <v>321145</v>
      </c>
      <c r="I40" s="38">
        <f t="shared" si="7"/>
        <v>-553492.66000000015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-1086835</v>
      </c>
      <c r="E42" s="70">
        <f t="shared" si="8"/>
        <v>-2325826</v>
      </c>
      <c r="F42" s="69">
        <f t="shared" si="8"/>
        <v>-765690</v>
      </c>
      <c r="G42" s="70">
        <f t="shared" si="8"/>
        <v>-2879318.66</v>
      </c>
      <c r="H42" s="69">
        <f t="shared" si="8"/>
        <v>321145</v>
      </c>
      <c r="I42" s="70">
        <f t="shared" si="8"/>
        <v>-553492.66000000015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487058</v>
      </c>
      <c r="E43" s="39">
        <f t="shared" si="9"/>
        <v>1042306</v>
      </c>
      <c r="F43" s="61">
        <f t="shared" si="9"/>
        <v>11038036</v>
      </c>
      <c r="G43" s="39">
        <f t="shared" si="9"/>
        <v>22798761.779999997</v>
      </c>
      <c r="H43" s="61">
        <f t="shared" si="9"/>
        <v>10550978</v>
      </c>
      <c r="I43" s="39">
        <f t="shared" si="9"/>
        <v>21756455.779999997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5161</v>
      </c>
      <c r="G45" s="38">
        <f>'EAST-CON-GL 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234707</v>
      </c>
      <c r="E49" s="66">
        <f>'EAST-CON-FLSH'!M49</f>
        <v>511895.96699999995</v>
      </c>
      <c r="F49" s="60">
        <f>'EAST-CON-GL '!D49</f>
        <v>665021</v>
      </c>
      <c r="G49" s="38">
        <f>'EAST-CON-GL '!E49</f>
        <v>1450410.8</v>
      </c>
      <c r="H49" s="60">
        <f>F49-D49</f>
        <v>430314</v>
      </c>
      <c r="I49" s="38">
        <f>G49-E49</f>
        <v>938514.8330000001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-126324</v>
      </c>
      <c r="E51" s="66">
        <f>'EAST-CON-FLSH'!M51</f>
        <v>-294758</v>
      </c>
      <c r="F51" s="60">
        <f>'EAST-CON-GL '!D51</f>
        <v>-891850</v>
      </c>
      <c r="G51" s="38">
        <f>'EAST-CON-GL '!E51</f>
        <v>-1954760.4760000005</v>
      </c>
      <c r="H51" s="60">
        <f>F51-D51</f>
        <v>-765526</v>
      </c>
      <c r="I51" s="38">
        <f>G51-E51</f>
        <v>-1660002.4760000005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-528962</v>
      </c>
      <c r="F54" s="60">
        <f>'EAST-CON-GL '!D54</f>
        <v>-81151660</v>
      </c>
      <c r="G54" s="38">
        <f>'EAST-CON-GL '!E54</f>
        <v>-127049.44000000003</v>
      </c>
      <c r="H54" s="60">
        <f>F54-D54</f>
        <v>-81151660</v>
      </c>
      <c r="I54" s="38">
        <f>G54-E54</f>
        <v>401912.55999999994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-474120</v>
      </c>
      <c r="F55" s="60">
        <f>'EAST-CON-GL '!D55</f>
        <v>0</v>
      </c>
      <c r="G55" s="38">
        <f>'EAST-CON-GL '!E55</f>
        <v>-1291824.3600000001</v>
      </c>
      <c r="H55" s="60">
        <f>F55-D55</f>
        <v>0</v>
      </c>
      <c r="I55" s="38">
        <f>G55-E55</f>
        <v>-817704.3600000001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-81151660</v>
      </c>
      <c r="G56" s="39">
        <f t="shared" si="10"/>
        <v>-1418873.8</v>
      </c>
      <c r="H56" s="61">
        <f t="shared" si="10"/>
        <v>-81151660</v>
      </c>
      <c r="I56" s="39">
        <f t="shared" si="10"/>
        <v>-415791.80000000016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3263597</v>
      </c>
      <c r="G59" s="38">
        <f>'EAST-CON-GL '!E59</f>
        <v>118000.78999999998</v>
      </c>
      <c r="H59" s="60">
        <f>F59-D59</f>
        <v>3263597</v>
      </c>
      <c r="I59" s="38">
        <f>G59-E59</f>
        <v>118000.78999999998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170000</v>
      </c>
      <c r="H60" s="60">
        <f>F60-D60</f>
        <v>0</v>
      </c>
      <c r="I60" s="38">
        <f>G60-E60</f>
        <v>170000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288000.78999999998</v>
      </c>
      <c r="H61" s="69">
        <f t="shared" si="11"/>
        <v>3263597</v>
      </c>
      <c r="I61" s="70">
        <f t="shared" si="11"/>
        <v>288000.78999999998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42944</v>
      </c>
      <c r="F64" s="60">
        <f>'EAST-CON-GL '!D64</f>
        <v>-19968184</v>
      </c>
      <c r="G64" s="38">
        <f>'EAST-CON-GL '!E64</f>
        <v>-2359601.39</v>
      </c>
      <c r="H64" s="60">
        <f>F64-D64</f>
        <v>-19968184</v>
      </c>
      <c r="I64" s="38">
        <f>G64-E64</f>
        <v>-2402545.39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19989553</v>
      </c>
      <c r="G65" s="38">
        <f>'EAST-CON-GL '!E65</f>
        <v>2359055.08</v>
      </c>
      <c r="H65" s="60">
        <f>F65-D65</f>
        <v>19989553</v>
      </c>
      <c r="I65" s="38">
        <f>G65-E65</f>
        <v>2359055.08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21369</v>
      </c>
      <c r="G66" s="39">
        <f t="shared" si="12"/>
        <v>-546.31000000005588</v>
      </c>
      <c r="H66" s="61">
        <f t="shared" si="12"/>
        <v>21369</v>
      </c>
      <c r="I66" s="39">
        <f t="shared" si="12"/>
        <v>-43490.310000000056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5194257.0563999992</v>
      </c>
      <c r="F70" s="60">
        <f>'EAST-CON-GL '!D70</f>
        <v>0</v>
      </c>
      <c r="G70" s="38">
        <f>'EAST-CON-GL 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-15409479.086300001</v>
      </c>
      <c r="F71" s="60">
        <f>'EAST-CON-GL '!D71</f>
        <v>0</v>
      </c>
      <c r="G71" s="38">
        <f>'EAST-CON-GL '!E71</f>
        <v>-15355188</v>
      </c>
      <c r="H71" s="60">
        <f>F71-D71</f>
        <v>0</v>
      </c>
      <c r="I71" s="38">
        <f>G71-E71</f>
        <v>54291.086300000548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6568205</v>
      </c>
      <c r="F74" s="60">
        <f>'EAST-CON-GL '!D74</f>
        <v>0</v>
      </c>
      <c r="G74" s="38">
        <f>'EAST-CON-GL '!E74</f>
        <v>6551482</v>
      </c>
      <c r="H74" s="60">
        <f t="shared" ref="H74:I79" si="14">F74-D74</f>
        <v>0</v>
      </c>
      <c r="I74" s="38">
        <f t="shared" si="14"/>
        <v>-16723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111621</v>
      </c>
      <c r="F75" s="60">
        <f>'EAST-CON-GL '!D75</f>
        <v>0</v>
      </c>
      <c r="G75" s="38">
        <f>'EAST-CON-GL '!E75</f>
        <v>111600</v>
      </c>
      <c r="H75" s="60">
        <f t="shared" si="14"/>
        <v>0</v>
      </c>
      <c r="I75" s="38">
        <f t="shared" si="14"/>
        <v>-21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-10489</v>
      </c>
      <c r="F76" s="60">
        <f>'EAST-CON-GL '!D76</f>
        <v>0</v>
      </c>
      <c r="G76" s="38">
        <f>'EAST-CON-GL '!E76</f>
        <v>-3806.43</v>
      </c>
      <c r="H76" s="60">
        <f t="shared" si="14"/>
        <v>0</v>
      </c>
      <c r="I76" s="38">
        <f t="shared" si="14"/>
        <v>6682.57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-3933809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51367</v>
      </c>
      <c r="F81" s="60">
        <f>'EAST-CON-GL '!D81</f>
        <v>0</v>
      </c>
      <c r="G81" s="38">
        <f>'EAST-CON-GL '!E81</f>
        <v>0.30000000000654836</v>
      </c>
      <c r="H81" s="60">
        <f>F81-D81</f>
        <v>0</v>
      </c>
      <c r="I81" s="38">
        <f>G81-E81</f>
        <v>-51366.7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-3730367.1179000214</v>
      </c>
      <c r="F82" s="109">
        <f>F16+F24+F29+F36+F43+F45+F47+F49</f>
        <v>0</v>
      </c>
      <c r="G82" s="110">
        <f>SUM(G72:G81)+G16+G24+G29+G36+G43+G45+G47+G49+G51+G56+G61+G66</f>
        <v>5897443.220000064</v>
      </c>
      <c r="H82" s="109">
        <f>H16+H24+H29+H36+H43+H45+H47+H49</f>
        <v>0</v>
      </c>
      <c r="I82" s="110">
        <f>SUM(I72:I81)+I16+I24+I29+I36+I43+I45+I47+I49+I51+I56+I61+I66</f>
        <v>9627810.3379000463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'EAST-CON-FLSH'!L86</f>
        <v>0</v>
      </c>
      <c r="E86" s="147">
        <f>'EAST-CON-FLSH'!M86</f>
        <v>580000</v>
      </c>
      <c r="F86" s="147">
        <f>'EAST-CON-GL '!D86</f>
        <v>0</v>
      </c>
      <c r="G86" s="147">
        <f>'EAST-CON-GL 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5">
      <c r="A87" s="146"/>
      <c r="B87" s="3"/>
      <c r="C87" s="10" t="s">
        <v>71</v>
      </c>
      <c r="D87" s="148">
        <f>'EAST-CON-FLSH'!L87</f>
        <v>0</v>
      </c>
      <c r="E87" s="148">
        <f>'EAST-CON-FLSH'!M87</f>
        <v>0</v>
      </c>
      <c r="F87" s="148">
        <f>'EAST-CON-GL '!D87</f>
        <v>0</v>
      </c>
      <c r="G87" s="148">
        <f>'EAST-CON-GL 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5">
      <c r="A88" s="146"/>
      <c r="B88" s="3"/>
      <c r="C88" s="10" t="s">
        <v>72</v>
      </c>
      <c r="D88" s="149">
        <f>'EAST-CON-FLSH'!L88</f>
        <v>0</v>
      </c>
      <c r="E88" s="149">
        <f>'EAST-CON-FLSH'!M88</f>
        <v>0</v>
      </c>
      <c r="F88" s="149">
        <f>'EAST-CON-GL '!D88</f>
        <v>0</v>
      </c>
      <c r="G88" s="149">
        <f>'EAST-CON-GL '!E88</f>
        <v>0</v>
      </c>
      <c r="H88" s="149">
        <f t="shared" si="15"/>
        <v>0</v>
      </c>
      <c r="I88" s="149">
        <f t="shared" si="15"/>
        <v>0</v>
      </c>
    </row>
    <row r="89" spans="1:63" ht="15" x14ac:dyDescent="0.25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580000</v>
      </c>
      <c r="F89" s="157">
        <f t="shared" si="16"/>
        <v>0</v>
      </c>
      <c r="G89" s="157">
        <f t="shared" si="16"/>
        <v>-239000</v>
      </c>
      <c r="H89" s="157">
        <f t="shared" si="16"/>
        <v>0</v>
      </c>
      <c r="I89" s="157">
        <f t="shared" si="16"/>
        <v>-819000</v>
      </c>
    </row>
    <row r="90" spans="1:63" x14ac:dyDescent="0.25">
      <c r="A90" s="4"/>
      <c r="B90" s="3"/>
      <c r="F90" s="31"/>
      <c r="G90" s="31"/>
      <c r="H90" s="31"/>
      <c r="I90" s="31"/>
    </row>
    <row r="91" spans="1:63" s="129" customFormat="1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-3150367.1179000214</v>
      </c>
      <c r="F91" s="162">
        <f t="shared" si="17"/>
        <v>0</v>
      </c>
      <c r="G91" s="162">
        <f t="shared" si="17"/>
        <v>5658443.220000064</v>
      </c>
      <c r="H91" s="162">
        <f t="shared" si="17"/>
        <v>0</v>
      </c>
      <c r="I91" s="162">
        <f t="shared" si="17"/>
        <v>8808810.3379000463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6"/>
      <c r="B94" s="167"/>
      <c r="D94" s="31"/>
      <c r="E94" s="14">
        <f>+'EAST-EGM-VAR'!E91+'EAST-LRC-VAR'!E82</f>
        <v>-3150367.1179000475</v>
      </c>
      <c r="G94" s="14">
        <f>+'EAST-EGM-VAR'!G91+'EAST-LRC-VAR'!G82</f>
        <v>5658443.2199999932</v>
      </c>
      <c r="I94" s="14">
        <f>+'EAST-EGM-VAR'!I91+'EAST-LRC-VAR'!I82</f>
        <v>8808810.3379000053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12127030</v>
      </c>
      <c r="E11" s="66">
        <f>'TX-EGM-FLSH'!M11</f>
        <v>26103308.859999999</v>
      </c>
      <c r="F11" s="60">
        <f>'TX-EGM-GL'!D11</f>
        <v>13499225</v>
      </c>
      <c r="G11" s="38">
        <f>'TX-EGM-GL'!E11</f>
        <v>35575659.840000004</v>
      </c>
      <c r="H11" s="60">
        <f>F11-D11</f>
        <v>1372195</v>
      </c>
      <c r="I11" s="38">
        <f>G11-E11</f>
        <v>9472350.9800000042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-5054848.2300000004</v>
      </c>
      <c r="H12" s="60">
        <f>F12-D12</f>
        <v>0</v>
      </c>
      <c r="I12" s="38">
        <f>G12-E12</f>
        <v>-5054848.2300000004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494916</v>
      </c>
      <c r="E13" s="66">
        <f>'TX-EGM-FLSH'!M13</f>
        <v>1135536.7</v>
      </c>
      <c r="F13" s="60">
        <f>'TX-EGM-GL'!D13</f>
        <v>5959904</v>
      </c>
      <c r="G13" s="38">
        <f>'TX-EGM-GL'!E13</f>
        <v>13663716</v>
      </c>
      <c r="H13" s="60">
        <f t="shared" ref="H13:I15" si="0">F13-D13</f>
        <v>5464988</v>
      </c>
      <c r="I13" s="38">
        <f t="shared" si="0"/>
        <v>12528179.300000001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12621946</v>
      </c>
      <c r="E16" s="39">
        <f t="shared" si="1"/>
        <v>27238845.559999999</v>
      </c>
      <c r="F16" s="61">
        <f t="shared" si="1"/>
        <v>19459129</v>
      </c>
      <c r="G16" s="39">
        <f t="shared" si="1"/>
        <v>44184527.609999999</v>
      </c>
      <c r="H16" s="61">
        <f t="shared" si="1"/>
        <v>6837183</v>
      </c>
      <c r="I16" s="39">
        <f t="shared" si="1"/>
        <v>16945682.050000004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-565017</v>
      </c>
      <c r="E19" s="66">
        <f>'TX-EGM-FLSH'!M19</f>
        <v>-1238595.26</v>
      </c>
      <c r="F19" s="60">
        <f>'TX-EGM-GL'!D19</f>
        <v>-564411</v>
      </c>
      <c r="G19" s="38">
        <f>'TX-EGM-GL'!E19</f>
        <v>-1244749.33</v>
      </c>
      <c r="H19" s="60">
        <f>F19-D19</f>
        <v>606</v>
      </c>
      <c r="I19" s="38">
        <f>G19-E19</f>
        <v>-6154.0700000000652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2154749.11</v>
      </c>
      <c r="H20" s="60">
        <f>F20-D20</f>
        <v>0</v>
      </c>
      <c r="I20" s="38">
        <f>G20-E20</f>
        <v>2154749.11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-20000</v>
      </c>
      <c r="E21" s="66">
        <f>'TX-EGM-FLSH'!M21</f>
        <v>-41600</v>
      </c>
      <c r="F21" s="60">
        <f>'TX-EGM-GL'!D21</f>
        <v>-5959904</v>
      </c>
      <c r="G21" s="38">
        <f>'TX-EGM-GL'!E21</f>
        <v>-13663716</v>
      </c>
      <c r="H21" s="60">
        <f t="shared" ref="H21:I23" si="2">F21-D21</f>
        <v>-5939904</v>
      </c>
      <c r="I21" s="38">
        <f t="shared" si="2"/>
        <v>-13622116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5</v>
      </c>
      <c r="E23" s="66">
        <f>'TX-EGM-FLSH'!M23</f>
        <v>11</v>
      </c>
      <c r="F23" s="60">
        <f>'TX-EGM-GL'!D23</f>
        <v>4777</v>
      </c>
      <c r="G23" s="38">
        <f>'TX-EGM-GL'!E23</f>
        <v>9778.5190000000002</v>
      </c>
      <c r="H23" s="60">
        <f t="shared" si="2"/>
        <v>4772</v>
      </c>
      <c r="I23" s="38">
        <f t="shared" si="2"/>
        <v>9767.5190000000002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-585012</v>
      </c>
      <c r="E24" s="39">
        <f t="shared" si="3"/>
        <v>-1280184.26</v>
      </c>
      <c r="F24" s="61">
        <f t="shared" si="3"/>
        <v>-6519538</v>
      </c>
      <c r="G24" s="39">
        <f t="shared" si="3"/>
        <v>-12743937.701000001</v>
      </c>
      <c r="H24" s="61">
        <f t="shared" si="3"/>
        <v>-5934526</v>
      </c>
      <c r="I24" s="39">
        <f t="shared" si="3"/>
        <v>-11463753.441000002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8946474</v>
      </c>
      <c r="E27" s="66">
        <f>'TX-EGM-FLSH'!M27</f>
        <v>20485312.329999998</v>
      </c>
      <c r="F27" s="60">
        <f>'TX-EGM-GL'!D27</f>
        <v>2999547</v>
      </c>
      <c r="G27" s="38">
        <f>'TX-EGM-GL'!E27</f>
        <v>6852685.8199999994</v>
      </c>
      <c r="H27" s="60">
        <f>F27-D27</f>
        <v>-5946927</v>
      </c>
      <c r="I27" s="38">
        <f>G27-E27</f>
        <v>-13632626.509999998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-13154986</v>
      </c>
      <c r="E28" s="66">
        <f>'TX-EGM-FLSH'!M28</f>
        <v>-29688203.200000003</v>
      </c>
      <c r="F28" s="60">
        <f>'TX-EGM-GL'!D28</f>
        <v>-15842286</v>
      </c>
      <c r="G28" s="38">
        <f>'TX-EGM-GL'!E28</f>
        <v>-36292194.670000002</v>
      </c>
      <c r="H28" s="60">
        <f>F28-D28</f>
        <v>-2687300</v>
      </c>
      <c r="I28" s="38">
        <f>G28-E28</f>
        <v>-6603991.4699999988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-4208512</v>
      </c>
      <c r="E29" s="70">
        <f t="shared" si="4"/>
        <v>-9202890.8700000048</v>
      </c>
      <c r="F29" s="69">
        <f t="shared" si="4"/>
        <v>-12842739</v>
      </c>
      <c r="G29" s="70">
        <f t="shared" si="4"/>
        <v>-29439508.850000001</v>
      </c>
      <c r="H29" s="69">
        <f t="shared" si="4"/>
        <v>-8634227</v>
      </c>
      <c r="I29" s="70">
        <f t="shared" si="4"/>
        <v>-20236617.979999997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-2807</v>
      </c>
      <c r="G32" s="38">
        <f>'TX-EGM-GL'!E32</f>
        <v>-5745.9759999992175</v>
      </c>
      <c r="H32" s="60">
        <f>F32-D32</f>
        <v>-2807</v>
      </c>
      <c r="I32" s="38">
        <f>G32-E32</f>
        <v>-5745.9759999992175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-2807</v>
      </c>
      <c r="G36" s="39">
        <f t="shared" si="6"/>
        <v>-5745.9759999992175</v>
      </c>
      <c r="H36" s="61">
        <f t="shared" si="6"/>
        <v>-2807</v>
      </c>
      <c r="I36" s="39">
        <f t="shared" si="6"/>
        <v>-5745.9759999992175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-557916</v>
      </c>
      <c r="E40" s="66">
        <f>'TX-EGM-FLSH'!M40</f>
        <v>-1276941.74</v>
      </c>
      <c r="F40" s="60">
        <f>'TX-EGM-GL'!D40</f>
        <v>-567916</v>
      </c>
      <c r="G40" s="38">
        <f>'TX-EGM-GL'!E40</f>
        <v>-1330214.3899999999</v>
      </c>
      <c r="H40" s="60">
        <f t="shared" si="7"/>
        <v>-10000</v>
      </c>
      <c r="I40" s="38">
        <f t="shared" si="7"/>
        <v>-53272.649999999907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-557916</v>
      </c>
      <c r="E42" s="70">
        <f t="shared" si="8"/>
        <v>-1276941.74</v>
      </c>
      <c r="F42" s="69">
        <f t="shared" si="8"/>
        <v>-567916</v>
      </c>
      <c r="G42" s="70">
        <f t="shared" si="8"/>
        <v>-1330214.3899999999</v>
      </c>
      <c r="H42" s="69">
        <f t="shared" si="8"/>
        <v>-10000</v>
      </c>
      <c r="I42" s="70">
        <f t="shared" si="8"/>
        <v>-53272.649999999907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-557916</v>
      </c>
      <c r="E43" s="39">
        <f t="shared" si="9"/>
        <v>-1276941.74</v>
      </c>
      <c r="F43" s="61">
        <f t="shared" si="9"/>
        <v>-567916</v>
      </c>
      <c r="G43" s="39">
        <f t="shared" si="9"/>
        <v>-1330214.3899999999</v>
      </c>
      <c r="H43" s="61">
        <f t="shared" si="9"/>
        <v>-10000</v>
      </c>
      <c r="I43" s="39">
        <f t="shared" si="9"/>
        <v>-53272.649999999907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-7270506</v>
      </c>
      <c r="E49" s="66">
        <f>'TX-EGM-FLSH'!M49</f>
        <v>-14886324.301463248</v>
      </c>
      <c r="F49" s="60">
        <f>'TX-EGM-GL'!D49</f>
        <v>473871</v>
      </c>
      <c r="G49" s="38">
        <f>'TX-EGM-GL'!E49</f>
        <v>970026.10899999994</v>
      </c>
      <c r="H49" s="60">
        <f>F49-D49</f>
        <v>7744377</v>
      </c>
      <c r="I49" s="38">
        <f>G49-E49</f>
        <v>15856350.410463247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-5</v>
      </c>
      <c r="E51" s="66">
        <f>'TX-EGM-FLSH'!M51</f>
        <v>0</v>
      </c>
      <c r="F51" s="60">
        <f>'TX-EGM-GL'!D51</f>
        <v>-4777</v>
      </c>
      <c r="G51" s="38">
        <f>'TX-EGM-GL'!E51</f>
        <v>-9778.5190000000002</v>
      </c>
      <c r="H51" s="60">
        <f>F51-D51</f>
        <v>-4772</v>
      </c>
      <c r="I51" s="38">
        <f>G51-E51</f>
        <v>-9778.5190000000002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-165443</v>
      </c>
      <c r="F54" s="60">
        <f>'TX-EGM-GL'!D54</f>
        <v>-14739571</v>
      </c>
      <c r="G54" s="38">
        <f>'TX-EGM-GL'!E54</f>
        <v>-521694.73999999987</v>
      </c>
      <c r="H54" s="60">
        <f>F54-D54</f>
        <v>-14739571</v>
      </c>
      <c r="I54" s="38">
        <f>G54-E54</f>
        <v>-356251.73999999987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-1</v>
      </c>
      <c r="G55" s="38">
        <f>'TX-EGM-GL'!E55</f>
        <v>-143300</v>
      </c>
      <c r="H55" s="60">
        <f>F55-D55</f>
        <v>-1</v>
      </c>
      <c r="I55" s="38">
        <f>G55-E55</f>
        <v>-143300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-165443</v>
      </c>
      <c r="F56" s="61">
        <f t="shared" si="10"/>
        <v>-14739572</v>
      </c>
      <c r="G56" s="39">
        <f t="shared" si="10"/>
        <v>-664994.73999999987</v>
      </c>
      <c r="H56" s="61">
        <f t="shared" si="10"/>
        <v>-14739572</v>
      </c>
      <c r="I56" s="39">
        <f t="shared" si="10"/>
        <v>-499551.73999999987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-33642.340000000004</v>
      </c>
      <c r="H64" s="60">
        <f>F64-D64</f>
        <v>0</v>
      </c>
      <c r="I64" s="38">
        <f>G64-E64</f>
        <v>-33642.340000000004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-33642.340000000004</v>
      </c>
      <c r="H66" s="61">
        <f t="shared" si="12"/>
        <v>0</v>
      </c>
      <c r="I66" s="39">
        <f t="shared" si="12"/>
        <v>-33642.340000000004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-848403</v>
      </c>
      <c r="F70" s="60">
        <f>'TX-EGM-GL'!D70</f>
        <v>0</v>
      </c>
      <c r="G70" s="38">
        <f>'TX-EGM-GL'!E70</f>
        <v>-739518.78</v>
      </c>
      <c r="H70" s="60">
        <f>F70-D70</f>
        <v>0</v>
      </c>
      <c r="I70" s="38">
        <f>G70-E70</f>
        <v>108884.21999999997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2098676</v>
      </c>
      <c r="F71" s="60">
        <f>'TX-EGM-GL'!D71</f>
        <v>0</v>
      </c>
      <c r="G71" s="38">
        <f>'TX-EGM-GL'!E71</f>
        <v>1210109</v>
      </c>
      <c r="H71" s="60">
        <f>F71-D71</f>
        <v>0</v>
      </c>
      <c r="I71" s="38">
        <f>G71-E71</f>
        <v>-888567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1250273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-779682.78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-287608.71999999997</v>
      </c>
      <c r="F74" s="60">
        <f>'TX-EGM-GL'!D74</f>
        <v>0</v>
      </c>
      <c r="G74" s="38">
        <f>'TX-EGM-GL'!E74</f>
        <v>0</v>
      </c>
      <c r="H74" s="60">
        <f t="shared" ref="H74:I79" si="14">F74-D74</f>
        <v>0</v>
      </c>
      <c r="I74" s="38">
        <f t="shared" si="14"/>
        <v>287608.71999999997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0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-875.02</v>
      </c>
      <c r="H76" s="60">
        <f t="shared" si="14"/>
        <v>0</v>
      </c>
      <c r="I76" s="38">
        <f t="shared" si="14"/>
        <v>-875.02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0</v>
      </c>
      <c r="F81" s="60">
        <f>'TX-EGM-GL'!D81</f>
        <v>0</v>
      </c>
      <c r="G81" s="38">
        <f>'TX-EGM-GL'!E81</f>
        <v>-1000000</v>
      </c>
      <c r="H81" s="60">
        <f>F81-D81</f>
        <v>0</v>
      </c>
      <c r="I81" s="38">
        <f>G81-E81</f>
        <v>-1000000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1389725.668536745</v>
      </c>
      <c r="F82" s="109">
        <f>F16+F24+F29+F36+F43+F45+F47+F49</f>
        <v>0</v>
      </c>
      <c r="G82" s="110">
        <f>SUM(G72:G81)+G16+G24+G29+G36+G43+G45+G47+G49+G51+G56+G61+G66</f>
        <v>396446.40300000034</v>
      </c>
      <c r="H82" s="109">
        <f>H16+H24+H29+H36+H43+H45+H47+H49</f>
        <v>0</v>
      </c>
      <c r="I82" s="110">
        <f>SUM(I72:I81)+I16+I24+I29+I36+I43+I45+I47+I49+I51+I56+I61+I66</f>
        <v>-993279.26553674636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'TX-EGM-FLSH'!L86</f>
        <v>0</v>
      </c>
      <c r="E86" s="147">
        <f>'TX-EGM-FLSH'!M86</f>
        <v>9167000</v>
      </c>
      <c r="F86" s="147">
        <f>'TX-EGM-GL'!D86</f>
        <v>0</v>
      </c>
      <c r="G86" s="147">
        <f>'TX-EGM-GL'!E86</f>
        <v>0</v>
      </c>
      <c r="H86" s="147">
        <f t="shared" ref="H86:I88" si="15">F86-D86</f>
        <v>0</v>
      </c>
      <c r="I86" s="147">
        <f t="shared" si="15"/>
        <v>-9167000</v>
      </c>
    </row>
    <row r="87" spans="1:63" x14ac:dyDescent="0.25">
      <c r="A87" s="146"/>
      <c r="B87" s="3"/>
      <c r="C87" s="10" t="s">
        <v>71</v>
      </c>
      <c r="D87" s="148">
        <f>'TX-EGM-FLSH'!L87</f>
        <v>0</v>
      </c>
      <c r="E87" s="148">
        <f>'TX-EGM-FLSH'!M87</f>
        <v>0</v>
      </c>
      <c r="F87" s="148">
        <f>'TX-EGM-GL'!D87</f>
        <v>0</v>
      </c>
      <c r="G87" s="148">
        <f>'TX-EGM-GL'!E87</f>
        <v>0</v>
      </c>
      <c r="H87" s="148">
        <f t="shared" si="15"/>
        <v>0</v>
      </c>
      <c r="I87" s="148">
        <f t="shared" si="15"/>
        <v>0</v>
      </c>
    </row>
    <row r="88" spans="1:63" x14ac:dyDescent="0.25">
      <c r="A88" s="146"/>
      <c r="B88" s="3"/>
      <c r="C88" s="10" t="s">
        <v>72</v>
      </c>
      <c r="D88" s="149">
        <f>'TX-EGM-FLSH'!L88</f>
        <v>0</v>
      </c>
      <c r="E88" s="149">
        <f>'TX-EGM-FLSH'!M88</f>
        <v>0</v>
      </c>
      <c r="F88" s="149">
        <f>'TX-EGM-GL'!D88</f>
        <v>0</v>
      </c>
      <c r="G88" s="149">
        <f>'TX-EGM-GL'!E88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9167000</v>
      </c>
      <c r="F89" s="162">
        <f t="shared" si="16"/>
        <v>0</v>
      </c>
      <c r="G89" s="162">
        <f t="shared" si="16"/>
        <v>0</v>
      </c>
      <c r="H89" s="162">
        <f t="shared" si="16"/>
        <v>0</v>
      </c>
      <c r="I89" s="162">
        <f t="shared" si="16"/>
        <v>-9167000</v>
      </c>
    </row>
    <row r="90" spans="1:63" s="129" customFormat="1" x14ac:dyDescent="0.25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10556725.668536745</v>
      </c>
      <c r="F91" s="162">
        <f t="shared" si="17"/>
        <v>0</v>
      </c>
      <c r="G91" s="162">
        <f t="shared" si="17"/>
        <v>396446.40300000034</v>
      </c>
      <c r="H91" s="162">
        <f t="shared" si="17"/>
        <v>0</v>
      </c>
      <c r="I91" s="162">
        <f t="shared" si="17"/>
        <v>-10160279.265536746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3119128</v>
      </c>
      <c r="E11" s="66">
        <f>'TX-HPLR-FLSH'!M11</f>
        <v>7105606.1399999857</v>
      </c>
      <c r="F11" s="60">
        <f>'TX-HPLR-GL '!D11</f>
        <v>103912</v>
      </c>
      <c r="G11" s="38">
        <f>'TX-HPLR-GL '!E11</f>
        <v>221436.47</v>
      </c>
      <c r="H11" s="60">
        <f>F11-D11</f>
        <v>-3015216</v>
      </c>
      <c r="I11" s="38">
        <f>G11-E11</f>
        <v>-6884169.669999986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-6993.6</v>
      </c>
      <c r="H12" s="60">
        <f>F12-D12</f>
        <v>0</v>
      </c>
      <c r="I12" s="38">
        <f>G12-E12</f>
        <v>-6993.6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-0.70000000018626451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0.70000000018626451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3119128</v>
      </c>
      <c r="E16" s="39">
        <f t="shared" si="1"/>
        <v>7105605.4399999855</v>
      </c>
      <c r="F16" s="61">
        <f t="shared" si="1"/>
        <v>103912</v>
      </c>
      <c r="G16" s="39">
        <f t="shared" si="1"/>
        <v>214442.87</v>
      </c>
      <c r="H16" s="61">
        <f t="shared" si="1"/>
        <v>-3015216</v>
      </c>
      <c r="I16" s="39">
        <f t="shared" si="1"/>
        <v>-6891162.5699999854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-7432860</v>
      </c>
      <c r="E19" s="66">
        <f>'TX-HPLR-FLSH'!M19</f>
        <v>-16558084.74000001</v>
      </c>
      <c r="F19" s="60">
        <f>'TX-HPLR-GL '!D19</f>
        <v>0</v>
      </c>
      <c r="G19" s="38">
        <f>'TX-HPLR-GL '!E19</f>
        <v>-129420.02000000002</v>
      </c>
      <c r="H19" s="60">
        <f>F19-D19</f>
        <v>7432860</v>
      </c>
      <c r="I19" s="38">
        <f>G19-E19</f>
        <v>16428664.72000001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-7432860</v>
      </c>
      <c r="E24" s="39">
        <f t="shared" si="3"/>
        <v>-16558085.74000001</v>
      </c>
      <c r="F24" s="61">
        <f t="shared" si="3"/>
        <v>0</v>
      </c>
      <c r="G24" s="39">
        <f t="shared" si="3"/>
        <v>-129420.02000000002</v>
      </c>
      <c r="H24" s="61">
        <f t="shared" si="3"/>
        <v>7432860</v>
      </c>
      <c r="I24" s="39">
        <f t="shared" si="3"/>
        <v>16428665.72000001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-2986570</v>
      </c>
      <c r="E27" s="66">
        <f>'TX-HPLR-FLSH'!M27</f>
        <v>-6821596.3299999982</v>
      </c>
      <c r="F27" s="60">
        <f>'TX-HPLR-GL '!D27</f>
        <v>0</v>
      </c>
      <c r="G27" s="38">
        <f>'TX-HPLR-GL '!E27</f>
        <v>2270.419999999971</v>
      </c>
      <c r="H27" s="60">
        <f>F27-D27</f>
        <v>2986570</v>
      </c>
      <c r="I27" s="38">
        <f>G27-E27</f>
        <v>6823866.7499999981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7195082</v>
      </c>
      <c r="E28" s="66">
        <f>'TX-HPLR-FLSH'!M28</f>
        <v>16024487.200000003</v>
      </c>
      <c r="F28" s="60">
        <f>'TX-HPLR-GL '!D28</f>
        <v>-103912</v>
      </c>
      <c r="G28" s="38">
        <f>'TX-HPLR-GL '!E28</f>
        <v>-219254.3199999998</v>
      </c>
      <c r="H28" s="60">
        <f>F28-D28</f>
        <v>-7298994</v>
      </c>
      <c r="I28" s="38">
        <f>G28-E28</f>
        <v>-16243741.520000003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4208512</v>
      </c>
      <c r="E29" s="70">
        <f t="shared" si="4"/>
        <v>9202890.8700000048</v>
      </c>
      <c r="F29" s="69">
        <f t="shared" si="4"/>
        <v>-103912</v>
      </c>
      <c r="G29" s="70">
        <f t="shared" si="4"/>
        <v>-216983.89999999982</v>
      </c>
      <c r="H29" s="69">
        <f t="shared" si="4"/>
        <v>-4312424</v>
      </c>
      <c r="I29" s="70">
        <f t="shared" si="4"/>
        <v>-9419874.7700000051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0.73999999836087227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-0.73999999836087227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0.73999999836087227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-0.73999999836087227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0.73999999836087227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-0.73999999836087227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152085.99</v>
      </c>
      <c r="H47" s="60">
        <f>F47-D47</f>
        <v>0</v>
      </c>
      <c r="I47" s="38">
        <f>G47-E47</f>
        <v>152085.99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105220</v>
      </c>
      <c r="E49" s="66">
        <f>'TX-HPLR-FLSH'!M49</f>
        <v>215437.41838600859</v>
      </c>
      <c r="F49" s="60">
        <f>'TX-HPLR-GL '!D49</f>
        <v>0</v>
      </c>
      <c r="G49" s="38">
        <f>'TX-HPLR-GL '!E49</f>
        <v>0</v>
      </c>
      <c r="H49" s="60">
        <f>F49-D49</f>
        <v>-105220</v>
      </c>
      <c r="I49" s="38">
        <f>G49-E49</f>
        <v>-215437.41838600859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5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-5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108884.22270000004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-108884.22270000004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-888567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888567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-779682.77729999996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779682.77729999996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779682.77729999996</v>
      </c>
      <c r="F74" s="60">
        <f>'TX-HPLR-GL '!D74</f>
        <v>0</v>
      </c>
      <c r="G74" s="38">
        <f>'TX-HPLR-GL '!E74</f>
        <v>-136707.88</v>
      </c>
      <c r="H74" s="60">
        <f t="shared" ref="H74:I79" si="14">F74-D74</f>
        <v>0</v>
      </c>
      <c r="I74" s="38">
        <f t="shared" si="14"/>
        <v>-916390.65729999996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-34151.271614011377</v>
      </c>
      <c r="F82" s="109">
        <f>F16+F24+F29+F36+F43+F45+F47+F49</f>
        <v>0</v>
      </c>
      <c r="G82" s="110">
        <f>SUM(G72:G81)+G16+G24+G29+G36+G43+G45+G47+G49+G51+G56+G61+G66</f>
        <v>-116582.93999999983</v>
      </c>
      <c r="H82" s="109">
        <f>H16+H24+H29+H36+H43+H45+H47+H49</f>
        <v>0</v>
      </c>
      <c r="I82" s="110">
        <f>SUM(I72:I81)+I16+I24+I29+I36+I43+I45+I47+I49+I51+I56+I61+I66</f>
        <v>-82431.668385986472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99535201</v>
      </c>
      <c r="E11" s="66">
        <f>'TX-HPLC-FLSH'!M11</f>
        <v>221006148</v>
      </c>
      <c r="F11" s="60">
        <f>'TX-HPLC-GL'!D11</f>
        <v>39626965</v>
      </c>
      <c r="G11" s="38">
        <f>'TX-HPLC-GL'!E11</f>
        <v>86086097.849999994</v>
      </c>
      <c r="H11" s="60">
        <f>F11-D11</f>
        <v>-59908236</v>
      </c>
      <c r="I11" s="38">
        <f>G11-E11</f>
        <v>-134920050.15000001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-5210649.5299999993</v>
      </c>
      <c r="H12" s="60">
        <f>F12-D12</f>
        <v>0</v>
      </c>
      <c r="I12" s="38">
        <f>G12-E12</f>
        <v>-5210649.5299999993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945464</v>
      </c>
      <c r="E13" s="66">
        <f>'TX-HPLC-FLSH'!M13</f>
        <v>2103758</v>
      </c>
      <c r="F13" s="60">
        <f>'TX-HPLC-GL'!D13</f>
        <v>0</v>
      </c>
      <c r="G13" s="38">
        <f>'TX-HPLC-GL'!E13</f>
        <v>0</v>
      </c>
      <c r="H13" s="60">
        <f t="shared" ref="H13:I15" si="0">F13-D13</f>
        <v>-945464</v>
      </c>
      <c r="I13" s="38">
        <f t="shared" si="0"/>
        <v>-2103758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100480665</v>
      </c>
      <c r="E16" s="39">
        <f t="shared" si="1"/>
        <v>223109906</v>
      </c>
      <c r="F16" s="61">
        <f t="shared" si="1"/>
        <v>39626965</v>
      </c>
      <c r="G16" s="39">
        <f t="shared" si="1"/>
        <v>80875448.319999993</v>
      </c>
      <c r="H16" s="61">
        <f t="shared" si="1"/>
        <v>-60853700</v>
      </c>
      <c r="I16" s="39">
        <f t="shared" si="1"/>
        <v>-142234457.68000001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-107207815</v>
      </c>
      <c r="E19" s="66">
        <f>'TX-HPLC-FLSH'!M19</f>
        <v>-234483179</v>
      </c>
      <c r="F19" s="60">
        <f>'TX-HPLC-GL'!D19</f>
        <v>-47016326</v>
      </c>
      <c r="G19" s="38">
        <f>'TX-HPLC-GL'!E19</f>
        <v>-97425991.489999995</v>
      </c>
      <c r="H19" s="60">
        <f>F19-D19</f>
        <v>60191489</v>
      </c>
      <c r="I19" s="38">
        <f>G19-E19</f>
        <v>137057187.50999999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31148.62</v>
      </c>
      <c r="H20" s="60">
        <f>F20-D20</f>
        <v>0</v>
      </c>
      <c r="I20" s="38">
        <f>G20-E20</f>
        <v>31148.62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-560742</v>
      </c>
      <c r="E21" s="66">
        <f>'TX-HPLC-FLSH'!M21</f>
        <v>-1235219</v>
      </c>
      <c r="F21" s="60">
        <f>'TX-HPLC-GL'!D21</f>
        <v>0</v>
      </c>
      <c r="G21" s="38">
        <f>'TX-HPLC-GL'!E21</f>
        <v>0</v>
      </c>
      <c r="H21" s="60">
        <f t="shared" ref="H21:I23" si="2">F21-D21</f>
        <v>560742</v>
      </c>
      <c r="I21" s="38">
        <f t="shared" si="2"/>
        <v>1235219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4897</v>
      </c>
      <c r="E23" s="66">
        <f>'TX-HPLC-FLSH'!M23</f>
        <v>10279</v>
      </c>
      <c r="F23" s="60">
        <f>'TX-HPLC-GL'!D23</f>
        <v>0</v>
      </c>
      <c r="G23" s="38">
        <f>'TX-HPLC-GL'!E23</f>
        <v>0</v>
      </c>
      <c r="H23" s="60">
        <f t="shared" si="2"/>
        <v>-4897</v>
      </c>
      <c r="I23" s="38">
        <f t="shared" si="2"/>
        <v>-10279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-107763660</v>
      </c>
      <c r="E24" s="39">
        <f t="shared" si="3"/>
        <v>-235708119</v>
      </c>
      <c r="F24" s="61">
        <f t="shared" si="3"/>
        <v>-47016326</v>
      </c>
      <c r="G24" s="39">
        <f t="shared" si="3"/>
        <v>-97394842.86999999</v>
      </c>
      <c r="H24" s="61">
        <f t="shared" si="3"/>
        <v>60747334</v>
      </c>
      <c r="I24" s="39">
        <f t="shared" si="3"/>
        <v>138313276.13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7432860</v>
      </c>
      <c r="E27" s="66">
        <f>'TX-HPLC-FLSH'!M27</f>
        <v>16558086</v>
      </c>
      <c r="F27" s="60">
        <f>'TX-HPLC-GL'!D27</f>
        <v>16893894</v>
      </c>
      <c r="G27" s="38">
        <f>'TX-HPLC-GL'!E27</f>
        <v>38624023.059999995</v>
      </c>
      <c r="H27" s="60">
        <f>F27-D27</f>
        <v>9461034</v>
      </c>
      <c r="I27" s="38">
        <f>G27-E27</f>
        <v>22065937.059999995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-3016138</v>
      </c>
      <c r="E28" s="66">
        <f>'TX-HPLC-FLSH'!M28</f>
        <v>-6891414</v>
      </c>
      <c r="F28" s="60">
        <f>'TX-HPLC-GL'!D28</f>
        <v>-3553694</v>
      </c>
      <c r="G28" s="38">
        <f>'TX-HPLC-GL'!E28</f>
        <v>-8073416</v>
      </c>
      <c r="H28" s="60">
        <f>F28-D28</f>
        <v>-537556</v>
      </c>
      <c r="I28" s="38">
        <f>G28-E28</f>
        <v>-1182002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13340200</v>
      </c>
      <c r="G29" s="70">
        <f t="shared" si="4"/>
        <v>30550607.059999995</v>
      </c>
      <c r="H29" s="69">
        <f t="shared" si="4"/>
        <v>8923478</v>
      </c>
      <c r="I29" s="70">
        <f t="shared" si="4"/>
        <v>20883935.059999995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-612427</v>
      </c>
      <c r="G32" s="38">
        <f>'TX-HPLC-GL'!E32</f>
        <v>-1253639.6300000001</v>
      </c>
      <c r="H32" s="60">
        <f>F32-D32</f>
        <v>-612427</v>
      </c>
      <c r="I32" s="38">
        <f>G32-E32</f>
        <v>-1253639.6300000001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-612427</v>
      </c>
      <c r="G36" s="39">
        <f t="shared" si="6"/>
        <v>-1253639.6300000001</v>
      </c>
      <c r="H36" s="61">
        <f t="shared" si="6"/>
        <v>-612427</v>
      </c>
      <c r="I36" s="39">
        <f t="shared" si="6"/>
        <v>-1253639.6300000001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5782004</v>
      </c>
      <c r="E39" s="66">
        <f>'TX-HPLC-FLSH'!M39</f>
        <v>12388086</v>
      </c>
      <c r="F39" s="60">
        <f>'TX-HPLC-GL'!D39</f>
        <v>0</v>
      </c>
      <c r="G39" s="38">
        <f>'TX-HPLC-GL'!E39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-11133135</v>
      </c>
      <c r="E40" s="66">
        <f>'TX-HPLC-FLSH'!M40</f>
        <v>-25278604</v>
      </c>
      <c r="F40" s="60">
        <f>'TX-HPLC-GL'!D40</f>
        <v>-5864327</v>
      </c>
      <c r="G40" s="38">
        <f>'TX-HPLC-GL'!E40</f>
        <v>-13212562.77</v>
      </c>
      <c r="H40" s="60">
        <f t="shared" si="7"/>
        <v>5268808</v>
      </c>
      <c r="I40" s="38">
        <f t="shared" si="7"/>
        <v>12066041.23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-601620</v>
      </c>
      <c r="H41" s="60">
        <f t="shared" si="7"/>
        <v>0</v>
      </c>
      <c r="I41" s="38">
        <f t="shared" si="7"/>
        <v>-601620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-11133135</v>
      </c>
      <c r="E42" s="70">
        <f t="shared" si="8"/>
        <v>-25278604</v>
      </c>
      <c r="F42" s="69">
        <f t="shared" si="8"/>
        <v>-5864327</v>
      </c>
      <c r="G42" s="70">
        <f t="shared" si="8"/>
        <v>-13814182.77</v>
      </c>
      <c r="H42" s="69">
        <f t="shared" si="8"/>
        <v>5268808</v>
      </c>
      <c r="I42" s="70">
        <f t="shared" si="8"/>
        <v>11464421.23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-5351131</v>
      </c>
      <c r="E43" s="39">
        <f t="shared" si="9"/>
        <v>-12890518</v>
      </c>
      <c r="F43" s="61">
        <f t="shared" si="9"/>
        <v>-5864327</v>
      </c>
      <c r="G43" s="39">
        <f t="shared" si="9"/>
        <v>-13814182.77</v>
      </c>
      <c r="H43" s="61">
        <f t="shared" si="9"/>
        <v>-513196</v>
      </c>
      <c r="I43" s="39">
        <f t="shared" si="9"/>
        <v>-923664.76999999955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8217404</v>
      </c>
      <c r="E49" s="66">
        <f>'TX-HPLC-FLSH'!M49</f>
        <v>16825093.172351595</v>
      </c>
      <c r="F49" s="60">
        <f>'TX-HPLC-GL'!D49</f>
        <v>525915</v>
      </c>
      <c r="G49" s="38">
        <f>'TX-HPLC-GL'!E49</f>
        <v>1076548.1199999999</v>
      </c>
      <c r="H49" s="60">
        <f>F49-D49</f>
        <v>-7691489</v>
      </c>
      <c r="I49" s="38">
        <f>G49-E49</f>
        <v>-15748545.052351596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-2483631.66</v>
      </c>
      <c r="F54" s="60">
        <f>'TX-HPLC-GL'!D54</f>
        <v>-412116</v>
      </c>
      <c r="G54" s="38">
        <f>'TX-HPLC-GL'!E54</f>
        <v>-1991415.8800000001</v>
      </c>
      <c r="H54" s="60">
        <f>F54-D54</f>
        <v>-412116</v>
      </c>
      <c r="I54" s="38">
        <f>G54-E54</f>
        <v>492215.78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2998.89</v>
      </c>
      <c r="H55" s="60">
        <f>F55-D55</f>
        <v>0</v>
      </c>
      <c r="I55" s="38">
        <f>G55-E55</f>
        <v>2998.89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-2483631.66</v>
      </c>
      <c r="F56" s="61">
        <f t="shared" si="10"/>
        <v>-412116</v>
      </c>
      <c r="G56" s="39">
        <f t="shared" si="10"/>
        <v>-1988416.9900000002</v>
      </c>
      <c r="H56" s="61">
        <f t="shared" si="10"/>
        <v>-412116</v>
      </c>
      <c r="I56" s="39">
        <f t="shared" si="10"/>
        <v>495214.67000000004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243791</v>
      </c>
      <c r="H60" s="60">
        <f>F60-D60</f>
        <v>0</v>
      </c>
      <c r="I60" s="38">
        <f>G60-E60</f>
        <v>243791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10000</v>
      </c>
      <c r="H64" s="60">
        <f>F64-D64</f>
        <v>0</v>
      </c>
      <c r="I64" s="38">
        <f>G64-E64</f>
        <v>10000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39">
        <f t="shared" si="12"/>
        <v>10000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1714139</v>
      </c>
      <c r="H74" s="60">
        <f t="shared" ref="H74:I79" si="14">F74-D74</f>
        <v>0</v>
      </c>
      <c r="I74" s="38">
        <f t="shared" si="14"/>
        <v>1714139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-838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838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-108300</v>
      </c>
      <c r="F77" s="60">
        <f>'TX-HPLC-GL'!D77</f>
        <v>0</v>
      </c>
      <c r="G77" s="38">
        <f>'TX-HPLC-GL'!E77</f>
        <v>11700</v>
      </c>
      <c r="H77" s="60">
        <f t="shared" si="14"/>
        <v>0</v>
      </c>
      <c r="I77" s="38">
        <f t="shared" si="14"/>
        <v>120000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348799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-348799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-1240936.4876484051</v>
      </c>
      <c r="F82" s="109">
        <f>F16+F24+F29+F36+F43+F45+F47+F49</f>
        <v>0</v>
      </c>
      <c r="G82" s="110">
        <f>SUM(G72:G81)+G16+G24+G29+G36+G43+G45+G47+G49+G51+G56+G61+G66</f>
        <v>31151.239999997197</v>
      </c>
      <c r="H82" s="109">
        <f>H16+H24+H29+H36+H43+H45+H47+H49</f>
        <v>0</v>
      </c>
      <c r="I82" s="110">
        <f>SUM(I72:I81)+I16+I24+I29+I36+I43+I45+I47+I49+I51+I56+I61+I66</f>
        <v>1272087.7276483886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'TX-HPLC-FLSH'!L86</f>
        <v>0</v>
      </c>
      <c r="E86" s="147">
        <f>'TX-HPLC-FLSH'!M86</f>
        <v>0</v>
      </c>
      <c r="F86" s="147">
        <f>'TX-HPLC-GL'!D86</f>
        <v>0</v>
      </c>
      <c r="G86" s="147">
        <f>'TX-HPLC-GL'!E86</f>
        <v>-42360</v>
      </c>
      <c r="H86" s="147">
        <f t="shared" ref="H86:I88" si="15">F86-D86</f>
        <v>0</v>
      </c>
      <c r="I86" s="147">
        <f t="shared" si="15"/>
        <v>-42360</v>
      </c>
    </row>
    <row r="87" spans="1:63" x14ac:dyDescent="0.25">
      <c r="A87" s="146"/>
      <c r="B87" s="3"/>
      <c r="C87" s="10" t="s">
        <v>71</v>
      </c>
      <c r="D87" s="148">
        <f>'TX-HPLC-FLSH'!L87</f>
        <v>0</v>
      </c>
      <c r="E87" s="148">
        <f>'TX-HPLC-FLSH'!M87</f>
        <v>0</v>
      </c>
      <c r="F87" s="148">
        <f>'TX-HPLC-GL'!D87</f>
        <v>0</v>
      </c>
      <c r="G87" s="148">
        <f>'TX-HPLC-GL'!E87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5">
      <c r="A88" s="146"/>
      <c r="B88" s="3"/>
      <c r="C88" s="10" t="s">
        <v>72</v>
      </c>
      <c r="D88" s="149">
        <f>'TX-HPLC-FLSH'!L88</f>
        <v>0</v>
      </c>
      <c r="E88" s="149">
        <f>'TX-HPLC-FLSH'!M88</f>
        <v>0</v>
      </c>
      <c r="F88" s="149">
        <f>'TX-HPLC-GL'!D88</f>
        <v>0</v>
      </c>
      <c r="G88" s="149">
        <f>'TX-HPLC-GL'!E88</f>
        <v>-1845500</v>
      </c>
      <c r="H88" s="149">
        <f t="shared" si="15"/>
        <v>0</v>
      </c>
      <c r="I88" s="149">
        <f t="shared" si="15"/>
        <v>-1845500</v>
      </c>
    </row>
    <row r="89" spans="1:63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0</v>
      </c>
      <c r="F89" s="162">
        <f t="shared" si="16"/>
        <v>0</v>
      </c>
      <c r="G89" s="162">
        <f t="shared" si="16"/>
        <v>9167000</v>
      </c>
      <c r="H89" s="162">
        <f t="shared" si="16"/>
        <v>0</v>
      </c>
      <c r="I89" s="162">
        <f t="shared" si="16"/>
        <v>9167000</v>
      </c>
    </row>
    <row r="90" spans="1:63" x14ac:dyDescent="0.25">
      <c r="A90" s="164"/>
      <c r="B90" s="161"/>
      <c r="C90" s="129"/>
      <c r="D90" s="165"/>
      <c r="E90" s="165"/>
      <c r="F90" s="165"/>
      <c r="G90" s="165"/>
      <c r="H90" s="165"/>
      <c r="I90" s="165"/>
    </row>
    <row r="91" spans="1:63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-1240936.4876484051</v>
      </c>
      <c r="F91" s="162">
        <f t="shared" si="17"/>
        <v>0</v>
      </c>
      <c r="G91" s="162">
        <f t="shared" si="17"/>
        <v>9198151.2399999965</v>
      </c>
      <c r="H91" s="162">
        <f t="shared" si="17"/>
        <v>0</v>
      </c>
      <c r="I91" s="162">
        <f t="shared" si="17"/>
        <v>10439087.727648389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114781359</v>
      </c>
      <c r="E11" s="66">
        <f>'TX-CON-FLSH'!M11</f>
        <v>254215063</v>
      </c>
      <c r="F11" s="60">
        <f>'TX-CON-GL '!D11</f>
        <v>53230102</v>
      </c>
      <c r="G11" s="38">
        <f>'TX-CON-GL '!E11</f>
        <v>121883194.15999998</v>
      </c>
      <c r="H11" s="60">
        <f>F11-D11</f>
        <v>-61551257</v>
      </c>
      <c r="I11" s="38">
        <f>G11-E11</f>
        <v>-132331868.84000002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-10272491.359999999</v>
      </c>
      <c r="H12" s="60">
        <f>F12-D12</f>
        <v>0</v>
      </c>
      <c r="I12" s="38">
        <f>G12-E12</f>
        <v>-10272491.359999999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1440380</v>
      </c>
      <c r="E13" s="66">
        <f>'TX-CON-FLSH'!M13</f>
        <v>3239294</v>
      </c>
      <c r="F13" s="60">
        <f>'TX-CON-GL '!D13</f>
        <v>5959904</v>
      </c>
      <c r="G13" s="38">
        <f>'TX-CON-GL '!E13</f>
        <v>13663716</v>
      </c>
      <c r="H13" s="60">
        <f t="shared" ref="H13:I15" si="0">F13-D13</f>
        <v>4519524</v>
      </c>
      <c r="I13" s="38">
        <f t="shared" si="0"/>
        <v>10424422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116221739</v>
      </c>
      <c r="E16" s="39">
        <f t="shared" si="1"/>
        <v>257454357</v>
      </c>
      <c r="F16" s="61">
        <f t="shared" si="1"/>
        <v>59190006</v>
      </c>
      <c r="G16" s="39">
        <f t="shared" si="1"/>
        <v>125274418.79999998</v>
      </c>
      <c r="H16" s="61">
        <f t="shared" si="1"/>
        <v>-57031733</v>
      </c>
      <c r="I16" s="39">
        <f t="shared" si="1"/>
        <v>-132179938.20000002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-115205692</v>
      </c>
      <c r="E19" s="66">
        <f>'TX-CON-FLSH'!M19</f>
        <v>-252279859</v>
      </c>
      <c r="F19" s="60">
        <f>'TX-CON-GL '!D19</f>
        <v>-47580737</v>
      </c>
      <c r="G19" s="38">
        <f>'TX-CON-GL '!E19</f>
        <v>-98800160.840000004</v>
      </c>
      <c r="H19" s="60">
        <f>F19-D19</f>
        <v>67624955</v>
      </c>
      <c r="I19" s="38">
        <f>G19-E19</f>
        <v>153479698.16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2185897.73</v>
      </c>
      <c r="H20" s="60">
        <f>F20-D20</f>
        <v>0</v>
      </c>
      <c r="I20" s="38">
        <f>G20-E20</f>
        <v>2185897.73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-580742</v>
      </c>
      <c r="E21" s="66">
        <f>'TX-CON-FLSH'!M21</f>
        <v>-1276819</v>
      </c>
      <c r="F21" s="60">
        <f>'TX-CON-GL '!D21</f>
        <v>-5959904</v>
      </c>
      <c r="G21" s="38">
        <f>'TX-CON-GL '!E21</f>
        <v>-13663716</v>
      </c>
      <c r="H21" s="60">
        <f t="shared" ref="H21:I23" si="2">F21-D21</f>
        <v>-5379162</v>
      </c>
      <c r="I21" s="38">
        <f t="shared" si="2"/>
        <v>-12386897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4902</v>
      </c>
      <c r="E23" s="66">
        <f>'TX-CON-FLSH'!M23</f>
        <v>10289</v>
      </c>
      <c r="F23" s="60">
        <f>'TX-CON-GL '!D23</f>
        <v>4777</v>
      </c>
      <c r="G23" s="38">
        <f>'TX-CON-GL '!E23</f>
        <v>9778.5190000000002</v>
      </c>
      <c r="H23" s="60">
        <f t="shared" si="2"/>
        <v>-125</v>
      </c>
      <c r="I23" s="38">
        <f t="shared" si="2"/>
        <v>-510.48099999999977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-115781532</v>
      </c>
      <c r="E24" s="39">
        <f t="shared" si="3"/>
        <v>-253546389</v>
      </c>
      <c r="F24" s="61">
        <f t="shared" si="3"/>
        <v>-53535864</v>
      </c>
      <c r="G24" s="39">
        <f t="shared" si="3"/>
        <v>-110268200.59100001</v>
      </c>
      <c r="H24" s="61">
        <f t="shared" si="3"/>
        <v>62245668</v>
      </c>
      <c r="I24" s="39">
        <f t="shared" si="3"/>
        <v>143278188.40899998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13392764</v>
      </c>
      <c r="E27" s="66">
        <f>'TX-CON-FLSH'!M27</f>
        <v>30221802</v>
      </c>
      <c r="F27" s="60">
        <f>'TX-CON-GL '!D27</f>
        <v>19893441</v>
      </c>
      <c r="G27" s="38">
        <f>'TX-CON-GL '!E27</f>
        <v>45478979.299999997</v>
      </c>
      <c r="H27" s="60">
        <f>F27-D27</f>
        <v>6500677</v>
      </c>
      <c r="I27" s="38">
        <f>G27-E27</f>
        <v>15257177.299999997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-8976042</v>
      </c>
      <c r="E28" s="66">
        <f>'TX-CON-FLSH'!M28</f>
        <v>-20555130</v>
      </c>
      <c r="F28" s="60">
        <f>'TX-CON-GL '!D28</f>
        <v>-19499892</v>
      </c>
      <c r="G28" s="38">
        <f>'TX-CON-GL '!E28</f>
        <v>-44584864.989999995</v>
      </c>
      <c r="H28" s="60">
        <f>F28-D28</f>
        <v>-10523850</v>
      </c>
      <c r="I28" s="38">
        <f>G28-E28</f>
        <v>-24029734.989999995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393549</v>
      </c>
      <c r="G29" s="70">
        <f t="shared" si="4"/>
        <v>894114.31000000238</v>
      </c>
      <c r="H29" s="69">
        <f t="shared" si="4"/>
        <v>-4023173</v>
      </c>
      <c r="I29" s="70">
        <f t="shared" si="4"/>
        <v>-8772557.6899999976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-615234</v>
      </c>
      <c r="G32" s="38">
        <f>'TX-CON-GL '!E32</f>
        <v>-1259385.605999999</v>
      </c>
      <c r="H32" s="60">
        <f>F32-D32</f>
        <v>-615234</v>
      </c>
      <c r="I32" s="38">
        <f>G32-E32</f>
        <v>-1259385.605999999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-615234</v>
      </c>
      <c r="G36" s="39">
        <f t="shared" si="6"/>
        <v>-1259385.605999999</v>
      </c>
      <c r="H36" s="61">
        <f t="shared" si="6"/>
        <v>-615234</v>
      </c>
      <c r="I36" s="39">
        <f t="shared" si="6"/>
        <v>-1259385.605999999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5782004</v>
      </c>
      <c r="E39" s="66">
        <f>'TX-CON-FLSH'!M39</f>
        <v>12388086</v>
      </c>
      <c r="F39" s="60">
        <f>'TX-CON-GL '!D39</f>
        <v>0</v>
      </c>
      <c r="G39" s="38">
        <f>'TX-CON-GL 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-11691051</v>
      </c>
      <c r="E40" s="66">
        <f>'TX-CON-FLSH'!M40</f>
        <v>-26555545</v>
      </c>
      <c r="F40" s="60">
        <f>'TX-CON-GL '!D40</f>
        <v>-6432243</v>
      </c>
      <c r="G40" s="38">
        <f>'TX-CON-GL '!E40</f>
        <v>-14542777.159999998</v>
      </c>
      <c r="H40" s="60">
        <f t="shared" si="7"/>
        <v>5258808</v>
      </c>
      <c r="I40" s="38">
        <f t="shared" si="7"/>
        <v>12012767.840000002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-601620</v>
      </c>
      <c r="H41" s="60">
        <f t="shared" si="7"/>
        <v>0</v>
      </c>
      <c r="I41" s="38">
        <f t="shared" si="7"/>
        <v>-601620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-11691051</v>
      </c>
      <c r="E42" s="70">
        <f t="shared" si="8"/>
        <v>-26555545</v>
      </c>
      <c r="F42" s="69">
        <f t="shared" si="8"/>
        <v>-6432243</v>
      </c>
      <c r="G42" s="70">
        <f t="shared" si="8"/>
        <v>-15144397.159999998</v>
      </c>
      <c r="H42" s="69">
        <f t="shared" si="8"/>
        <v>5258808</v>
      </c>
      <c r="I42" s="70">
        <f t="shared" si="8"/>
        <v>11411147.840000002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-5909047</v>
      </c>
      <c r="E43" s="39">
        <f t="shared" si="9"/>
        <v>-14167459</v>
      </c>
      <c r="F43" s="61">
        <f t="shared" si="9"/>
        <v>-6432243</v>
      </c>
      <c r="G43" s="39">
        <f t="shared" si="9"/>
        <v>-15144397.159999998</v>
      </c>
      <c r="H43" s="61">
        <f t="shared" si="9"/>
        <v>-523196</v>
      </c>
      <c r="I43" s="39">
        <f t="shared" si="9"/>
        <v>-976938.15999999829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152085.99</v>
      </c>
      <c r="H47" s="60">
        <f>F47-D47</f>
        <v>0</v>
      </c>
      <c r="I47" s="38">
        <f>G47-E47</f>
        <v>152085.99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1052118</v>
      </c>
      <c r="E49" s="66">
        <f>'TX-CON-FLSH'!M49</f>
        <v>2154206.2892743554</v>
      </c>
      <c r="F49" s="60">
        <f>'TX-CON-GL '!D49</f>
        <v>999786</v>
      </c>
      <c r="G49" s="38">
        <f>'TX-CON-GL '!E49</f>
        <v>2046574.2289999989</v>
      </c>
      <c r="H49" s="60">
        <f>F49-D49</f>
        <v>-52332</v>
      </c>
      <c r="I49" s="38">
        <f>G49-E49</f>
        <v>-107632.06027435651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-4777</v>
      </c>
      <c r="G51" s="38">
        <f>'TX-CON-GL '!E51</f>
        <v>-9778.5190000000002</v>
      </c>
      <c r="H51" s="60">
        <f>F51-D51</f>
        <v>-4777</v>
      </c>
      <c r="I51" s="38">
        <f>G51-E51</f>
        <v>-9778.5190000000002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-2649074.66</v>
      </c>
      <c r="F54" s="60">
        <f>'TX-CON-GL '!D54</f>
        <v>-15151687</v>
      </c>
      <c r="G54" s="38">
        <f>'TX-CON-GL '!E54</f>
        <v>-2513110.6199999996</v>
      </c>
      <c r="H54" s="60">
        <f>F54-D54</f>
        <v>-15151687</v>
      </c>
      <c r="I54" s="38">
        <f>G54-E54</f>
        <v>135964.0400000005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-1</v>
      </c>
      <c r="G55" s="38">
        <f>'TX-CON-GL '!E55</f>
        <v>-140301.10999999999</v>
      </c>
      <c r="H55" s="60">
        <f>F55-D55</f>
        <v>-1</v>
      </c>
      <c r="I55" s="38">
        <f>G55-E55</f>
        <v>-140301.10999999999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-2649074.66</v>
      </c>
      <c r="F56" s="61">
        <f t="shared" si="10"/>
        <v>-15151688</v>
      </c>
      <c r="G56" s="39">
        <f t="shared" si="10"/>
        <v>-2653411.7299999995</v>
      </c>
      <c r="H56" s="61">
        <f t="shared" si="10"/>
        <v>-15151688</v>
      </c>
      <c r="I56" s="39">
        <f t="shared" si="10"/>
        <v>-4337.0699999994831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243791</v>
      </c>
      <c r="H60" s="60">
        <f>F60-D60</f>
        <v>0</v>
      </c>
      <c r="I60" s="38">
        <f>G60-E60</f>
        <v>243791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-23642.34</v>
      </c>
      <c r="H64" s="60">
        <f>F64-D64</f>
        <v>0</v>
      </c>
      <c r="I64" s="38">
        <f>G64-E64</f>
        <v>-23642.34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-23642.34</v>
      </c>
      <c r="H66" s="61">
        <f t="shared" si="12"/>
        <v>0</v>
      </c>
      <c r="I66" s="39">
        <f t="shared" si="12"/>
        <v>-23642.34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-739518.77729999996</v>
      </c>
      <c r="F70" s="60">
        <f>'TX-CON-GL '!D70</f>
        <v>0</v>
      </c>
      <c r="G70" s="38">
        <f>'TX-CON-GL '!E70</f>
        <v>-739518.78</v>
      </c>
      <c r="H70" s="60">
        <f>F70-D70</f>
        <v>0</v>
      </c>
      <c r="I70" s="38">
        <f>G70-E70</f>
        <v>-2.7000000700354576E-3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1210109</v>
      </c>
      <c r="F71" s="60">
        <f>'TX-CON-GL '!D71</f>
        <v>0</v>
      </c>
      <c r="G71" s="38">
        <f>'TX-CON-GL '!E71</f>
        <v>1210109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470590.22270000004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-2.7000000700354576E-3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492074.05729999999</v>
      </c>
      <c r="F74" s="60">
        <f>'TX-CON-GL '!D74</f>
        <v>0</v>
      </c>
      <c r="G74" s="38">
        <f>'TX-CON-GL '!E74</f>
        <v>1577431.12</v>
      </c>
      <c r="H74" s="60">
        <f t="shared" ref="H74:I79" si="14">F74-D74</f>
        <v>0</v>
      </c>
      <c r="I74" s="38">
        <f t="shared" si="14"/>
        <v>1085357.0627000001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0</v>
      </c>
      <c r="F75" s="60">
        <f>'TX-CON-GL '!D75</f>
        <v>0</v>
      </c>
      <c r="G75" s="38">
        <f>'TX-CON-GL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-838</v>
      </c>
      <c r="F76" s="60">
        <f>'TX-CON-GL '!D76</f>
        <v>0</v>
      </c>
      <c r="G76" s="38">
        <f>'TX-CON-GL '!E76</f>
        <v>-875.02</v>
      </c>
      <c r="H76" s="60">
        <f t="shared" si="14"/>
        <v>0</v>
      </c>
      <c r="I76" s="38">
        <f t="shared" si="14"/>
        <v>-37.019999999999982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-108300</v>
      </c>
      <c r="F77" s="60">
        <f>'TX-CON-GL '!D77</f>
        <v>0</v>
      </c>
      <c r="G77" s="38">
        <f>'TX-CON-GL '!E77</f>
        <v>11700</v>
      </c>
      <c r="H77" s="60">
        <f t="shared" si="14"/>
        <v>0</v>
      </c>
      <c r="I77" s="38">
        <f t="shared" si="14"/>
        <v>120000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348799</v>
      </c>
      <c r="F81" s="60">
        <f>'TX-CON-GL '!D81</f>
        <v>0</v>
      </c>
      <c r="G81" s="38">
        <f>'TX-CON-GL '!E81</f>
        <v>-1000000</v>
      </c>
      <c r="H81" s="60">
        <f>F81-D81</f>
        <v>0</v>
      </c>
      <c r="I81" s="38">
        <f>G81-E81</f>
        <v>-1348799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114637.90927435644</v>
      </c>
      <c r="F82" s="109">
        <f>F16+F24+F29+F36+F43+F45+F47+F49</f>
        <v>0</v>
      </c>
      <c r="G82" s="110">
        <f>SUM(G72:G81)+G16+G24+G29+G36+G43+G45+G47+G49+G51+G56+G61+G66</f>
        <v>311014.70299997396</v>
      </c>
      <c r="H82" s="109">
        <f>H16+H24+H29+H36+H43+H45+H47+H49</f>
        <v>0</v>
      </c>
      <c r="I82" s="110">
        <f>SUM(I72:I81)+I16+I24+I29+I36+I43+I45+I47+I49+I51+I56+I61+I66</f>
        <v>196376.79372561729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'TX-CON-FLSH'!L86</f>
        <v>0</v>
      </c>
      <c r="E86" s="147">
        <f>'TX-CON-FLSH'!M86</f>
        <v>9167000</v>
      </c>
      <c r="F86" s="147">
        <f>'TX-CON-GL '!D86</f>
        <v>0</v>
      </c>
      <c r="G86" s="147">
        <f>'TX-CON-GL '!E86</f>
        <v>-153691</v>
      </c>
      <c r="H86" s="147">
        <f t="shared" ref="H86:I88" si="15">F86-D86</f>
        <v>0</v>
      </c>
      <c r="I86" s="147">
        <f t="shared" si="15"/>
        <v>-9320691</v>
      </c>
    </row>
    <row r="87" spans="1:63" x14ac:dyDescent="0.25">
      <c r="A87" s="146"/>
      <c r="B87" s="3"/>
      <c r="C87" s="10" t="s">
        <v>71</v>
      </c>
      <c r="D87" s="148">
        <f>'TX-CON-FLSH'!L87</f>
        <v>0</v>
      </c>
      <c r="E87" s="148">
        <f>'TX-CON-FLSH'!M87</f>
        <v>0</v>
      </c>
      <c r="F87" s="148">
        <f>'TX-CON-GL '!D87</f>
        <v>0</v>
      </c>
      <c r="G87" s="148">
        <f>'TX-CON-GL 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5">
      <c r="A88" s="146"/>
      <c r="B88" s="3"/>
      <c r="C88" s="10" t="s">
        <v>72</v>
      </c>
      <c r="D88" s="149">
        <f>'TX-CON-FLSH'!L88</f>
        <v>0</v>
      </c>
      <c r="E88" s="149">
        <f>'TX-CON-FLSH'!M88</f>
        <v>0</v>
      </c>
      <c r="F88" s="149">
        <f>'TX-CON-GL '!D88</f>
        <v>0</v>
      </c>
      <c r="G88" s="149">
        <f>'TX-CON-GL '!E88</f>
        <v>-1845500</v>
      </c>
      <c r="H88" s="149">
        <f t="shared" si="15"/>
        <v>0</v>
      </c>
      <c r="I88" s="149">
        <f t="shared" si="15"/>
        <v>-1845500</v>
      </c>
    </row>
    <row r="89" spans="1:63" ht="15" x14ac:dyDescent="0.25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9167000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-111331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3"/>
      <c r="B91" s="154"/>
      <c r="C91" s="159" t="s">
        <v>172</v>
      </c>
      <c r="D91" s="157">
        <f t="shared" ref="D91:I91" si="17">+D82+D89</f>
        <v>0</v>
      </c>
      <c r="E91" s="157">
        <f t="shared" si="17"/>
        <v>9281637.9092743564</v>
      </c>
      <c r="F91" s="157">
        <f t="shared" si="17"/>
        <v>0</v>
      </c>
      <c r="G91" s="157">
        <f t="shared" si="17"/>
        <v>9366683.7029999737</v>
      </c>
      <c r="H91" s="157">
        <f t="shared" si="17"/>
        <v>0</v>
      </c>
      <c r="I91" s="157">
        <f t="shared" si="17"/>
        <v>85045.793725617288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27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29133166</v>
      </c>
      <c r="E11" s="66">
        <f>'WE-FLSH'!M11</f>
        <v>65082233</v>
      </c>
      <c r="F11" s="60">
        <f>'WE-GL '!D11</f>
        <v>28810043</v>
      </c>
      <c r="G11" s="38">
        <f>'WE-GL '!E11</f>
        <v>60832764.379999995</v>
      </c>
      <c r="H11" s="60">
        <f>F11-D11</f>
        <v>-323123</v>
      </c>
      <c r="I11" s="38">
        <f>G11-E11</f>
        <v>-4249468.6200000048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3475376.98</v>
      </c>
      <c r="H12" s="60">
        <f>F12-D12</f>
        <v>0</v>
      </c>
      <c r="I12" s="38">
        <f>G12-E12</f>
        <v>3475376.98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11210462</v>
      </c>
      <c r="E13" s="66">
        <f>'WE-FLSH'!M13</f>
        <v>26302673</v>
      </c>
      <c r="F13" s="60">
        <f>'WE-GL '!D13</f>
        <v>11024128</v>
      </c>
      <c r="G13" s="38">
        <f>'WE-GL '!E13</f>
        <v>25880757</v>
      </c>
      <c r="H13" s="60">
        <f t="shared" ref="H13:I15" si="0">F13-D13</f>
        <v>-186334</v>
      </c>
      <c r="I13" s="38">
        <f t="shared" si="0"/>
        <v>-421916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1162280.04</v>
      </c>
      <c r="H15" s="60">
        <f t="shared" si="0"/>
        <v>0</v>
      </c>
      <c r="I15" s="38">
        <f t="shared" si="0"/>
        <v>1162280.04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40343628</v>
      </c>
      <c r="E16" s="39">
        <f t="shared" si="1"/>
        <v>91384906</v>
      </c>
      <c r="F16" s="61">
        <f t="shared" si="1"/>
        <v>39834171</v>
      </c>
      <c r="G16" s="39">
        <f t="shared" si="1"/>
        <v>91351178.399999991</v>
      </c>
      <c r="H16" s="61">
        <f t="shared" si="1"/>
        <v>-509457</v>
      </c>
      <c r="I16" s="39">
        <f t="shared" si="1"/>
        <v>-33727.60000000475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-29181304</v>
      </c>
      <c r="E19" s="66">
        <f>'WE-FLSH'!M19</f>
        <v>-63616985</v>
      </c>
      <c r="F19" s="60">
        <f>'WE-GL '!D19</f>
        <v>-28696293</v>
      </c>
      <c r="G19" s="38">
        <f>'WE-GL '!E19</f>
        <v>-63226008.469999999</v>
      </c>
      <c r="H19" s="60">
        <f>F19-D19</f>
        <v>485011</v>
      </c>
      <c r="I19" s="38">
        <f>G19-E19</f>
        <v>390976.53000000119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-687296.01</v>
      </c>
      <c r="H20" s="60">
        <f>F20-D20</f>
        <v>0</v>
      </c>
      <c r="I20" s="38">
        <f>G20-E20</f>
        <v>-687296.01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-11097128</v>
      </c>
      <c r="E21" s="66">
        <f>'WE-FLSH'!M21</f>
        <v>-26059696</v>
      </c>
      <c r="F21" s="60">
        <f>'WE-GL '!D21</f>
        <v>-11024128</v>
      </c>
      <c r="G21" s="38">
        <f>'WE-GL '!E21</f>
        <v>-25880757</v>
      </c>
      <c r="H21" s="60">
        <f t="shared" ref="H21:I23" si="2">F21-D21</f>
        <v>73000</v>
      </c>
      <c r="I21" s="38">
        <f t="shared" si="2"/>
        <v>178939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247791</v>
      </c>
      <c r="E23" s="66">
        <f>'WE-FLSH'!M23</f>
        <v>549122</v>
      </c>
      <c r="F23" s="60">
        <f>'WE-GL '!D23</f>
        <v>342347</v>
      </c>
      <c r="G23" s="38">
        <f>'WE-GL '!E23</f>
        <v>723036.86399999994</v>
      </c>
      <c r="H23" s="60">
        <f t="shared" si="2"/>
        <v>94556</v>
      </c>
      <c r="I23" s="38">
        <f t="shared" si="2"/>
        <v>173914.86399999994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-40030641</v>
      </c>
      <c r="E24" s="39">
        <f t="shared" si="3"/>
        <v>-89127559</v>
      </c>
      <c r="F24" s="61">
        <f t="shared" si="3"/>
        <v>-39378074</v>
      </c>
      <c r="G24" s="39">
        <f t="shared" si="3"/>
        <v>-89071024.615999997</v>
      </c>
      <c r="H24" s="61">
        <f t="shared" si="3"/>
        <v>652567</v>
      </c>
      <c r="I24" s="39">
        <f t="shared" si="3"/>
        <v>56534.384000001126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186260</v>
      </c>
      <c r="G27" s="38">
        <f>'WE-GL '!E27</f>
        <v>421770.2</v>
      </c>
      <c r="H27" s="60">
        <f>F27-D27</f>
        <v>186260</v>
      </c>
      <c r="I27" s="38">
        <f>G27-E27</f>
        <v>421770.2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-73000</v>
      </c>
      <c r="G28" s="38">
        <f>'WE-GL '!E28</f>
        <v>-178940</v>
      </c>
      <c r="H28" s="60">
        <f>F28-D28</f>
        <v>-73000</v>
      </c>
      <c r="I28" s="38">
        <f>G28-E28</f>
        <v>-178940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113260</v>
      </c>
      <c r="G29" s="70">
        <f t="shared" si="4"/>
        <v>242830.2</v>
      </c>
      <c r="H29" s="69">
        <f t="shared" si="4"/>
        <v>113260</v>
      </c>
      <c r="I29" s="70">
        <f t="shared" si="4"/>
        <v>242830.2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27934</v>
      </c>
      <c r="E32" s="66">
        <f>'WE-FLSH'!M32</f>
        <v>61436</v>
      </c>
      <c r="F32" s="60">
        <f>'WE-GL '!D32</f>
        <v>-84372</v>
      </c>
      <c r="G32" s="38">
        <f>'WE-GL '!E32</f>
        <v>-178193.66800000001</v>
      </c>
      <c r="H32" s="60">
        <f>F32-D32</f>
        <v>-112306</v>
      </c>
      <c r="I32" s="38">
        <f>G32-E32</f>
        <v>-239629.66800000001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-51616</v>
      </c>
      <c r="G33" s="38">
        <f>'WE-GL '!E33</f>
        <v>-17519.5</v>
      </c>
      <c r="H33" s="60">
        <f t="shared" ref="H33:I35" si="5">F33-D33</f>
        <v>-51616</v>
      </c>
      <c r="I33" s="38">
        <f t="shared" si="5"/>
        <v>-17519.5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63306</v>
      </c>
      <c r="G34" s="38">
        <f>'WE-GL '!E34</f>
        <v>14438.359999999999</v>
      </c>
      <c r="H34" s="60">
        <f t="shared" si="5"/>
        <v>63306</v>
      </c>
      <c r="I34" s="38">
        <f t="shared" si="5"/>
        <v>14438.359999999999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-340850</v>
      </c>
      <c r="E35" s="66">
        <f>'WE-FLSH'!M35</f>
        <v>-774256</v>
      </c>
      <c r="F35" s="60">
        <f>'WE-GL '!D35</f>
        <v>-309387</v>
      </c>
      <c r="G35" s="38">
        <f>'WE-GL '!E35</f>
        <v>-194459.37</v>
      </c>
      <c r="H35" s="60">
        <f t="shared" si="5"/>
        <v>31463</v>
      </c>
      <c r="I35" s="38">
        <f t="shared" si="5"/>
        <v>579796.63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-312916</v>
      </c>
      <c r="E36" s="39">
        <f t="shared" si="6"/>
        <v>-712820</v>
      </c>
      <c r="F36" s="61">
        <f t="shared" si="6"/>
        <v>-382069</v>
      </c>
      <c r="G36" s="39">
        <f t="shared" si="6"/>
        <v>-375734.17800000001</v>
      </c>
      <c r="H36" s="61">
        <f t="shared" si="6"/>
        <v>-69153</v>
      </c>
      <c r="I36" s="39">
        <f t="shared" si="6"/>
        <v>337085.82199999999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4703</v>
      </c>
      <c r="E39" s="66">
        <f>'WE-FLSH'!M39</f>
        <v>9867</v>
      </c>
      <c r="F39" s="60">
        <f>'WE-GL '!D39</f>
        <v>52</v>
      </c>
      <c r="G39" s="38">
        <f>'WE-GL '!E39</f>
        <v>109.82</v>
      </c>
      <c r="H39" s="60">
        <f t="shared" ref="H39:I41" si="7">F39-D39</f>
        <v>-4651</v>
      </c>
      <c r="I39" s="38">
        <f t="shared" si="7"/>
        <v>-9757.18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-4862</v>
      </c>
      <c r="E40" s="66">
        <f>'WE-FLSH'!M40</f>
        <v>-11007</v>
      </c>
      <c r="F40" s="60">
        <f>'WE-GL '!D40</f>
        <v>-141689</v>
      </c>
      <c r="G40" s="38">
        <f>'WE-GL '!E40</f>
        <v>-409207.62999999995</v>
      </c>
      <c r="H40" s="60">
        <f t="shared" si="7"/>
        <v>-136827</v>
      </c>
      <c r="I40" s="38">
        <f t="shared" si="7"/>
        <v>-398200.62999999995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-4862</v>
      </c>
      <c r="E42" s="39">
        <f t="shared" si="8"/>
        <v>-11007</v>
      </c>
      <c r="F42" s="61">
        <f t="shared" si="8"/>
        <v>-141689</v>
      </c>
      <c r="G42" s="39">
        <f t="shared" si="8"/>
        <v>-409207.62999999995</v>
      </c>
      <c r="H42" s="61">
        <f t="shared" si="8"/>
        <v>-136827</v>
      </c>
      <c r="I42" s="39">
        <f t="shared" si="8"/>
        <v>-398200.62999999995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-159</v>
      </c>
      <c r="E43" s="39">
        <f t="shared" si="9"/>
        <v>-1140</v>
      </c>
      <c r="F43" s="61">
        <f t="shared" si="9"/>
        <v>-141637</v>
      </c>
      <c r="G43" s="39">
        <f t="shared" si="9"/>
        <v>-409097.80999999994</v>
      </c>
      <c r="H43" s="61">
        <f t="shared" si="9"/>
        <v>-141478</v>
      </c>
      <c r="I43" s="39">
        <f t="shared" si="9"/>
        <v>-407957.80999999994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88</v>
      </c>
      <c r="E49" s="66">
        <f>'WE-FLSH'!M49</f>
        <v>185.8836231492802</v>
      </c>
      <c r="F49" s="60">
        <f>'WE-GL '!D49</f>
        <v>-45651</v>
      </c>
      <c r="G49" s="38">
        <f>'WE-GL '!E49</f>
        <v>-96414.91200000004</v>
      </c>
      <c r="H49" s="60">
        <f>F49-D49</f>
        <v>-45739</v>
      </c>
      <c r="I49" s="38">
        <f>G49-E49</f>
        <v>-96600.795623149315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-247791</v>
      </c>
      <c r="E51" s="66">
        <f>'WE-FLSH'!M51</f>
        <v>-549122</v>
      </c>
      <c r="F51" s="60">
        <f>'WE-GL '!D51</f>
        <v>-342347</v>
      </c>
      <c r="G51" s="38">
        <f>'WE-GL '!E51</f>
        <v>-723036.86399999994</v>
      </c>
      <c r="H51" s="60">
        <f>F51-D51</f>
        <v>-94556</v>
      </c>
      <c r="I51" s="38">
        <f>G51-E51</f>
        <v>-173914.86399999994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-95535</v>
      </c>
      <c r="F54" s="60">
        <f>'WE-GL '!D54</f>
        <v>-17020555</v>
      </c>
      <c r="G54" s="38">
        <f>'WE-GL '!E54</f>
        <v>664989.11</v>
      </c>
      <c r="H54" s="60">
        <f>F54-D54</f>
        <v>-17020555</v>
      </c>
      <c r="I54" s="38">
        <f>G54-E54</f>
        <v>760524.11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-1444318.11</v>
      </c>
      <c r="F55" s="60">
        <f>'WE-GL '!D55</f>
        <v>0</v>
      </c>
      <c r="G55" s="38">
        <f>'WE-GL '!E55</f>
        <v>-2260415.5700000003</v>
      </c>
      <c r="H55" s="60">
        <f>F55-D55</f>
        <v>0</v>
      </c>
      <c r="I55" s="38">
        <f>G55-E55</f>
        <v>-816097.4600000002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-1539853.11</v>
      </c>
      <c r="F56" s="61">
        <f t="shared" si="10"/>
        <v>-17020555</v>
      </c>
      <c r="G56" s="39">
        <f t="shared" si="10"/>
        <v>-1595426.4600000004</v>
      </c>
      <c r="H56" s="61">
        <f t="shared" si="10"/>
        <v>-17020555</v>
      </c>
      <c r="I56" s="39">
        <f t="shared" si="10"/>
        <v>-55573.35000000021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2053660</v>
      </c>
      <c r="F70" s="60">
        <f>'WE-GL '!D70</f>
        <v>0</v>
      </c>
      <c r="G70" s="38">
        <f>'WE-GL '!E70</f>
        <v>2053660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-1968884</v>
      </c>
      <c r="F71" s="60">
        <f>'WE-GL '!D71</f>
        <v>0</v>
      </c>
      <c r="G71" s="38">
        <f>'WE-GL '!E71</f>
        <v>-1968882</v>
      </c>
      <c r="H71" s="60">
        <f>F71-D71</f>
        <v>0</v>
      </c>
      <c r="I71" s="38">
        <f>G71-E71</f>
        <v>2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84776</v>
      </c>
      <c r="F72" s="61">
        <f t="shared" si="13"/>
        <v>0</v>
      </c>
      <c r="G72" s="39">
        <f t="shared" si="13"/>
        <v>84778</v>
      </c>
      <c r="H72" s="61">
        <f t="shared" si="13"/>
        <v>0</v>
      </c>
      <c r="I72" s="39">
        <f t="shared" si="13"/>
        <v>2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3114351</v>
      </c>
      <c r="F74" s="60">
        <f>'WE-GL '!D74</f>
        <v>0</v>
      </c>
      <c r="G74" s="38">
        <f>'WE-GL '!E74</f>
        <v>1845811</v>
      </c>
      <c r="H74" s="60">
        <f t="shared" ref="H74:I79" si="14">F74-D74</f>
        <v>0</v>
      </c>
      <c r="I74" s="38">
        <f t="shared" si="14"/>
        <v>-1268540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620</v>
      </c>
      <c r="F75" s="60">
        <f>'WE-GL '!D75</f>
        <v>0</v>
      </c>
      <c r="G75" s="38">
        <f>'WE-GL '!E75</f>
        <v>600</v>
      </c>
      <c r="H75" s="60">
        <f t="shared" si="14"/>
        <v>0</v>
      </c>
      <c r="I75" s="38">
        <f t="shared" si="14"/>
        <v>-20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-18952</v>
      </c>
      <c r="F76" s="60">
        <f>'WE-GL '!D76</f>
        <v>0</v>
      </c>
      <c r="G76" s="38">
        <f>'WE-GL '!E76</f>
        <v>-20031.480000000003</v>
      </c>
      <c r="H76" s="60">
        <f t="shared" si="14"/>
        <v>0</v>
      </c>
      <c r="I76" s="38">
        <f t="shared" si="14"/>
        <v>-1079.4800000000032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-197864</v>
      </c>
      <c r="F81" s="60">
        <f>'WE-GL '!D81</f>
        <v>0</v>
      </c>
      <c r="G81" s="38">
        <f>'WE-GL '!E81</f>
        <v>59046.86</v>
      </c>
      <c r="H81" s="60">
        <f>F81-D81</f>
        <v>0</v>
      </c>
      <c r="I81" s="38">
        <f>G81-E81</f>
        <v>256910.86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2437528.7736231489</v>
      </c>
      <c r="F82" s="109">
        <f>F16+F24+F29+F36+F43+F45+F47+F49</f>
        <v>0</v>
      </c>
      <c r="G82" s="110">
        <f>SUM(G72:G81)+G16+G24+G29+G36+G43+G45+G47+G49+G51+G56+G61+G66</f>
        <v>1293478.1399999894</v>
      </c>
      <c r="H82" s="109">
        <f>H16+H24+H29+H36+H43+H45+H47+H49</f>
        <v>0</v>
      </c>
      <c r="I82" s="110">
        <f>SUM(I72:I81)+I16+I24+I29+I36+I43+I45+I47+I49+I51+I56+I61+I66</f>
        <v>-1144050.633623153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203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10284481</v>
      </c>
      <c r="E11" s="66">
        <f>'DEN-FLSH'!M11</f>
        <v>21749004</v>
      </c>
      <c r="F11" s="60">
        <f>'DEN-GL'!D11</f>
        <v>4530348</v>
      </c>
      <c r="G11" s="38">
        <f>'DEN-GL'!E11</f>
        <v>9258206.3699999992</v>
      </c>
      <c r="H11" s="60">
        <f>F11-D11</f>
        <v>-5754133</v>
      </c>
      <c r="I11" s="38">
        <f>G11-E11</f>
        <v>-12490797.630000001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91147.839999999997</v>
      </c>
      <c r="H12" s="60">
        <f>F12-D12</f>
        <v>0</v>
      </c>
      <c r="I12" s="38">
        <f>G12-E12</f>
        <v>91147.839999999997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0</v>
      </c>
      <c r="E13" s="66">
        <f>'DEN-FLSH'!M13</f>
        <v>0</v>
      </c>
      <c r="F13" s="60">
        <f>'DEN-GL'!D13</f>
        <v>0</v>
      </c>
      <c r="G13" s="38">
        <f>'DEN-GL'!E13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10284481</v>
      </c>
      <c r="E16" s="39">
        <f t="shared" si="1"/>
        <v>21749004</v>
      </c>
      <c r="F16" s="61">
        <f t="shared" si="1"/>
        <v>4530348</v>
      </c>
      <c r="G16" s="39">
        <f t="shared" si="1"/>
        <v>9355486.629999999</v>
      </c>
      <c r="H16" s="61">
        <f t="shared" si="1"/>
        <v>-5754133</v>
      </c>
      <c r="I16" s="39">
        <f t="shared" si="1"/>
        <v>-12393517.370000001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-10208981</v>
      </c>
      <c r="E19" s="66">
        <f>'DEN-FLSH'!M19</f>
        <v>-21377603</v>
      </c>
      <c r="F19" s="60">
        <f>'DEN-GL'!D19</f>
        <v>-5308218</v>
      </c>
      <c r="G19" s="38">
        <f>'DEN-GL'!E19</f>
        <v>-10516586.24</v>
      </c>
      <c r="H19" s="60">
        <f>F19-D19</f>
        <v>4900763</v>
      </c>
      <c r="I19" s="38">
        <f>G19-E19</f>
        <v>10861016.76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-190939.56</v>
      </c>
      <c r="H20" s="60">
        <f>F20-D20</f>
        <v>0</v>
      </c>
      <c r="I20" s="38">
        <f>G20-E20</f>
        <v>-190939.56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0</v>
      </c>
      <c r="E21" s="66">
        <f>'DEN-FLSH'!M21</f>
        <v>0</v>
      </c>
      <c r="F21" s="60">
        <f>'DEN-GL'!D21</f>
        <v>0</v>
      </c>
      <c r="G21" s="38">
        <f>'DEN-GL'!E21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0</v>
      </c>
      <c r="E23" s="66">
        <f>'DEN-FLSH'!M23</f>
        <v>0</v>
      </c>
      <c r="F23" s="60">
        <f>'DEN-GL'!D23</f>
        <v>10465</v>
      </c>
      <c r="G23" s="38">
        <f>'DEN-GL'!E23</f>
        <v>21317.205000000002</v>
      </c>
      <c r="H23" s="60">
        <f t="shared" si="2"/>
        <v>10465</v>
      </c>
      <c r="I23" s="38">
        <f t="shared" si="2"/>
        <v>21317.205000000002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-10208981</v>
      </c>
      <c r="E24" s="39">
        <f t="shared" si="3"/>
        <v>-21377603</v>
      </c>
      <c r="F24" s="61">
        <f t="shared" si="3"/>
        <v>-5297753</v>
      </c>
      <c r="G24" s="39">
        <f t="shared" si="3"/>
        <v>-10686208.595000001</v>
      </c>
      <c r="H24" s="61">
        <f t="shared" si="3"/>
        <v>4911228</v>
      </c>
      <c r="I24" s="39">
        <f t="shared" si="3"/>
        <v>10691394.404999999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0</v>
      </c>
      <c r="E32" s="66">
        <f>'DEN-FLSH'!M32</f>
        <v>0</v>
      </c>
      <c r="F32" s="60">
        <f>'DEN-GL'!D32</f>
        <v>18095</v>
      </c>
      <c r="G32" s="38">
        <f>'DEN-GL'!E32</f>
        <v>66705.665000000008</v>
      </c>
      <c r="H32" s="60">
        <f>F32-D32</f>
        <v>18095</v>
      </c>
      <c r="I32" s="38">
        <f>G32-E32</f>
        <v>66705.665000000008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18095</v>
      </c>
      <c r="G36" s="39">
        <f t="shared" si="6"/>
        <v>66705.665000000008</v>
      </c>
      <c r="H36" s="61">
        <f t="shared" si="6"/>
        <v>18095</v>
      </c>
      <c r="I36" s="39">
        <f t="shared" si="6"/>
        <v>66705.665000000008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-75500</v>
      </c>
      <c r="E49" s="66">
        <f>'DEN-FLSH'!M49</f>
        <v>-153815.93931183961</v>
      </c>
      <c r="F49" s="60">
        <f>'DEN-GL'!D49</f>
        <v>749310</v>
      </c>
      <c r="G49" s="38">
        <f>'DEN-GL'!E49</f>
        <v>1526344.4700000002</v>
      </c>
      <c r="H49" s="60">
        <f>F49-D49</f>
        <v>824810</v>
      </c>
      <c r="I49" s="38">
        <f>G49-E49</f>
        <v>1680160.4093118398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0</v>
      </c>
      <c r="E51" s="66">
        <f>'DEN-FLSH'!M51</f>
        <v>0</v>
      </c>
      <c r="F51" s="60">
        <f>'DEN-GL'!D51</f>
        <v>-10465</v>
      </c>
      <c r="G51" s="38">
        <f>'DEN-GL'!E51</f>
        <v>-21317.205000000002</v>
      </c>
      <c r="H51" s="60">
        <f>F51-D51</f>
        <v>-10465</v>
      </c>
      <c r="I51" s="38">
        <f>G51-E51</f>
        <v>-21317.205000000002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-50088</v>
      </c>
      <c r="F54" s="60">
        <f>'DEN-GL'!D54</f>
        <v>-5197519</v>
      </c>
      <c r="G54" s="38">
        <f>'DEN-GL'!E54</f>
        <v>378102.19</v>
      </c>
      <c r="H54" s="60">
        <f>F54-D54</f>
        <v>-5197519</v>
      </c>
      <c r="I54" s="38">
        <f>G54-E54</f>
        <v>428190.19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0</v>
      </c>
      <c r="F55" s="60">
        <f>'DEN-GL'!D55</f>
        <v>0</v>
      </c>
      <c r="G55" s="38">
        <f>'DEN-GL'!E55</f>
        <v>-295247.57000000007</v>
      </c>
      <c r="H55" s="60">
        <f>F55-D55</f>
        <v>0</v>
      </c>
      <c r="I55" s="38">
        <f>G55-E55</f>
        <v>-295247.57000000007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-50088</v>
      </c>
      <c r="F56" s="61">
        <f t="shared" si="10"/>
        <v>-5197519</v>
      </c>
      <c r="G56" s="39">
        <f t="shared" si="10"/>
        <v>82854.619999999937</v>
      </c>
      <c r="H56" s="61">
        <f t="shared" si="10"/>
        <v>-5197519</v>
      </c>
      <c r="I56" s="39">
        <f t="shared" si="10"/>
        <v>132942.61999999994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5694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-5694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5694.0399999998044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-5694.0399999998044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-150000</v>
      </c>
      <c r="F74" s="60">
        <f>'DEN-GL'!D74</f>
        <v>0</v>
      </c>
      <c r="G74" s="38">
        <f>'DEN-GL'!E74</f>
        <v>-151335</v>
      </c>
      <c r="H74" s="60">
        <f t="shared" ref="H74:I79" si="14">F74-D74</f>
        <v>0</v>
      </c>
      <c r="I74" s="38">
        <f t="shared" si="14"/>
        <v>-1335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23191.100688159495</v>
      </c>
      <c r="F82" s="109">
        <f>F16+F24+F29+F36+F43+F45+F47+F49</f>
        <v>0</v>
      </c>
      <c r="G82" s="110">
        <f>SUM(G72:G81)+G16+G24+G29+G36+G43+G45+G47+G49+G51+G56+G61+G66</f>
        <v>172530.58499999845</v>
      </c>
      <c r="H82" s="109">
        <f>H16+H24+H29+H36+H43+H45+H47+H49</f>
        <v>0</v>
      </c>
      <c r="I82" s="110">
        <f>SUM(I72:I81)+I16+I24+I29+I36+I43+I45+I47+I49+I51+I56+I61+I66</f>
        <v>149339.48431183898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32" activePane="bottomRight" state="frozen"/>
      <selection pane="topRight"/>
      <selection pane="bottomLeft"/>
      <selection pane="bottomRight" activeCell="G41" sqref="G4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15513020</v>
      </c>
      <c r="F12" s="60">
        <f>STG_GL!D12</f>
        <v>0</v>
      </c>
      <c r="G12" s="38">
        <f>STG_GL!E12</f>
        <v>317921.78999999998</v>
      </c>
      <c r="H12" s="60">
        <f>F12-D12</f>
        <v>0</v>
      </c>
      <c r="I12" s="38">
        <f>G12-E12</f>
        <v>-15195098.210000001</v>
      </c>
    </row>
    <row r="13" spans="1:22" x14ac:dyDescent="0.25">
      <c r="A13" s="9">
        <v>3</v>
      </c>
      <c r="B13" s="7"/>
      <c r="C13" s="18" t="s">
        <v>210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14035993</v>
      </c>
      <c r="H13" s="60">
        <f t="shared" ref="H13:I15" si="0">F13-D13</f>
        <v>0</v>
      </c>
      <c r="I13" s="38">
        <f t="shared" si="0"/>
        <v>14035993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15513020</v>
      </c>
      <c r="F16" s="61">
        <f t="shared" si="1"/>
        <v>0</v>
      </c>
      <c r="G16" s="39">
        <f t="shared" si="1"/>
        <v>14353914.789999999</v>
      </c>
      <c r="H16" s="61">
        <f t="shared" si="1"/>
        <v>0</v>
      </c>
      <c r="I16" s="39">
        <f t="shared" si="1"/>
        <v>-1159105.2100000009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601620</v>
      </c>
      <c r="H41" s="60">
        <f t="shared" si="7"/>
        <v>0</v>
      </c>
      <c r="I41" s="38">
        <f t="shared" si="7"/>
        <v>601620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601620</v>
      </c>
      <c r="H42" s="69">
        <f t="shared" si="8"/>
        <v>0</v>
      </c>
      <c r="I42" s="70">
        <f t="shared" si="8"/>
        <v>601620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601620</v>
      </c>
      <c r="H43" s="61">
        <f t="shared" si="9"/>
        <v>0</v>
      </c>
      <c r="I43" s="39">
        <f t="shared" si="9"/>
        <v>601620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0</v>
      </c>
      <c r="F60" s="60">
        <f>STG_GL!D60</f>
        <v>0</v>
      </c>
      <c r="G60" s="38">
        <f>STG_GL!E60</f>
        <v>159762</v>
      </c>
      <c r="H60" s="60">
        <f>F60-D60</f>
        <v>0</v>
      </c>
      <c r="I60" s="38">
        <f>G60-E60</f>
        <v>159762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159762</v>
      </c>
      <c r="H61" s="69">
        <f t="shared" si="11"/>
        <v>0</v>
      </c>
      <c r="I61" s="70">
        <f t="shared" si="11"/>
        <v>159762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-20919170</v>
      </c>
      <c r="F70" s="60">
        <f>STG_GL!D70</f>
        <v>0</v>
      </c>
      <c r="G70" s="38">
        <f>STG_GL!E70</f>
        <v>-20919170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-20919170</v>
      </c>
      <c r="F72" s="69">
        <f t="shared" si="13"/>
        <v>0</v>
      </c>
      <c r="G72" s="70">
        <f t="shared" si="13"/>
        <v>-20919170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-8086</v>
      </c>
      <c r="H73" s="60">
        <f>F73-D73</f>
        <v>0</v>
      </c>
      <c r="I73" s="38">
        <f>G73-E73</f>
        <v>-8086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4284968</v>
      </c>
      <c r="F74" s="60">
        <f>STG_GL!D74</f>
        <v>0</v>
      </c>
      <c r="G74" s="38">
        <f>STG_GL!E74</f>
        <v>4811580.21</v>
      </c>
      <c r="H74" s="60">
        <f t="shared" ref="H74:I79" si="14">F74-D74</f>
        <v>0</v>
      </c>
      <c r="I74" s="38">
        <f t="shared" si="14"/>
        <v>526612.21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-17138</v>
      </c>
      <c r="F76" s="60">
        <f>STG_GL!D76</f>
        <v>0</v>
      </c>
      <c r="G76" s="38">
        <f>STG_GL!E76</f>
        <v>-17138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0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-376583</v>
      </c>
    </row>
    <row r="78" spans="1:9" x14ac:dyDescent="0.25">
      <c r="A78" s="9">
        <v>37</v>
      </c>
      <c r="B78" s="3"/>
      <c r="C78" s="10" t="s">
        <v>213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214</v>
      </c>
      <c r="D79" s="65">
        <f>STG_FLSH!L79</f>
        <v>0</v>
      </c>
      <c r="E79" s="66">
        <f>STG_FLSH!M79</f>
        <v>0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-89995</v>
      </c>
    </row>
    <row r="80" spans="1:9" x14ac:dyDescent="0.25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-100406</v>
      </c>
      <c r="H80" s="60">
        <f>F80-D80</f>
        <v>0</v>
      </c>
      <c r="I80" s="38">
        <f>G80-E80</f>
        <v>-100406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-1138320</v>
      </c>
      <c r="F82" s="109">
        <f>F16+F24+F29+F36+F43+F45+F47+F49</f>
        <v>0</v>
      </c>
      <c r="G82" s="110">
        <f>SUM(G72:G81)+G16+G24+G29+G36+G43+G45+G47+G49+G51+G56+G61+G66</f>
        <v>-1584501</v>
      </c>
      <c r="H82" s="109">
        <f>H16+H24+H29+H36+H43+H45+H47+H49</f>
        <v>0</v>
      </c>
      <c r="I82" s="110">
        <f>SUM(I72:I81)+I16+I24+I29+I36+I43+I45+I47+I49+I51+I56+I61+I66</f>
        <v>-446181.00000000093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33532345</v>
      </c>
      <c r="E11" s="66">
        <f>ONT_FLSH!M11</f>
        <v>75233124</v>
      </c>
      <c r="F11" s="60">
        <f>'ONT_GL '!D11</f>
        <v>34153225</v>
      </c>
      <c r="G11" s="38">
        <f>'ONT_GL '!E11</f>
        <v>76196424.209999993</v>
      </c>
      <c r="H11" s="60">
        <f>F11-D11</f>
        <v>620880</v>
      </c>
      <c r="I11" s="38">
        <f>G11-E11</f>
        <v>963300.20999999344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7969744.2800000003</v>
      </c>
      <c r="H12" s="60">
        <f>F12-D12</f>
        <v>0</v>
      </c>
      <c r="I12" s="38">
        <f>G12-E12</f>
        <v>7969744.2800000003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2963205</v>
      </c>
      <c r="E13" s="66">
        <f>ONT_FLSH!M13</f>
        <v>7101003</v>
      </c>
      <c r="F13" s="60">
        <f>'ONT_GL '!D13</f>
        <v>2963205</v>
      </c>
      <c r="G13" s="38">
        <f>'ONT_GL '!E13</f>
        <v>7101003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36495550</v>
      </c>
      <c r="E16" s="39">
        <f t="shared" si="1"/>
        <v>82334127</v>
      </c>
      <c r="F16" s="61">
        <f t="shared" si="1"/>
        <v>37116430</v>
      </c>
      <c r="G16" s="39">
        <f t="shared" si="1"/>
        <v>91267171.489999995</v>
      </c>
      <c r="H16" s="61">
        <f t="shared" si="1"/>
        <v>620880</v>
      </c>
      <c r="I16" s="39">
        <f t="shared" si="1"/>
        <v>8933044.4899999946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-35715373</v>
      </c>
      <c r="E19" s="66">
        <f>ONT_FLSH!M19</f>
        <v>-80552149</v>
      </c>
      <c r="F19" s="60">
        <f>'ONT_GL '!D19</f>
        <v>-36342680</v>
      </c>
      <c r="G19" s="38">
        <f>'ONT_GL '!E19</f>
        <v>-80291670.729999989</v>
      </c>
      <c r="H19" s="60">
        <f>F19-D19</f>
        <v>-627307</v>
      </c>
      <c r="I19" s="38">
        <f>G19-E19</f>
        <v>260478.27000001073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-9232058.3300000001</v>
      </c>
      <c r="H20" s="60">
        <f>F20-D20</f>
        <v>0</v>
      </c>
      <c r="I20" s="38">
        <f>G20-E20</f>
        <v>-9232058.3300000001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-807938</v>
      </c>
      <c r="E21" s="66">
        <f>ONT_FLSH!M21</f>
        <v>-1908298</v>
      </c>
      <c r="F21" s="60">
        <f>'ONT_GL '!D21</f>
        <v>-807938</v>
      </c>
      <c r="G21" s="38">
        <f>'ONT_GL '!E21</f>
        <v>-1955813</v>
      </c>
      <c r="H21" s="60">
        <f t="shared" ref="H21:I23" si="2">F21-D21</f>
        <v>0</v>
      </c>
      <c r="I21" s="38">
        <f t="shared" si="2"/>
        <v>-47515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0.92650000000139698</v>
      </c>
      <c r="H23" s="60">
        <f t="shared" si="2"/>
        <v>0</v>
      </c>
      <c r="I23" s="38">
        <f t="shared" si="2"/>
        <v>0.92650000000139698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-36523311</v>
      </c>
      <c r="E24" s="39">
        <f t="shared" si="3"/>
        <v>-82460447</v>
      </c>
      <c r="F24" s="61">
        <f t="shared" si="3"/>
        <v>-37150618</v>
      </c>
      <c r="G24" s="39">
        <f t="shared" si="3"/>
        <v>-91479541.133499995</v>
      </c>
      <c r="H24" s="61">
        <f t="shared" si="3"/>
        <v>-627307</v>
      </c>
      <c r="I24" s="39">
        <f t="shared" si="3"/>
        <v>-9019094.1334999893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725615</v>
      </c>
      <c r="G32" s="38">
        <f>'ONT_GL '!E32</f>
        <v>1734220.6147999999</v>
      </c>
      <c r="H32" s="60">
        <f>F32-D32</f>
        <v>725615</v>
      </c>
      <c r="I32" s="38">
        <f>G32-E32</f>
        <v>1734220.6147999999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725615</v>
      </c>
      <c r="G36" s="39">
        <f t="shared" si="6"/>
        <v>1734220.6147999999</v>
      </c>
      <c r="H36" s="61">
        <f t="shared" si="6"/>
        <v>725615</v>
      </c>
      <c r="I36" s="39">
        <f t="shared" si="6"/>
        <v>1734220.6147999999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27761</v>
      </c>
      <c r="E49" s="66">
        <f>ONT_FLSH!M49</f>
        <v>66348.789999999994</v>
      </c>
      <c r="F49" s="60">
        <f>'ONT_GL '!D49</f>
        <v>-691427</v>
      </c>
      <c r="G49" s="38">
        <f>'ONT_GL '!E49</f>
        <v>-1652510.5299999998</v>
      </c>
      <c r="H49" s="60">
        <f>F49-D49</f>
        <v>-719188</v>
      </c>
      <c r="I49" s="38">
        <f>G49-E49</f>
        <v>-1718859.3199999998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-0.92650000000139698</v>
      </c>
      <c r="H51" s="60">
        <f>F51-D51</f>
        <v>0</v>
      </c>
      <c r="I51" s="38">
        <f>G51-E51</f>
        <v>-0.92650000000139698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0</v>
      </c>
      <c r="F54" s="60">
        <f>'ONT_GL '!D54</f>
        <v>0</v>
      </c>
      <c r="G54" s="38">
        <f>'ONT_GL '!E54</f>
        <v>-72413.540000000008</v>
      </c>
      <c r="H54" s="60">
        <f>F54-D54</f>
        <v>0</v>
      </c>
      <c r="I54" s="38">
        <f>G54-E54</f>
        <v>-72413.540000000008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-3274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3274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-3274</v>
      </c>
      <c r="F56" s="61">
        <f t="shared" si="10"/>
        <v>0</v>
      </c>
      <c r="G56" s="39">
        <f t="shared" si="10"/>
        <v>-72413.540000000008</v>
      </c>
      <c r="H56" s="61">
        <f t="shared" si="10"/>
        <v>0</v>
      </c>
      <c r="I56" s="39">
        <f t="shared" si="10"/>
        <v>-69139.540000000008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708911.52289829031</v>
      </c>
      <c r="F70" s="60">
        <f>'ONT_GL '!D70</f>
        <v>0</v>
      </c>
      <c r="G70" s="38">
        <f>'ONT_GL '!E70</f>
        <v>708911.52</v>
      </c>
      <c r="H70" s="60">
        <f>F70-D70</f>
        <v>0</v>
      </c>
      <c r="I70" s="38">
        <f>G70-E70</f>
        <v>-2.8982902877032757E-3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-695660</v>
      </c>
      <c r="F71" s="60">
        <f>'ONT_GL '!D71</f>
        <v>0</v>
      </c>
      <c r="G71" s="38">
        <f>'ONT_GL '!E71</f>
        <v>-695660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13251.522898290306</v>
      </c>
      <c r="F72" s="69">
        <f t="shared" si="13"/>
        <v>0</v>
      </c>
      <c r="G72" s="70">
        <f t="shared" si="13"/>
        <v>13251.520000000019</v>
      </c>
      <c r="H72" s="69">
        <f t="shared" si="13"/>
        <v>0</v>
      </c>
      <c r="I72" s="70">
        <f t="shared" si="13"/>
        <v>-2.8982902877032757E-3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80335</v>
      </c>
      <c r="F74" s="60">
        <f>'ONT_GL '!D74</f>
        <v>0</v>
      </c>
      <c r="G74" s="38">
        <f>'ONT_GL '!E74</f>
        <v>91044</v>
      </c>
      <c r="H74" s="60">
        <f t="shared" ref="H74:I79" si="14">F74-D74</f>
        <v>0</v>
      </c>
      <c r="I74" s="38">
        <f t="shared" si="14"/>
        <v>10709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-110</v>
      </c>
      <c r="F76" s="60">
        <f>'ONT_GL '!D76</f>
        <v>0</v>
      </c>
      <c r="G76" s="38">
        <f>'ONT_GL '!E76</f>
        <v>-109.83</v>
      </c>
      <c r="H76" s="60">
        <f t="shared" si="14"/>
        <v>0</v>
      </c>
      <c r="I76" s="38">
        <f t="shared" si="14"/>
        <v>0.17000000000000171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32201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-32201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62432.312898286575</v>
      </c>
      <c r="F82" s="109">
        <f>F16+F24+F29+F36+F43+F45+F47+F49</f>
        <v>0</v>
      </c>
      <c r="G82" s="110">
        <f>SUM(G72:G81)+G16+G24+G29+G36+G43+G45+G47+G49+G51+G56+G61+G66</f>
        <v>-98888.335200002562</v>
      </c>
      <c r="H82" s="109">
        <f>H16+H24+H29+H36+H43+H45+H47+H49</f>
        <v>0</v>
      </c>
      <c r="I82" s="110">
        <f>SUM(I72:I81)+I16+I24+I29+I36+I43+I45+I47+I49+I51+I56+I61+I66</f>
        <v>-161320.64809828546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ONT_FLSH!L86</f>
        <v>0</v>
      </c>
      <c r="E86" s="147">
        <f>ONT_FLSH!M86</f>
        <v>686492</v>
      </c>
      <c r="F86" s="147">
        <f>'ONT_GL '!D86</f>
        <v>0</v>
      </c>
      <c r="G86" s="147">
        <f>'ONT_GL '!E86</f>
        <v>959431</v>
      </c>
      <c r="H86" s="147">
        <f t="shared" ref="H86:I88" si="15">F86-D86</f>
        <v>0</v>
      </c>
      <c r="I86" s="147">
        <f t="shared" si="15"/>
        <v>272939</v>
      </c>
    </row>
    <row r="87" spans="1:63" x14ac:dyDescent="0.25">
      <c r="A87" s="146"/>
      <c r="B87" s="3"/>
      <c r="C87" s="10" t="s">
        <v>71</v>
      </c>
      <c r="D87" s="148">
        <f>ONT_FLSH!L87</f>
        <v>0</v>
      </c>
      <c r="E87" s="148">
        <f>ONT_FLSH!M87</f>
        <v>0</v>
      </c>
      <c r="F87" s="148">
        <f>'ONT_GL '!D87</f>
        <v>0</v>
      </c>
      <c r="G87" s="148">
        <f>'ONT_GL '!E87</f>
        <v>-655799</v>
      </c>
      <c r="H87" s="148">
        <f t="shared" si="15"/>
        <v>0</v>
      </c>
      <c r="I87" s="148">
        <f t="shared" si="15"/>
        <v>-655799</v>
      </c>
    </row>
    <row r="88" spans="1:63" x14ac:dyDescent="0.25">
      <c r="A88" s="146"/>
      <c r="B88" s="3"/>
      <c r="C88" s="10" t="s">
        <v>72</v>
      </c>
      <c r="D88" s="149">
        <f>ONT_FLSH!L88</f>
        <v>0</v>
      </c>
      <c r="E88" s="149">
        <f>ONT_FLSH!M88</f>
        <v>0</v>
      </c>
      <c r="F88" s="149">
        <f>'ONT_GL '!D88</f>
        <v>0</v>
      </c>
      <c r="G88" s="149">
        <f>'ONT_GL '!E88</f>
        <v>-10632</v>
      </c>
      <c r="H88" s="149">
        <f t="shared" si="15"/>
        <v>0</v>
      </c>
      <c r="I88" s="149">
        <f t="shared" si="15"/>
        <v>-10632</v>
      </c>
    </row>
    <row r="89" spans="1:63" s="129" customFormat="1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686492</v>
      </c>
      <c r="F89" s="162">
        <f t="shared" si="16"/>
        <v>0</v>
      </c>
      <c r="G89" s="162">
        <f t="shared" si="16"/>
        <v>293000</v>
      </c>
      <c r="H89" s="162">
        <f t="shared" si="16"/>
        <v>0</v>
      </c>
      <c r="I89" s="162">
        <f t="shared" si="16"/>
        <v>-393492</v>
      </c>
    </row>
    <row r="90" spans="1:63" s="129" customFormat="1" x14ac:dyDescent="0.25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748924.31289828662</v>
      </c>
      <c r="F91" s="162">
        <f t="shared" si="17"/>
        <v>0</v>
      </c>
      <c r="G91" s="162">
        <f t="shared" si="17"/>
        <v>194111.66479999744</v>
      </c>
      <c r="H91" s="162">
        <f t="shared" si="17"/>
        <v>0</v>
      </c>
      <c r="I91" s="162">
        <f t="shared" si="17"/>
        <v>-554812.64809828543</v>
      </c>
    </row>
    <row r="92" spans="1:63" s="129" customFormat="1" x14ac:dyDescent="0.25">
      <c r="A92" s="164"/>
      <c r="B92" s="161"/>
      <c r="D92" s="165"/>
      <c r="E92" s="165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18373411</v>
      </c>
      <c r="E11" s="66">
        <f>BUG_FLSH!E11</f>
        <v>30357927</v>
      </c>
      <c r="F11" s="60">
        <f>BUG_GL!D11</f>
        <v>18326831</v>
      </c>
      <c r="G11" s="38">
        <f>BUG_GL!E11</f>
        <v>34814576.370000005</v>
      </c>
      <c r="H11" s="60">
        <f>F11-D11</f>
        <v>-46580</v>
      </c>
      <c r="I11" s="38">
        <f>G11-E11</f>
        <v>4456649.3700000048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41043766</v>
      </c>
      <c r="E13" s="66">
        <f>BUG_FLSH!E13</f>
        <v>118235966</v>
      </c>
      <c r="F13" s="60">
        <f>BUG_GL!D13</f>
        <v>41043766</v>
      </c>
      <c r="G13" s="38">
        <f>BUG_GL!E13</f>
        <v>118235966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10532765</v>
      </c>
      <c r="F15" s="60">
        <f>BUG_GL!D15</f>
        <v>0</v>
      </c>
      <c r="G15" s="38">
        <f>BUG_GL!E15</f>
        <v>10494603</v>
      </c>
      <c r="H15" s="60">
        <f t="shared" si="0"/>
        <v>0</v>
      </c>
      <c r="I15" s="38">
        <f t="shared" si="0"/>
        <v>-38162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59417177</v>
      </c>
      <c r="E16" s="39">
        <f t="shared" si="1"/>
        <v>159126658</v>
      </c>
      <c r="F16" s="61">
        <f t="shared" si="1"/>
        <v>59370597</v>
      </c>
      <c r="G16" s="39">
        <f t="shared" si="1"/>
        <v>163545145.37</v>
      </c>
      <c r="H16" s="61">
        <f t="shared" si="1"/>
        <v>-46580</v>
      </c>
      <c r="I16" s="39">
        <f t="shared" si="1"/>
        <v>4418487.3700000048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-7707344</v>
      </c>
      <c r="E19" s="66">
        <f>BUG_FLSH!E19</f>
        <v>-15009940</v>
      </c>
      <c r="F19" s="60">
        <f>BUG_GL!D19</f>
        <v>-7698810</v>
      </c>
      <c r="G19" s="38">
        <f>BUG_GL!E19</f>
        <v>-19257755.359999999</v>
      </c>
      <c r="H19" s="60">
        <f>F19-D19</f>
        <v>8534</v>
      </c>
      <c r="I19" s="38">
        <f>G19-E19</f>
        <v>-4247815.3599999994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-271351.09999999998</v>
      </c>
      <c r="H20" s="60">
        <f>F20-D20</f>
        <v>0</v>
      </c>
      <c r="I20" s="38">
        <f>G20-E20</f>
        <v>-271351.09999999998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-42605098</v>
      </c>
      <c r="E21" s="66">
        <f>BUG_FLSH!E21</f>
        <v>-118737179</v>
      </c>
      <c r="F21" s="60">
        <f>BUG_GL!D21</f>
        <v>-42605098</v>
      </c>
      <c r="G21" s="38">
        <f>BUG_GL!E21</f>
        <v>-118731676</v>
      </c>
      <c r="H21" s="60">
        <f t="shared" ref="H21:I23" si="2">F21-D21</f>
        <v>0</v>
      </c>
      <c r="I21" s="38">
        <f t="shared" si="2"/>
        <v>5503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772833</v>
      </c>
      <c r="E23" s="66">
        <f>BUG_FLSH!E23</f>
        <v>1907845</v>
      </c>
      <c r="F23" s="60">
        <f>BUG_GL!D23</f>
        <v>772833</v>
      </c>
      <c r="G23" s="38">
        <f>BUG_GL!E23</f>
        <v>0</v>
      </c>
      <c r="H23" s="60">
        <f t="shared" si="2"/>
        <v>0</v>
      </c>
      <c r="I23" s="38">
        <f t="shared" si="2"/>
        <v>-1907845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-49539609</v>
      </c>
      <c r="E24" s="39">
        <f t="shared" si="3"/>
        <v>-131839274</v>
      </c>
      <c r="F24" s="61">
        <f t="shared" si="3"/>
        <v>-49531075</v>
      </c>
      <c r="G24" s="39">
        <f t="shared" si="3"/>
        <v>-138260782.46000001</v>
      </c>
      <c r="H24" s="61">
        <f t="shared" si="3"/>
        <v>8534</v>
      </c>
      <c r="I24" s="39">
        <f t="shared" si="3"/>
        <v>-6421508.459999999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-36</v>
      </c>
      <c r="E32" s="66">
        <f>BUG_FLSH!E32</f>
        <v>-112</v>
      </c>
      <c r="F32" s="60">
        <f>BUG_GL!D32</f>
        <v>-556681</v>
      </c>
      <c r="G32" s="38">
        <f>BUG_GL!E32</f>
        <v>0</v>
      </c>
      <c r="H32" s="60">
        <f>F32-D32</f>
        <v>-556645</v>
      </c>
      <c r="I32" s="38">
        <f>G32-E32</f>
        <v>112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-569433</v>
      </c>
      <c r="E35" s="66">
        <f>BUG_FLSH!E35</f>
        <v>-1549151</v>
      </c>
      <c r="F35" s="60">
        <f>BUG_GL!D35</f>
        <v>0</v>
      </c>
      <c r="G35" s="38">
        <f>BUG_GL!E35</f>
        <v>-1635870.01</v>
      </c>
      <c r="H35" s="60">
        <f t="shared" si="5"/>
        <v>569433</v>
      </c>
      <c r="I35" s="38">
        <f t="shared" si="5"/>
        <v>-86719.010000000009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-569469</v>
      </c>
      <c r="E36" s="39">
        <f t="shared" si="6"/>
        <v>-1549263</v>
      </c>
      <c r="F36" s="61">
        <f t="shared" si="6"/>
        <v>-556681</v>
      </c>
      <c r="G36" s="39">
        <f t="shared" si="6"/>
        <v>-1635870.01</v>
      </c>
      <c r="H36" s="61">
        <f t="shared" si="6"/>
        <v>12788</v>
      </c>
      <c r="I36" s="39">
        <f t="shared" si="6"/>
        <v>-86607.010000000009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350183</v>
      </c>
      <c r="E39" s="66">
        <f>BUG_FLSH!E39</f>
        <v>952497</v>
      </c>
      <c r="F39" s="60">
        <f>BUG_GL!D39</f>
        <v>271782</v>
      </c>
      <c r="G39" s="38">
        <f>BUG_GL!E39</f>
        <v>593156.68999999994</v>
      </c>
      <c r="H39" s="60">
        <f t="shared" ref="H39:I41" si="7">F39-D39</f>
        <v>-78401</v>
      </c>
      <c r="I39" s="38">
        <f t="shared" si="7"/>
        <v>-359340.31000000006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-9389688</v>
      </c>
      <c r="E40" s="66">
        <f>BUG_FLSH!E40</f>
        <v>-9918192</v>
      </c>
      <c r="F40" s="60">
        <f>BUG_GL!D40</f>
        <v>-9089545</v>
      </c>
      <c r="G40" s="38">
        <f>BUG_GL!E40</f>
        <v>-7982171.3200000022</v>
      </c>
      <c r="H40" s="60">
        <f t="shared" si="7"/>
        <v>300143</v>
      </c>
      <c r="I40" s="38">
        <f t="shared" si="7"/>
        <v>1936020.6799999978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-9389688</v>
      </c>
      <c r="E42" s="70">
        <f t="shared" si="8"/>
        <v>-9918192</v>
      </c>
      <c r="F42" s="69">
        <f t="shared" si="8"/>
        <v>-9089545</v>
      </c>
      <c r="G42" s="70">
        <f t="shared" si="8"/>
        <v>-7982171.3200000022</v>
      </c>
      <c r="H42" s="69">
        <f t="shared" si="8"/>
        <v>300143</v>
      </c>
      <c r="I42" s="70">
        <f t="shared" si="8"/>
        <v>1936020.6799999978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-9039505</v>
      </c>
      <c r="E43" s="39">
        <f t="shared" si="9"/>
        <v>-8965695</v>
      </c>
      <c r="F43" s="61">
        <f t="shared" si="9"/>
        <v>-8817763</v>
      </c>
      <c r="G43" s="39">
        <f t="shared" si="9"/>
        <v>-7389014.6300000027</v>
      </c>
      <c r="H43" s="61">
        <f t="shared" si="9"/>
        <v>221742</v>
      </c>
      <c r="I43" s="39">
        <f t="shared" si="9"/>
        <v>1576680.3699999978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-268594</v>
      </c>
      <c r="E49" s="66">
        <f>BUG_FLSH!E49</f>
        <v>-585803.51399999997</v>
      </c>
      <c r="F49" s="60">
        <f>BUG_GL!D49</f>
        <v>-465078</v>
      </c>
      <c r="G49" s="38">
        <f>BUG_GL!E49</f>
        <v>-1014335.1190000002</v>
      </c>
      <c r="H49" s="60">
        <f>F49-D49</f>
        <v>-196484</v>
      </c>
      <c r="I49" s="38">
        <f>G49-E49</f>
        <v>-428531.60500000021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-772833</v>
      </c>
      <c r="E51" s="66">
        <f>BUG_FLSH!E51</f>
        <v>-1907845</v>
      </c>
      <c r="F51" s="60">
        <f>BUG_GL!D51</f>
        <v>0</v>
      </c>
      <c r="G51" s="38">
        <f>BUG_GL!E51</f>
        <v>0</v>
      </c>
      <c r="H51" s="60">
        <f>F51-D51</f>
        <v>772833</v>
      </c>
      <c r="I51" s="38">
        <f>G51-E51</f>
        <v>1907845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-899235</v>
      </c>
      <c r="F54" s="60">
        <f>BUG_GL!D54</f>
        <v>-27171211</v>
      </c>
      <c r="G54" s="38">
        <f>BUG_GL!E54</f>
        <v>-1028682.59</v>
      </c>
      <c r="H54" s="60">
        <f>F54-D54</f>
        <v>-27171211</v>
      </c>
      <c r="I54" s="38">
        <f>G54-E54</f>
        <v>-129447.58999999997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-10532765</v>
      </c>
      <c r="F55" s="60">
        <f>BUG_GL!D55</f>
        <v>0</v>
      </c>
      <c r="G55" s="38">
        <f>BUG_GL!E55</f>
        <v>-10483530.560000001</v>
      </c>
      <c r="H55" s="60">
        <f>F55-D55</f>
        <v>0</v>
      </c>
      <c r="I55" s="38">
        <f>G55-E55</f>
        <v>49234.439999999478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-11432000</v>
      </c>
      <c r="F56" s="61">
        <f t="shared" si="10"/>
        <v>-27171211</v>
      </c>
      <c r="G56" s="39">
        <f t="shared" si="10"/>
        <v>-11512213.15</v>
      </c>
      <c r="H56" s="61">
        <f t="shared" si="10"/>
        <v>-27171211</v>
      </c>
      <c r="I56" s="39">
        <f t="shared" si="10"/>
        <v>-80213.150000000489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6350126.3000008017</v>
      </c>
      <c r="F70" s="60">
        <f>BUG_GL!D70</f>
        <v>0</v>
      </c>
      <c r="G70" s="38">
        <f>BUG_GL!E70</f>
        <v>6350126.2999999998</v>
      </c>
      <c r="H70" s="60">
        <f>F70-D70</f>
        <v>0</v>
      </c>
      <c r="I70" s="38">
        <f>G70-E70</f>
        <v>-8.01868736743927E-7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-6830063</v>
      </c>
      <c r="F71" s="60">
        <f>BUG_GL!D71</f>
        <v>0</v>
      </c>
      <c r="G71" s="38">
        <f>BUG_GL!E71</f>
        <v>-6830063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-479936.69999919832</v>
      </c>
      <c r="F72" s="69">
        <f t="shared" si="13"/>
        <v>0</v>
      </c>
      <c r="G72" s="70">
        <f t="shared" si="13"/>
        <v>-479936.70000000019</v>
      </c>
      <c r="H72" s="69">
        <f t="shared" si="13"/>
        <v>0</v>
      </c>
      <c r="I72" s="70">
        <f t="shared" si="13"/>
        <v>-8.01868736743927E-7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-846573</v>
      </c>
      <c r="F74" s="60">
        <f>BUG_GL!D74</f>
        <v>0</v>
      </c>
      <c r="G74" s="38">
        <f>BUG_GL!E74</f>
        <v>-1654984</v>
      </c>
      <c r="H74" s="60">
        <f t="shared" ref="H74:I79" si="14">F74-D74</f>
        <v>0</v>
      </c>
      <c r="I74" s="38">
        <f t="shared" si="14"/>
        <v>-808411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22818</v>
      </c>
      <c r="F75" s="60">
        <f>BUG_GL!D75</f>
        <v>0</v>
      </c>
      <c r="G75" s="38">
        <f>BUG_GL!E75</f>
        <v>22800</v>
      </c>
      <c r="H75" s="60">
        <f t="shared" si="14"/>
        <v>0</v>
      </c>
      <c r="I75" s="38">
        <f t="shared" si="14"/>
        <v>-18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9629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-9629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1552714.7860007863</v>
      </c>
      <c r="F82" s="109">
        <f>F16+F24+F29+F36+F43+F45+F47+F49</f>
        <v>0</v>
      </c>
      <c r="G82" s="110">
        <f>SUM(G72:G81)+G16+G24+G29+G36+G43+G45+G47+G49+G51+G56+G61+G66</f>
        <v>1620809.3010000028</v>
      </c>
      <c r="H82" s="109">
        <f>H16+H24+H29+H36+H43+H45+H47+H49</f>
        <v>0</v>
      </c>
      <c r="I82" s="110">
        <f>SUM(I72:I81)+I16+I24+I29+I36+I43+I45+I47+I49+I51+I56+I61+I66</f>
        <v>68094.514999201172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70"/>
  <sheetViews>
    <sheetView topLeftCell="O631" workbookViewId="0">
      <pane xSplit="14976" topLeftCell="O1"/>
      <selection activeCell="Y643" sqref="Y643"/>
      <selection pane="topRight" activeCell="O653" sqref="O653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7" customWidth="1"/>
    <col min="7" max="7" width="12" style="204" customWidth="1"/>
    <col min="8" max="8" width="12.33203125" style="33" customWidth="1"/>
    <col min="9" max="9" width="12.44140625" style="204" customWidth="1"/>
    <col min="10" max="11" width="11.33203125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17" width="13.5546875" style="33" customWidth="1"/>
    <col min="18" max="18" width="9.109375" style="33"/>
    <col min="19" max="19" width="11.5546875" style="33" customWidth="1"/>
    <col min="20" max="20" width="10" style="33" customWidth="1"/>
    <col min="21" max="21" width="11.33203125" style="33" customWidth="1"/>
    <col min="22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8">
        <v>36495</v>
      </c>
      <c r="F1" s="198"/>
      <c r="G1" s="199">
        <f>+E1+31</f>
        <v>36526</v>
      </c>
      <c r="H1" s="199"/>
      <c r="I1" s="199">
        <v>36557</v>
      </c>
      <c r="J1" s="199"/>
      <c r="K1" s="193">
        <f>+I1+31</f>
        <v>36588</v>
      </c>
      <c r="L1" s="193"/>
      <c r="M1" s="193">
        <f>+K1+31</f>
        <v>36619</v>
      </c>
      <c r="N1" s="193"/>
      <c r="O1" s="193">
        <f>+M1+30</f>
        <v>36649</v>
      </c>
      <c r="P1" s="193"/>
      <c r="Q1" s="193">
        <f>+O1+31</f>
        <v>36680</v>
      </c>
      <c r="R1" s="193"/>
      <c r="S1" s="193">
        <f>+Q1+31</f>
        <v>36711</v>
      </c>
      <c r="T1" s="193"/>
      <c r="U1" s="193">
        <f>+S1+31</f>
        <v>36742</v>
      </c>
      <c r="V1" s="193"/>
      <c r="W1" s="193">
        <f>+U1+31</f>
        <v>36773</v>
      </c>
      <c r="X1" s="193"/>
      <c r="Y1" s="193">
        <f>+W1+31</f>
        <v>36804</v>
      </c>
      <c r="Z1" s="193"/>
      <c r="AA1" s="193">
        <f>+Y1+31</f>
        <v>36835</v>
      </c>
      <c r="AB1" s="193"/>
      <c r="AC1" s="193">
        <f>+AA1+31</f>
        <v>36866</v>
      </c>
      <c r="AD1" s="193"/>
      <c r="AE1" s="193">
        <f>+AC1+31</f>
        <v>36897</v>
      </c>
      <c r="AF1" s="193"/>
      <c r="AG1" s="193"/>
      <c r="AH1" s="193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4" t="s">
        <v>120</v>
      </c>
    </row>
    <row r="3" spans="1:118" s="200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201" t="s">
        <v>205</v>
      </c>
      <c r="F3" s="200" t="s">
        <v>206</v>
      </c>
      <c r="G3" s="206" t="s">
        <v>205</v>
      </c>
      <c r="H3" s="200" t="s">
        <v>206</v>
      </c>
      <c r="I3" s="206" t="s">
        <v>205</v>
      </c>
      <c r="J3" s="200" t="s">
        <v>206</v>
      </c>
      <c r="K3" s="201" t="s">
        <v>205</v>
      </c>
      <c r="L3" s="200" t="s">
        <v>206</v>
      </c>
      <c r="M3" s="201" t="s">
        <v>205</v>
      </c>
      <c r="N3" s="200" t="s">
        <v>206</v>
      </c>
      <c r="O3" s="201" t="s">
        <v>205</v>
      </c>
      <c r="P3" s="200" t="s">
        <v>206</v>
      </c>
      <c r="Q3" s="201" t="s">
        <v>205</v>
      </c>
      <c r="R3" s="200" t="s">
        <v>206</v>
      </c>
      <c r="S3" s="201" t="s">
        <v>122</v>
      </c>
      <c r="U3" s="201" t="s">
        <v>122</v>
      </c>
      <c r="W3" s="201" t="s">
        <v>122</v>
      </c>
      <c r="Y3" s="201" t="s">
        <v>122</v>
      </c>
      <c r="AA3" s="201" t="s">
        <v>122</v>
      </c>
      <c r="AC3" s="201" t="s">
        <v>122</v>
      </c>
      <c r="AE3" s="201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116">
        <v>102990</v>
      </c>
      <c r="F4" s="116">
        <v>219471.69</v>
      </c>
      <c r="G4" s="203">
        <v>922</v>
      </c>
      <c r="H4" s="202">
        <v>1964.78</v>
      </c>
      <c r="I4" s="203">
        <v>0</v>
      </c>
      <c r="J4" s="202">
        <v>0</v>
      </c>
      <c r="K4" s="202">
        <v>0</v>
      </c>
      <c r="L4" s="202">
        <v>0</v>
      </c>
      <c r="M4" s="202">
        <v>0</v>
      </c>
      <c r="N4" s="202">
        <v>0</v>
      </c>
      <c r="O4" s="202">
        <v>0</v>
      </c>
      <c r="P4" s="202">
        <v>0</v>
      </c>
      <c r="Q4" s="202">
        <v>0</v>
      </c>
      <c r="R4" s="202">
        <v>0</v>
      </c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116">
        <v>0</v>
      </c>
      <c r="F5" s="116">
        <v>0</v>
      </c>
      <c r="G5" s="203">
        <v>0</v>
      </c>
      <c r="H5" s="202">
        <v>0</v>
      </c>
      <c r="I5" s="203">
        <v>0</v>
      </c>
      <c r="J5" s="202">
        <v>0</v>
      </c>
      <c r="K5" s="202">
        <v>0</v>
      </c>
      <c r="L5" s="202">
        <v>0</v>
      </c>
      <c r="M5" s="202">
        <v>0</v>
      </c>
      <c r="N5" s="202">
        <v>0</v>
      </c>
      <c r="O5" s="202">
        <v>0</v>
      </c>
      <c r="P5" s="202">
        <v>0</v>
      </c>
      <c r="Q5" s="202">
        <v>0</v>
      </c>
      <c r="R5" s="202">
        <v>0</v>
      </c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116">
        <v>0</v>
      </c>
      <c r="F6" s="116">
        <v>0</v>
      </c>
      <c r="G6" s="203">
        <v>0</v>
      </c>
      <c r="H6" s="202">
        <v>0</v>
      </c>
      <c r="I6" s="203">
        <v>0</v>
      </c>
      <c r="J6" s="202">
        <v>0</v>
      </c>
      <c r="K6" s="202">
        <v>0</v>
      </c>
      <c r="L6" s="202">
        <v>0</v>
      </c>
      <c r="M6" s="202">
        <v>0</v>
      </c>
      <c r="N6" s="202">
        <v>0</v>
      </c>
      <c r="O6" s="202">
        <v>0</v>
      </c>
      <c r="P6" s="202">
        <v>0</v>
      </c>
      <c r="Q6" s="202">
        <v>0</v>
      </c>
      <c r="R6" s="202">
        <v>0</v>
      </c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116">
        <v>0</v>
      </c>
      <c r="F7" s="116">
        <v>0</v>
      </c>
      <c r="G7" s="203">
        <v>0</v>
      </c>
      <c r="H7" s="202">
        <v>0</v>
      </c>
      <c r="I7" s="203">
        <v>0</v>
      </c>
      <c r="J7" s="202">
        <v>0</v>
      </c>
      <c r="K7" s="202">
        <v>0</v>
      </c>
      <c r="L7" s="202">
        <v>0</v>
      </c>
      <c r="M7" s="202">
        <v>0</v>
      </c>
      <c r="N7" s="202">
        <v>0</v>
      </c>
      <c r="O7" s="202">
        <v>0</v>
      </c>
      <c r="P7" s="202">
        <v>0</v>
      </c>
      <c r="Q7" s="202">
        <v>0</v>
      </c>
      <c r="R7" s="202">
        <v>0</v>
      </c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116">
        <v>0</v>
      </c>
      <c r="F8" s="116">
        <v>0</v>
      </c>
      <c r="G8" s="203">
        <v>0</v>
      </c>
      <c r="H8" s="202">
        <v>0</v>
      </c>
      <c r="I8" s="203">
        <v>0</v>
      </c>
      <c r="J8" s="202">
        <v>0</v>
      </c>
      <c r="K8" s="202">
        <v>0</v>
      </c>
      <c r="L8" s="202">
        <v>0</v>
      </c>
      <c r="M8" s="202">
        <v>0</v>
      </c>
      <c r="N8" s="202">
        <v>0</v>
      </c>
      <c r="O8" s="202">
        <v>0</v>
      </c>
      <c r="P8" s="202">
        <v>0</v>
      </c>
      <c r="Q8" s="202">
        <v>0</v>
      </c>
      <c r="R8" s="202">
        <v>0</v>
      </c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116">
        <v>20212</v>
      </c>
      <c r="F9" s="116">
        <v>41373.96</v>
      </c>
      <c r="G9" s="203">
        <v>-20212</v>
      </c>
      <c r="H9" s="202">
        <v>-41373.96</v>
      </c>
      <c r="I9" s="203">
        <v>0</v>
      </c>
      <c r="J9" s="202">
        <v>0</v>
      </c>
      <c r="K9" s="202">
        <v>0</v>
      </c>
      <c r="L9" s="202">
        <v>0</v>
      </c>
      <c r="M9" s="202">
        <v>0</v>
      </c>
      <c r="N9" s="202">
        <v>0</v>
      </c>
      <c r="O9" s="202">
        <v>0</v>
      </c>
      <c r="P9" s="202">
        <v>0</v>
      </c>
      <c r="Q9" s="202">
        <v>0</v>
      </c>
      <c r="R9" s="202">
        <v>0</v>
      </c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117">
        <v>0</v>
      </c>
      <c r="F10" s="117">
        <v>0</v>
      </c>
      <c r="G10" s="203">
        <v>0</v>
      </c>
      <c r="H10" s="202">
        <v>0</v>
      </c>
      <c r="I10" s="203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117">
        <v>0</v>
      </c>
      <c r="F11" s="117">
        <v>0</v>
      </c>
      <c r="G11" s="203">
        <v>0</v>
      </c>
      <c r="H11" s="202">
        <v>0</v>
      </c>
      <c r="I11" s="203">
        <v>0</v>
      </c>
      <c r="J11" s="202">
        <v>0</v>
      </c>
      <c r="K11" s="202">
        <v>0</v>
      </c>
      <c r="L11" s="202">
        <v>0</v>
      </c>
      <c r="M11" s="202">
        <v>0</v>
      </c>
      <c r="N11" s="202">
        <v>0</v>
      </c>
      <c r="O11" s="202">
        <v>0</v>
      </c>
      <c r="P11" s="202">
        <v>0</v>
      </c>
      <c r="Q11" s="202">
        <v>0</v>
      </c>
      <c r="R11" s="202">
        <v>0</v>
      </c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117">
        <v>0</v>
      </c>
      <c r="F12" s="117">
        <v>0</v>
      </c>
      <c r="G12" s="203">
        <v>0</v>
      </c>
      <c r="H12" s="202">
        <v>0</v>
      </c>
      <c r="I12" s="203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117">
        <v>0</v>
      </c>
      <c r="F13" s="117">
        <v>0</v>
      </c>
      <c r="G13" s="203">
        <v>0</v>
      </c>
      <c r="H13" s="202">
        <v>0</v>
      </c>
      <c r="I13" s="203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116">
        <v>114576</v>
      </c>
      <c r="F14" s="116">
        <v>268736.15999999997</v>
      </c>
      <c r="G14" s="203">
        <v>20212</v>
      </c>
      <c r="H14" s="202">
        <v>47385.18</v>
      </c>
      <c r="I14" s="203">
        <v>0</v>
      </c>
      <c r="J14" s="202">
        <v>0</v>
      </c>
      <c r="K14" s="202">
        <v>17466</v>
      </c>
      <c r="L14" s="202">
        <v>40965.379999999997</v>
      </c>
      <c r="M14" s="202">
        <v>0</v>
      </c>
      <c r="N14" s="202">
        <v>-304677.44</v>
      </c>
      <c r="O14" s="202">
        <v>-130078</v>
      </c>
      <c r="P14" s="202">
        <v>-400.31</v>
      </c>
      <c r="Q14" s="202">
        <v>-22176</v>
      </c>
      <c r="R14" s="202">
        <v>-52008.97</v>
      </c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116">
        <v>-237778</v>
      </c>
      <c r="F15" s="116">
        <v>-533451.97</v>
      </c>
      <c r="G15" s="203">
        <v>-922</v>
      </c>
      <c r="H15" s="202">
        <v>-1923.69</v>
      </c>
      <c r="I15" s="203">
        <v>0</v>
      </c>
      <c r="J15" s="202">
        <v>0</v>
      </c>
      <c r="K15" s="202">
        <v>-17466</v>
      </c>
      <c r="L15" s="202">
        <v>-40962.32</v>
      </c>
      <c r="M15" s="202">
        <v>0</v>
      </c>
      <c r="N15" s="202">
        <v>-336789.84</v>
      </c>
      <c r="O15" s="202">
        <v>130078</v>
      </c>
      <c r="P15" s="202">
        <v>641864.53</v>
      </c>
      <c r="Q15" s="202">
        <v>22176</v>
      </c>
      <c r="R15" s="202">
        <v>52008.97</v>
      </c>
      <c r="S15" s="202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116">
        <v>0</v>
      </c>
      <c r="F16" s="116">
        <v>0</v>
      </c>
      <c r="G16" s="203">
        <v>0</v>
      </c>
      <c r="H16" s="202">
        <v>0</v>
      </c>
      <c r="I16" s="203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116">
        <v>0</v>
      </c>
      <c r="F17" s="116">
        <v>0</v>
      </c>
      <c r="G17" s="203">
        <v>0</v>
      </c>
      <c r="H17" s="202">
        <v>0</v>
      </c>
      <c r="I17" s="203">
        <v>0</v>
      </c>
      <c r="J17" s="202">
        <v>0</v>
      </c>
      <c r="K17" s="202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116">
        <v>0</v>
      </c>
      <c r="F18" s="116">
        <v>0</v>
      </c>
      <c r="G18" s="203">
        <v>0</v>
      </c>
      <c r="H18" s="202">
        <v>0</v>
      </c>
      <c r="I18" s="203">
        <v>0</v>
      </c>
      <c r="J18" s="202">
        <v>0</v>
      </c>
      <c r="K18" s="202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116">
        <v>0</v>
      </c>
      <c r="F19" s="116">
        <v>0</v>
      </c>
      <c r="G19" s="203">
        <v>0</v>
      </c>
      <c r="H19" s="202">
        <v>0</v>
      </c>
      <c r="I19" s="203">
        <v>0</v>
      </c>
      <c r="J19" s="202">
        <v>0</v>
      </c>
      <c r="K19" s="202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116">
        <v>0</v>
      </c>
      <c r="F20" s="116">
        <v>0</v>
      </c>
      <c r="G20" s="203">
        <v>0</v>
      </c>
      <c r="H20" s="202">
        <v>0</v>
      </c>
      <c r="I20" s="203">
        <v>0</v>
      </c>
      <c r="J20" s="202">
        <v>0</v>
      </c>
      <c r="K20" s="202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116">
        <v>0</v>
      </c>
      <c r="F21" s="116">
        <v>0</v>
      </c>
      <c r="G21" s="203">
        <v>0</v>
      </c>
      <c r="H21" s="202">
        <v>0</v>
      </c>
      <c r="I21" s="203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116">
        <v>0</v>
      </c>
      <c r="F22" s="116">
        <v>0</v>
      </c>
      <c r="G22" s="203">
        <v>0</v>
      </c>
      <c r="H22" s="202">
        <v>0</v>
      </c>
      <c r="I22" s="203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116">
        <v>0</v>
      </c>
      <c r="F23" s="116">
        <v>0</v>
      </c>
      <c r="G23" s="203">
        <v>0</v>
      </c>
      <c r="H23" s="202">
        <v>0</v>
      </c>
      <c r="I23" s="203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116">
        <v>0</v>
      </c>
      <c r="F24" s="116">
        <v>0</v>
      </c>
      <c r="G24" s="203">
        <v>0</v>
      </c>
      <c r="H24" s="202">
        <v>0</v>
      </c>
      <c r="I24" s="203">
        <v>0</v>
      </c>
      <c r="J24" s="202">
        <v>16109.33</v>
      </c>
      <c r="K24" s="202">
        <v>0</v>
      </c>
      <c r="L24" s="202">
        <v>135976.66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116">
        <v>0</v>
      </c>
      <c r="F25" s="116">
        <v>0</v>
      </c>
      <c r="G25" s="203">
        <v>0</v>
      </c>
      <c r="H25" s="202">
        <v>0</v>
      </c>
      <c r="I25" s="203">
        <v>0</v>
      </c>
      <c r="J25" s="202">
        <v>0</v>
      </c>
      <c r="K25" s="202">
        <v>0</v>
      </c>
      <c r="L25" s="202">
        <v>0</v>
      </c>
      <c r="M25" s="202">
        <v>0</v>
      </c>
      <c r="N25" s="202">
        <v>0</v>
      </c>
      <c r="O25" s="202">
        <v>0</v>
      </c>
      <c r="P25" s="202">
        <v>0</v>
      </c>
      <c r="Q25" s="202">
        <v>0</v>
      </c>
      <c r="R25" s="202">
        <v>0</v>
      </c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116">
        <v>0</v>
      </c>
      <c r="F26" s="116">
        <v>0</v>
      </c>
      <c r="G26" s="203">
        <v>0</v>
      </c>
      <c r="H26" s="202">
        <v>0</v>
      </c>
      <c r="I26" s="203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116">
        <v>-114576</v>
      </c>
      <c r="F27" s="116">
        <v>0</v>
      </c>
      <c r="G27" s="203">
        <v>114576</v>
      </c>
      <c r="H27" s="202">
        <v>0</v>
      </c>
      <c r="I27" s="203">
        <v>0</v>
      </c>
      <c r="J27" s="202">
        <v>0</v>
      </c>
      <c r="K27" s="202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116">
        <v>0</v>
      </c>
      <c r="F28" s="116">
        <v>0</v>
      </c>
      <c r="G28" s="203">
        <v>0</v>
      </c>
      <c r="H28" s="202">
        <v>0</v>
      </c>
      <c r="I28" s="203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116">
        <v>0</v>
      </c>
      <c r="F29" s="116">
        <v>0</v>
      </c>
      <c r="G29" s="203">
        <v>0</v>
      </c>
      <c r="H29" s="202">
        <v>0</v>
      </c>
      <c r="I29" s="203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116">
        <v>0</v>
      </c>
      <c r="F30" s="116">
        <v>0</v>
      </c>
      <c r="G30" s="203">
        <v>0</v>
      </c>
      <c r="H30" s="202">
        <v>0</v>
      </c>
      <c r="I30" s="203">
        <v>0</v>
      </c>
      <c r="J30" s="202">
        <v>0</v>
      </c>
      <c r="K30" s="202">
        <v>0</v>
      </c>
      <c r="L30" s="202">
        <v>0</v>
      </c>
      <c r="M30" s="202">
        <v>0</v>
      </c>
      <c r="N30" s="202">
        <v>0</v>
      </c>
      <c r="O30" s="202">
        <v>0</v>
      </c>
      <c r="P30" s="202">
        <v>0</v>
      </c>
      <c r="Q30" s="202">
        <v>0</v>
      </c>
      <c r="R30" s="202">
        <v>0</v>
      </c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116">
        <v>0</v>
      </c>
      <c r="F31" s="116">
        <v>0</v>
      </c>
      <c r="G31" s="203">
        <v>0</v>
      </c>
      <c r="H31" s="202">
        <v>0</v>
      </c>
      <c r="I31" s="203">
        <v>0</v>
      </c>
      <c r="J31" s="202">
        <v>0</v>
      </c>
      <c r="K31" s="202">
        <v>0</v>
      </c>
      <c r="L31" s="202">
        <v>0</v>
      </c>
      <c r="M31" s="202">
        <v>0</v>
      </c>
      <c r="N31" s="202">
        <v>0</v>
      </c>
      <c r="O31" s="202">
        <v>0</v>
      </c>
      <c r="P31" s="202">
        <v>0</v>
      </c>
      <c r="Q31" s="202">
        <v>0</v>
      </c>
      <c r="R31" s="202">
        <v>0</v>
      </c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116">
        <v>0</v>
      </c>
      <c r="F32" s="116">
        <v>0</v>
      </c>
      <c r="G32" s="203">
        <v>0</v>
      </c>
      <c r="H32" s="202">
        <v>0</v>
      </c>
      <c r="I32" s="203">
        <v>0</v>
      </c>
      <c r="J32" s="202">
        <v>0</v>
      </c>
      <c r="K32" s="202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116">
        <v>0</v>
      </c>
      <c r="F33" s="116">
        <v>0</v>
      </c>
      <c r="G33" s="203">
        <v>0</v>
      </c>
      <c r="H33" s="202">
        <v>0</v>
      </c>
      <c r="I33" s="203">
        <v>0</v>
      </c>
      <c r="J33" s="202">
        <v>0</v>
      </c>
      <c r="K33" s="202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116">
        <v>0</v>
      </c>
      <c r="F34" s="116">
        <v>0</v>
      </c>
      <c r="G34" s="203">
        <v>0</v>
      </c>
      <c r="H34" s="202">
        <v>0</v>
      </c>
      <c r="I34" s="203">
        <v>0</v>
      </c>
      <c r="J34" s="202">
        <v>0</v>
      </c>
      <c r="K34" s="202">
        <v>0</v>
      </c>
      <c r="L34" s="202">
        <v>0</v>
      </c>
      <c r="M34" s="202">
        <v>0</v>
      </c>
      <c r="N34" s="202">
        <v>0</v>
      </c>
      <c r="O34" s="202">
        <v>0</v>
      </c>
      <c r="P34" s="202">
        <v>0</v>
      </c>
      <c r="Q34" s="202">
        <v>0</v>
      </c>
      <c r="R34" s="202">
        <v>0</v>
      </c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116">
        <v>0</v>
      </c>
      <c r="F35" s="116">
        <v>0</v>
      </c>
      <c r="G35" s="203">
        <v>0</v>
      </c>
      <c r="H35" s="202">
        <v>0</v>
      </c>
      <c r="I35" s="203">
        <v>0</v>
      </c>
      <c r="J35" s="202">
        <v>0</v>
      </c>
      <c r="K35" s="202">
        <v>0</v>
      </c>
      <c r="L35" s="202">
        <v>0</v>
      </c>
      <c r="M35" s="202">
        <v>0</v>
      </c>
      <c r="N35" s="202">
        <v>0</v>
      </c>
      <c r="O35" s="202">
        <v>0</v>
      </c>
      <c r="P35" s="202">
        <v>0</v>
      </c>
      <c r="Q35" s="202">
        <v>0</v>
      </c>
      <c r="R35" s="202">
        <v>0</v>
      </c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116">
        <v>0</v>
      </c>
      <c r="F36" s="116">
        <v>0</v>
      </c>
      <c r="G36" s="203">
        <v>0</v>
      </c>
      <c r="H36" s="202">
        <v>0</v>
      </c>
      <c r="I36" s="203">
        <v>0</v>
      </c>
      <c r="J36" s="202">
        <v>0</v>
      </c>
      <c r="K36" s="202">
        <v>0</v>
      </c>
      <c r="L36" s="202">
        <v>0</v>
      </c>
      <c r="M36" s="202">
        <v>0</v>
      </c>
      <c r="N36" s="202">
        <v>0</v>
      </c>
      <c r="O36" s="202">
        <v>0</v>
      </c>
      <c r="P36" s="202">
        <v>0</v>
      </c>
      <c r="Q36" s="202">
        <v>0</v>
      </c>
      <c r="R36" s="202">
        <v>0</v>
      </c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116">
        <v>0</v>
      </c>
      <c r="F37" s="116">
        <v>0</v>
      </c>
      <c r="G37" s="203">
        <v>0</v>
      </c>
      <c r="H37" s="202">
        <v>0</v>
      </c>
      <c r="I37" s="203">
        <v>0</v>
      </c>
      <c r="J37" s="202">
        <v>0</v>
      </c>
      <c r="K37" s="202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116">
        <v>0</v>
      </c>
      <c r="F38" s="116">
        <v>0</v>
      </c>
      <c r="G38" s="203">
        <v>0</v>
      </c>
      <c r="H38" s="202">
        <v>0</v>
      </c>
      <c r="I38" s="203">
        <v>0</v>
      </c>
      <c r="J38" s="202">
        <v>0</v>
      </c>
      <c r="K38" s="202">
        <v>0</v>
      </c>
      <c r="L38" s="202">
        <v>0</v>
      </c>
      <c r="M38" s="202">
        <v>0</v>
      </c>
      <c r="N38" s="202">
        <v>0</v>
      </c>
      <c r="O38" s="202">
        <v>0</v>
      </c>
      <c r="P38" s="202">
        <v>0</v>
      </c>
      <c r="Q38" s="202">
        <v>0</v>
      </c>
      <c r="R38" s="202">
        <v>0</v>
      </c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116">
        <v>0</v>
      </c>
      <c r="F39" s="116">
        <v>0</v>
      </c>
      <c r="G39" s="203">
        <v>0</v>
      </c>
      <c r="H39" s="202">
        <v>0</v>
      </c>
      <c r="I39" s="203">
        <v>0</v>
      </c>
      <c r="J39" s="202">
        <v>0</v>
      </c>
      <c r="K39" s="202">
        <v>0</v>
      </c>
      <c r="L39" s="202">
        <v>0</v>
      </c>
      <c r="M39" s="202">
        <v>0</v>
      </c>
      <c r="N39" s="202">
        <v>0</v>
      </c>
      <c r="O39" s="202">
        <v>0</v>
      </c>
      <c r="P39" s="202">
        <v>0</v>
      </c>
      <c r="Q39" s="202">
        <v>0</v>
      </c>
      <c r="R39" s="202">
        <v>0</v>
      </c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116">
        <v>0</v>
      </c>
      <c r="F40" s="116">
        <v>0</v>
      </c>
      <c r="G40" s="203">
        <v>0</v>
      </c>
      <c r="H40" s="202">
        <v>0</v>
      </c>
      <c r="I40" s="203">
        <v>0</v>
      </c>
      <c r="J40" s="202">
        <v>0</v>
      </c>
      <c r="K40" s="202">
        <v>0</v>
      </c>
      <c r="L40" s="202">
        <v>0</v>
      </c>
      <c r="M40" s="202">
        <v>0</v>
      </c>
      <c r="N40" s="202">
        <v>0</v>
      </c>
      <c r="O40" s="202">
        <v>0</v>
      </c>
      <c r="P40" s="202">
        <v>0</v>
      </c>
      <c r="Q40" s="202">
        <v>0</v>
      </c>
      <c r="R40" s="202">
        <v>0</v>
      </c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116">
        <v>0</v>
      </c>
      <c r="F41" s="116">
        <v>0</v>
      </c>
      <c r="G41" s="203">
        <v>0</v>
      </c>
      <c r="H41" s="202">
        <v>0</v>
      </c>
      <c r="I41" s="203">
        <v>0</v>
      </c>
      <c r="J41" s="202">
        <v>0</v>
      </c>
      <c r="K41" s="202">
        <v>0</v>
      </c>
      <c r="L41" s="202">
        <v>0</v>
      </c>
      <c r="M41" s="202">
        <v>0</v>
      </c>
      <c r="N41" s="202">
        <v>0</v>
      </c>
      <c r="O41" s="202">
        <v>0</v>
      </c>
      <c r="P41" s="202">
        <v>0</v>
      </c>
      <c r="Q41" s="202">
        <v>0</v>
      </c>
      <c r="R41" s="202">
        <v>0</v>
      </c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116">
        <v>0</v>
      </c>
      <c r="F42" s="116">
        <v>0</v>
      </c>
      <c r="G42" s="203">
        <v>0</v>
      </c>
      <c r="H42" s="202">
        <v>0</v>
      </c>
      <c r="I42" s="203">
        <v>0</v>
      </c>
      <c r="J42" s="202">
        <v>0</v>
      </c>
      <c r="K42" s="202">
        <v>0</v>
      </c>
      <c r="L42" s="202">
        <v>0</v>
      </c>
      <c r="M42" s="202">
        <v>0</v>
      </c>
      <c r="N42" s="202">
        <v>0</v>
      </c>
      <c r="O42" s="202">
        <v>0</v>
      </c>
      <c r="P42" s="202">
        <v>0</v>
      </c>
      <c r="Q42" s="202">
        <v>0</v>
      </c>
      <c r="R42" s="202">
        <v>0</v>
      </c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116">
        <v>0</v>
      </c>
      <c r="F43" s="116">
        <v>0</v>
      </c>
      <c r="G43" s="203">
        <v>0</v>
      </c>
      <c r="H43" s="202">
        <v>0</v>
      </c>
      <c r="I43" s="203">
        <v>0</v>
      </c>
      <c r="J43" s="202">
        <v>0</v>
      </c>
      <c r="K43" s="202">
        <v>0</v>
      </c>
      <c r="L43" s="202">
        <v>0</v>
      </c>
      <c r="M43" s="202">
        <v>0</v>
      </c>
      <c r="N43" s="202">
        <v>0</v>
      </c>
      <c r="O43" s="202">
        <v>0</v>
      </c>
      <c r="P43" s="202">
        <v>0</v>
      </c>
      <c r="Q43" s="202">
        <v>0</v>
      </c>
      <c r="R43" s="202">
        <v>0</v>
      </c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207">
        <v>7411217</v>
      </c>
      <c r="F44" s="207">
        <v>16353991.229999999</v>
      </c>
      <c r="G44" s="203">
        <v>-52227</v>
      </c>
      <c r="H44" s="202">
        <v>-20901.47</v>
      </c>
      <c r="I44" s="203">
        <v>-6325</v>
      </c>
      <c r="J44" s="202">
        <v>-23056.14</v>
      </c>
      <c r="K44" s="202">
        <v>5463</v>
      </c>
      <c r="L44" s="202">
        <v>12247.26</v>
      </c>
      <c r="M44" s="202">
        <v>0</v>
      </c>
      <c r="N44" s="202">
        <v>0</v>
      </c>
      <c r="O44" s="202">
        <v>0</v>
      </c>
      <c r="P44" s="202">
        <v>0</v>
      </c>
      <c r="Q44" s="202">
        <v>0</v>
      </c>
      <c r="R44" s="202">
        <v>0</v>
      </c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207">
        <v>0</v>
      </c>
      <c r="F45" s="207">
        <v>0</v>
      </c>
      <c r="G45" s="203">
        <v>0</v>
      </c>
      <c r="H45" s="202">
        <v>0</v>
      </c>
      <c r="I45" s="203">
        <v>0</v>
      </c>
      <c r="J45" s="202">
        <v>0</v>
      </c>
      <c r="K45" s="202">
        <v>0</v>
      </c>
      <c r="L45" s="202">
        <v>0</v>
      </c>
      <c r="M45" s="202">
        <v>0</v>
      </c>
      <c r="N45" s="202">
        <v>0</v>
      </c>
      <c r="O45" s="202">
        <v>0</v>
      </c>
      <c r="P45" s="202">
        <v>0</v>
      </c>
      <c r="Q45" s="202">
        <v>0</v>
      </c>
      <c r="R45" s="202">
        <v>0</v>
      </c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207">
        <v>0</v>
      </c>
      <c r="F46" s="207">
        <v>0</v>
      </c>
      <c r="G46" s="203">
        <v>0</v>
      </c>
      <c r="H46" s="202">
        <v>0</v>
      </c>
      <c r="I46" s="203">
        <v>0</v>
      </c>
      <c r="J46" s="202">
        <v>0</v>
      </c>
      <c r="K46" s="202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207">
        <v>0</v>
      </c>
      <c r="F47" s="207">
        <v>0</v>
      </c>
      <c r="G47" s="203">
        <v>0</v>
      </c>
      <c r="H47" s="202">
        <v>0</v>
      </c>
      <c r="I47" s="203">
        <v>0</v>
      </c>
      <c r="J47" s="202">
        <v>0</v>
      </c>
      <c r="K47" s="202">
        <v>0</v>
      </c>
      <c r="L47" s="202">
        <v>0</v>
      </c>
      <c r="M47" s="202">
        <v>0</v>
      </c>
      <c r="N47" s="202">
        <v>0</v>
      </c>
      <c r="O47" s="202">
        <v>0</v>
      </c>
      <c r="P47" s="202">
        <v>0</v>
      </c>
      <c r="Q47" s="202">
        <v>0</v>
      </c>
      <c r="R47" s="202">
        <v>0</v>
      </c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207">
        <v>0</v>
      </c>
      <c r="F48" s="207">
        <v>0</v>
      </c>
      <c r="G48" s="203">
        <v>0</v>
      </c>
      <c r="H48" s="202">
        <v>0</v>
      </c>
      <c r="I48" s="203">
        <v>0</v>
      </c>
      <c r="J48" s="202">
        <v>0</v>
      </c>
      <c r="K48" s="202">
        <v>0</v>
      </c>
      <c r="L48" s="202">
        <v>0</v>
      </c>
      <c r="M48" s="202">
        <v>0</v>
      </c>
      <c r="N48" s="202">
        <v>0</v>
      </c>
      <c r="O48" s="202">
        <v>0</v>
      </c>
      <c r="P48" s="202">
        <v>0</v>
      </c>
      <c r="Q48" s="202">
        <v>0</v>
      </c>
      <c r="R48" s="202">
        <v>0</v>
      </c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207">
        <v>-660570</v>
      </c>
      <c r="F49" s="207">
        <v>-1334897.28</v>
      </c>
      <c r="G49" s="203">
        <v>-294967</v>
      </c>
      <c r="H49" s="202">
        <v>-649845.89</v>
      </c>
      <c r="I49" s="203">
        <v>0</v>
      </c>
      <c r="J49" s="202">
        <v>-880.07</v>
      </c>
      <c r="K49" s="202">
        <v>0</v>
      </c>
      <c r="L49" s="202">
        <v>-14.36</v>
      </c>
      <c r="M49" s="202">
        <v>0</v>
      </c>
      <c r="N49" s="202">
        <v>0</v>
      </c>
      <c r="O49" s="202">
        <v>0</v>
      </c>
      <c r="P49" s="202">
        <v>0</v>
      </c>
      <c r="Q49" s="202">
        <v>0</v>
      </c>
      <c r="R49" s="202">
        <v>0</v>
      </c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207">
        <v>0</v>
      </c>
      <c r="F50" s="207">
        <v>0</v>
      </c>
      <c r="G50" s="203">
        <v>0</v>
      </c>
      <c r="H50" s="202">
        <v>0</v>
      </c>
      <c r="I50" s="203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207">
        <v>0</v>
      </c>
      <c r="F51" s="207">
        <v>0</v>
      </c>
      <c r="G51" s="203">
        <v>0</v>
      </c>
      <c r="H51" s="202">
        <v>0</v>
      </c>
      <c r="I51" s="203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207">
        <v>0</v>
      </c>
      <c r="F52" s="207">
        <v>0</v>
      </c>
      <c r="G52" s="203">
        <v>0</v>
      </c>
      <c r="H52" s="202">
        <v>0</v>
      </c>
      <c r="I52" s="203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207">
        <v>0</v>
      </c>
      <c r="F53" s="207">
        <v>0</v>
      </c>
      <c r="G53" s="203">
        <v>36173</v>
      </c>
      <c r="H53" s="202">
        <v>85698.98</v>
      </c>
      <c r="I53" s="203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>
        <v>0</v>
      </c>
      <c r="P53" s="202">
        <v>0</v>
      </c>
      <c r="Q53" s="202">
        <v>0</v>
      </c>
      <c r="R53" s="202">
        <v>0</v>
      </c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207">
        <v>3183790</v>
      </c>
      <c r="F54" s="207">
        <v>7718283.4600000009</v>
      </c>
      <c r="G54" s="203">
        <v>-742035</v>
      </c>
      <c r="H54" s="202">
        <v>-1978430.06</v>
      </c>
      <c r="I54" s="203">
        <v>617</v>
      </c>
      <c r="J54" s="202">
        <v>-72796.78</v>
      </c>
      <c r="K54" s="202">
        <v>-5151</v>
      </c>
      <c r="L54" s="202">
        <v>62699.72</v>
      </c>
      <c r="M54" s="202">
        <v>-21587</v>
      </c>
      <c r="N54" s="202">
        <v>-62358.93</v>
      </c>
      <c r="O54" s="202">
        <v>0</v>
      </c>
      <c r="P54" s="202">
        <v>0</v>
      </c>
      <c r="Q54" s="202">
        <v>0</v>
      </c>
      <c r="R54" s="202">
        <v>0</v>
      </c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207">
        <v>-9872779</v>
      </c>
      <c r="F55" s="207">
        <v>-23527117.390000004</v>
      </c>
      <c r="G55" s="203">
        <v>705880</v>
      </c>
      <c r="H55" s="202">
        <v>1916550.26</v>
      </c>
      <c r="I55" s="203">
        <v>-617</v>
      </c>
      <c r="J55" s="202">
        <v>-1517.92</v>
      </c>
      <c r="K55" s="202">
        <v>-5463</v>
      </c>
      <c r="L55" s="202">
        <v>-13416.13</v>
      </c>
      <c r="M55" s="202">
        <v>0</v>
      </c>
      <c r="N55" s="202">
        <v>0</v>
      </c>
      <c r="O55" s="202">
        <v>0</v>
      </c>
      <c r="P55" s="202">
        <v>0</v>
      </c>
      <c r="Q55" s="202">
        <v>0</v>
      </c>
      <c r="R55" s="202">
        <v>0</v>
      </c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207">
        <v>0</v>
      </c>
      <c r="F56" s="207">
        <v>0</v>
      </c>
      <c r="G56" s="203">
        <v>-171463</v>
      </c>
      <c r="H56" s="202">
        <v>-373960.80300000001</v>
      </c>
      <c r="I56" s="203">
        <v>-27067</v>
      </c>
      <c r="J56" s="202">
        <v>-59033.127</v>
      </c>
      <c r="K56" s="202">
        <v>0</v>
      </c>
      <c r="L56" s="202">
        <v>0</v>
      </c>
      <c r="M56" s="202">
        <v>10000</v>
      </c>
      <c r="N56" s="202">
        <v>21810</v>
      </c>
      <c r="O56" s="202">
        <v>-10000</v>
      </c>
      <c r="P56" s="202">
        <v>-21810</v>
      </c>
      <c r="Q56" s="202">
        <v>0</v>
      </c>
      <c r="R56" s="202">
        <v>0</v>
      </c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207">
        <v>0</v>
      </c>
      <c r="F57" s="207">
        <v>0</v>
      </c>
      <c r="G57" s="203">
        <v>0</v>
      </c>
      <c r="H57" s="202">
        <v>0</v>
      </c>
      <c r="I57" s="203">
        <v>0</v>
      </c>
      <c r="J57" s="202">
        <v>0</v>
      </c>
      <c r="K57" s="202">
        <v>0</v>
      </c>
      <c r="L57" s="202">
        <v>0</v>
      </c>
      <c r="M57" s="202">
        <v>0</v>
      </c>
      <c r="N57" s="202">
        <v>0</v>
      </c>
      <c r="O57" s="202">
        <v>0</v>
      </c>
      <c r="P57" s="202">
        <v>0</v>
      </c>
      <c r="Q57" s="202">
        <v>0</v>
      </c>
      <c r="R57" s="202">
        <v>0</v>
      </c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207">
        <v>0</v>
      </c>
      <c r="F58" s="207">
        <v>0</v>
      </c>
      <c r="G58" s="203">
        <v>0</v>
      </c>
      <c r="H58" s="202">
        <v>0</v>
      </c>
      <c r="I58" s="203">
        <v>0</v>
      </c>
      <c r="J58" s="202">
        <v>0</v>
      </c>
      <c r="K58" s="202">
        <v>0</v>
      </c>
      <c r="L58" s="202">
        <v>0</v>
      </c>
      <c r="M58" s="202">
        <v>0</v>
      </c>
      <c r="N58" s="202">
        <v>0</v>
      </c>
      <c r="O58" s="202">
        <v>0</v>
      </c>
      <c r="P58" s="202">
        <v>0</v>
      </c>
      <c r="Q58" s="202">
        <v>0</v>
      </c>
      <c r="R58" s="202">
        <v>0</v>
      </c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207">
        <v>0</v>
      </c>
      <c r="F59" s="207">
        <v>0</v>
      </c>
      <c r="G59" s="203">
        <v>0</v>
      </c>
      <c r="H59" s="202">
        <v>0</v>
      </c>
      <c r="I59" s="203">
        <v>0</v>
      </c>
      <c r="J59" s="202">
        <v>0</v>
      </c>
      <c r="K59" s="202">
        <v>0</v>
      </c>
      <c r="L59" s="202">
        <v>0</v>
      </c>
      <c r="M59" s="202">
        <v>0</v>
      </c>
      <c r="N59" s="202">
        <v>0</v>
      </c>
      <c r="O59" s="202">
        <v>0</v>
      </c>
      <c r="P59" s="202">
        <v>0</v>
      </c>
      <c r="Q59" s="202">
        <v>0</v>
      </c>
      <c r="R59" s="202">
        <v>0</v>
      </c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207">
        <v>0</v>
      </c>
      <c r="F60" s="207">
        <v>0</v>
      </c>
      <c r="G60" s="203">
        <v>1604146</v>
      </c>
      <c r="H60" s="202">
        <v>3432872.44</v>
      </c>
      <c r="I60" s="203">
        <v>0</v>
      </c>
      <c r="J60" s="202">
        <v>0</v>
      </c>
      <c r="K60" s="202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207">
        <v>0</v>
      </c>
      <c r="F61" s="207">
        <v>0</v>
      </c>
      <c r="G61" s="203">
        <v>-1156576</v>
      </c>
      <c r="H61" s="202">
        <v>-2475072.64</v>
      </c>
      <c r="I61" s="203">
        <v>20907</v>
      </c>
      <c r="J61" s="202">
        <v>44470.98</v>
      </c>
      <c r="K61" s="202">
        <v>0</v>
      </c>
      <c r="L61" s="202">
        <v>270</v>
      </c>
      <c r="M61" s="202">
        <v>680</v>
      </c>
      <c r="N61" s="202">
        <v>1455.2</v>
      </c>
      <c r="O61" s="202">
        <v>0</v>
      </c>
      <c r="P61" s="202">
        <v>0</v>
      </c>
      <c r="Q61" s="202">
        <v>0</v>
      </c>
      <c r="R61" s="202">
        <v>0</v>
      </c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207">
        <v>0</v>
      </c>
      <c r="F62" s="207">
        <v>0</v>
      </c>
      <c r="G62" s="203">
        <v>0</v>
      </c>
      <c r="H62" s="202">
        <v>0</v>
      </c>
      <c r="I62" s="203">
        <v>0</v>
      </c>
      <c r="J62" s="202">
        <v>0</v>
      </c>
      <c r="K62" s="202">
        <v>0</v>
      </c>
      <c r="L62" s="202">
        <v>0</v>
      </c>
      <c r="M62" s="202">
        <v>0</v>
      </c>
      <c r="N62" s="202">
        <v>0</v>
      </c>
      <c r="O62" s="202">
        <v>0</v>
      </c>
      <c r="P62" s="202">
        <v>0</v>
      </c>
      <c r="Q62" s="202">
        <v>0</v>
      </c>
      <c r="R62" s="202">
        <v>0</v>
      </c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207">
        <v>0</v>
      </c>
      <c r="F63" s="207">
        <v>0</v>
      </c>
      <c r="G63" s="203">
        <v>5161</v>
      </c>
      <c r="H63" s="202">
        <v>10898.77</v>
      </c>
      <c r="I63" s="203">
        <v>0</v>
      </c>
      <c r="J63" s="202">
        <v>0.13</v>
      </c>
      <c r="K63" s="202">
        <v>0</v>
      </c>
      <c r="L63" s="202">
        <v>0.13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207">
        <v>0</v>
      </c>
      <c r="F64" s="207">
        <v>0</v>
      </c>
      <c r="G64" s="203">
        <v>0</v>
      </c>
      <c r="H64" s="202">
        <v>0</v>
      </c>
      <c r="I64" s="203">
        <v>0</v>
      </c>
      <c r="J64" s="202">
        <v>0</v>
      </c>
      <c r="K64" s="202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207">
        <v>-61658</v>
      </c>
      <c r="F65" s="207">
        <v>-134476.098</v>
      </c>
      <c r="G65" s="203">
        <v>65908</v>
      </c>
      <c r="H65" s="202">
        <v>143745.35</v>
      </c>
      <c r="I65" s="203">
        <v>12485</v>
      </c>
      <c r="J65" s="202">
        <v>27229.785</v>
      </c>
      <c r="K65" s="202">
        <v>5151</v>
      </c>
      <c r="L65" s="202">
        <v>11234.331</v>
      </c>
      <c r="M65" s="202">
        <v>10907</v>
      </c>
      <c r="N65" s="202">
        <v>23788.167000000001</v>
      </c>
      <c r="O65" s="202">
        <v>10000</v>
      </c>
      <c r="P65" s="202">
        <v>21810</v>
      </c>
      <c r="Q65" s="202">
        <v>0</v>
      </c>
      <c r="R65" s="202">
        <v>0</v>
      </c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207">
        <v>0</v>
      </c>
      <c r="F66" s="207">
        <v>0</v>
      </c>
      <c r="G66" s="203">
        <v>-36173</v>
      </c>
      <c r="H66" s="202">
        <v>-85698.98</v>
      </c>
      <c r="I66" s="203">
        <v>0</v>
      </c>
      <c r="J66" s="202">
        <v>0</v>
      </c>
      <c r="K66" s="202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207">
        <v>0</v>
      </c>
      <c r="F67" s="207">
        <v>0</v>
      </c>
      <c r="G67" s="203">
        <v>0</v>
      </c>
      <c r="H67" s="202">
        <v>0</v>
      </c>
      <c r="I67" s="203">
        <v>0</v>
      </c>
      <c r="J67" s="202">
        <v>0</v>
      </c>
      <c r="K67" s="202">
        <v>0</v>
      </c>
      <c r="L67" s="202">
        <v>0</v>
      </c>
      <c r="M67" s="202">
        <v>-132049</v>
      </c>
      <c r="N67" s="202">
        <v>-3961.47</v>
      </c>
      <c r="O67" s="202">
        <v>0</v>
      </c>
      <c r="P67" s="202">
        <v>0</v>
      </c>
      <c r="Q67" s="202">
        <v>0</v>
      </c>
      <c r="R67" s="202">
        <v>0</v>
      </c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207">
        <v>0</v>
      </c>
      <c r="F68" s="207">
        <v>0</v>
      </c>
      <c r="G68" s="203">
        <v>0</v>
      </c>
      <c r="H68" s="202">
        <v>0</v>
      </c>
      <c r="I68" s="203">
        <v>0</v>
      </c>
      <c r="J68" s="202">
        <v>0</v>
      </c>
      <c r="K68" s="202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207">
        <v>3608663</v>
      </c>
      <c r="F69" s="207">
        <v>71638.92</v>
      </c>
      <c r="G69" s="203">
        <v>-848182</v>
      </c>
      <c r="H69" s="202">
        <v>155.80000000000001</v>
      </c>
      <c r="I69" s="203">
        <v>26380</v>
      </c>
      <c r="J69" s="202">
        <v>-250</v>
      </c>
      <c r="K69" s="202">
        <v>466736</v>
      </c>
      <c r="L69" s="202">
        <v>0</v>
      </c>
      <c r="M69" s="202">
        <v>10000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207">
        <v>0</v>
      </c>
      <c r="F70" s="207">
        <v>0</v>
      </c>
      <c r="G70" s="203">
        <v>0</v>
      </c>
      <c r="H70" s="202">
        <v>0</v>
      </c>
      <c r="I70" s="203">
        <v>0</v>
      </c>
      <c r="J70" s="202">
        <v>0</v>
      </c>
      <c r="K70" s="202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207">
        <v>-13296149</v>
      </c>
      <c r="F71" s="207">
        <v>-2278678.81</v>
      </c>
      <c r="G71" s="203">
        <v>-6665955</v>
      </c>
      <c r="H71" s="202">
        <v>-62256.21</v>
      </c>
      <c r="I71" s="203">
        <v>-617</v>
      </c>
      <c r="J71" s="202">
        <v>-61.7</v>
      </c>
      <c r="K71" s="202">
        <v>-5463</v>
      </c>
      <c r="L71" s="202">
        <v>-546.30999999999995</v>
      </c>
      <c r="M71" s="202">
        <v>0</v>
      </c>
      <c r="N71" s="202">
        <v>0</v>
      </c>
      <c r="O71" s="202">
        <v>0</v>
      </c>
      <c r="P71" s="202">
        <v>-17512.060000000001</v>
      </c>
      <c r="Q71" s="202">
        <v>0</v>
      </c>
      <c r="R71" s="202">
        <v>-546.29999999999995</v>
      </c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207">
        <v>11667522</v>
      </c>
      <c r="F72" s="207">
        <v>1638367.62</v>
      </c>
      <c r="G72" s="203">
        <v>6690436</v>
      </c>
      <c r="H72" s="202">
        <v>62567.4</v>
      </c>
      <c r="I72" s="203">
        <v>617</v>
      </c>
      <c r="J72" s="202">
        <v>61.7</v>
      </c>
      <c r="K72" s="202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5463</v>
      </c>
      <c r="R72" s="202">
        <v>18058.36</v>
      </c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207">
        <v>0</v>
      </c>
      <c r="F73" s="207">
        <v>0</v>
      </c>
      <c r="G73" s="203">
        <v>0</v>
      </c>
      <c r="H73" s="202">
        <v>0</v>
      </c>
      <c r="I73" s="203">
        <v>0</v>
      </c>
      <c r="J73" s="202">
        <v>0</v>
      </c>
      <c r="K73" s="202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207">
        <v>0</v>
      </c>
      <c r="F74" s="207">
        <v>0</v>
      </c>
      <c r="G74" s="203">
        <v>0</v>
      </c>
      <c r="H74" s="202">
        <v>0</v>
      </c>
      <c r="I74" s="203">
        <v>0</v>
      </c>
      <c r="J74" s="202">
        <v>0</v>
      </c>
      <c r="K74" s="202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207">
        <v>0</v>
      </c>
      <c r="F75" s="207">
        <v>0</v>
      </c>
      <c r="G75" s="203">
        <v>0</v>
      </c>
      <c r="H75" s="202">
        <v>0</v>
      </c>
      <c r="I75" s="203">
        <v>0</v>
      </c>
      <c r="J75" s="202">
        <v>0</v>
      </c>
      <c r="K75" s="202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207">
        <v>0</v>
      </c>
      <c r="F76" s="207">
        <v>0</v>
      </c>
      <c r="G76" s="203">
        <v>0</v>
      </c>
      <c r="H76" s="202">
        <v>0</v>
      </c>
      <c r="I76" s="203">
        <v>0</v>
      </c>
      <c r="J76" s="202">
        <v>0</v>
      </c>
      <c r="K76" s="202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207">
        <v>0</v>
      </c>
      <c r="F77" s="207">
        <v>0</v>
      </c>
      <c r="G77" s="203">
        <v>0</v>
      </c>
      <c r="H77" s="202">
        <v>0</v>
      </c>
      <c r="I77" s="203">
        <v>0</v>
      </c>
      <c r="J77" s="202">
        <v>0</v>
      </c>
      <c r="K77" s="202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207">
        <v>0</v>
      </c>
      <c r="F78" s="207">
        <v>0</v>
      </c>
      <c r="G78" s="203">
        <v>0</v>
      </c>
      <c r="H78" s="202">
        <v>0</v>
      </c>
      <c r="I78" s="203">
        <v>0</v>
      </c>
      <c r="J78" s="202">
        <v>0</v>
      </c>
      <c r="K78" s="202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207">
        <v>0</v>
      </c>
      <c r="F79" s="207">
        <v>0</v>
      </c>
      <c r="G79" s="203">
        <v>0</v>
      </c>
      <c r="H79" s="202">
        <v>0</v>
      </c>
      <c r="I79" s="203">
        <v>0</v>
      </c>
      <c r="J79" s="202">
        <v>0</v>
      </c>
      <c r="K79" s="202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207">
        <v>0</v>
      </c>
      <c r="F80" s="207">
        <v>0</v>
      </c>
      <c r="G80" s="203">
        <v>0</v>
      </c>
      <c r="H80" s="202">
        <v>0</v>
      </c>
      <c r="I80" s="203">
        <v>0</v>
      </c>
      <c r="J80" s="202">
        <v>0</v>
      </c>
      <c r="K80" s="202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207">
        <v>0</v>
      </c>
      <c r="F81" s="207">
        <v>0</v>
      </c>
      <c r="G81" s="203">
        <v>0</v>
      </c>
      <c r="H81" s="202">
        <v>0</v>
      </c>
      <c r="I81" s="203">
        <v>0</v>
      </c>
      <c r="J81" s="202">
        <v>0</v>
      </c>
      <c r="K81" s="202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207">
        <v>0</v>
      </c>
      <c r="F82" s="207">
        <v>0</v>
      </c>
      <c r="G82" s="203">
        <v>0</v>
      </c>
      <c r="H82" s="202">
        <v>0</v>
      </c>
      <c r="I82" s="203">
        <v>0</v>
      </c>
      <c r="J82" s="202">
        <v>0</v>
      </c>
      <c r="K82" s="202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207">
        <v>0</v>
      </c>
      <c r="F83" s="207">
        <v>0</v>
      </c>
      <c r="G83" s="203">
        <v>0</v>
      </c>
      <c r="H83" s="202">
        <v>0</v>
      </c>
      <c r="I83" s="203">
        <v>0</v>
      </c>
      <c r="J83" s="202">
        <v>0</v>
      </c>
      <c r="K83" s="202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</row>
    <row r="84" spans="1:118" x14ac:dyDescent="0.25">
      <c r="A84" s="33" t="s">
        <v>140</v>
      </c>
      <c r="B84" s="33" t="s">
        <v>208</v>
      </c>
      <c r="C84" s="33">
        <v>1</v>
      </c>
      <c r="D84" s="33" t="s">
        <v>25</v>
      </c>
      <c r="E84" s="207">
        <v>0</v>
      </c>
      <c r="F84" s="207">
        <v>0</v>
      </c>
      <c r="G84" s="203">
        <v>0</v>
      </c>
      <c r="H84" s="202">
        <v>0</v>
      </c>
      <c r="I84" s="203">
        <v>0</v>
      </c>
      <c r="J84" s="202">
        <v>0</v>
      </c>
      <c r="K84" s="202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</row>
    <row r="85" spans="1:118" x14ac:dyDescent="0.25">
      <c r="A85" s="33" t="s">
        <v>140</v>
      </c>
      <c r="B85" s="33" t="s">
        <v>208</v>
      </c>
      <c r="C85" s="33">
        <v>2</v>
      </c>
      <c r="D85" s="33" t="s">
        <v>26</v>
      </c>
      <c r="E85" s="207">
        <v>0</v>
      </c>
      <c r="F85" s="207">
        <v>0</v>
      </c>
      <c r="G85" s="203">
        <v>0</v>
      </c>
      <c r="H85" s="202">
        <v>0</v>
      </c>
      <c r="I85" s="203">
        <v>0</v>
      </c>
      <c r="J85" s="202">
        <v>0</v>
      </c>
      <c r="K85" s="202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</row>
    <row r="86" spans="1:118" x14ac:dyDescent="0.25">
      <c r="A86" s="33" t="s">
        <v>140</v>
      </c>
      <c r="B86" s="33" t="s">
        <v>208</v>
      </c>
      <c r="C86" s="33">
        <v>3</v>
      </c>
      <c r="D86" s="33" t="s">
        <v>27</v>
      </c>
      <c r="E86" s="207">
        <v>0</v>
      </c>
      <c r="F86" s="207">
        <v>0</v>
      </c>
      <c r="G86" s="203">
        <v>0</v>
      </c>
      <c r="H86" s="202">
        <v>0</v>
      </c>
      <c r="I86" s="203">
        <v>0</v>
      </c>
      <c r="J86" s="202">
        <v>0</v>
      </c>
      <c r="K86" s="202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</row>
    <row r="87" spans="1:118" x14ac:dyDescent="0.25">
      <c r="A87" s="33" t="s">
        <v>140</v>
      </c>
      <c r="B87" s="33" t="s">
        <v>208</v>
      </c>
      <c r="C87" s="33">
        <v>4</v>
      </c>
      <c r="D87" s="33" t="s">
        <v>28</v>
      </c>
      <c r="E87" s="207">
        <v>0</v>
      </c>
      <c r="F87" s="207">
        <v>0</v>
      </c>
      <c r="G87" s="203">
        <v>0</v>
      </c>
      <c r="H87" s="202">
        <v>0</v>
      </c>
      <c r="I87" s="203">
        <v>0</v>
      </c>
      <c r="J87" s="202">
        <v>0</v>
      </c>
      <c r="K87" s="202">
        <v>0</v>
      </c>
      <c r="L87" s="202">
        <v>0</v>
      </c>
      <c r="M87" s="202">
        <v>0</v>
      </c>
      <c r="N87" s="202">
        <v>0</v>
      </c>
      <c r="O87" s="202">
        <v>0</v>
      </c>
      <c r="P87" s="202">
        <v>0</v>
      </c>
      <c r="Q87" s="202">
        <v>0</v>
      </c>
      <c r="R87" s="202">
        <v>0</v>
      </c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</row>
    <row r="88" spans="1:118" x14ac:dyDescent="0.25">
      <c r="A88" s="33" t="s">
        <v>140</v>
      </c>
      <c r="B88" s="33" t="s">
        <v>208</v>
      </c>
      <c r="C88" s="33">
        <v>5</v>
      </c>
      <c r="D88" s="33" t="s">
        <v>125</v>
      </c>
      <c r="E88" s="207">
        <v>0</v>
      </c>
      <c r="F88" s="207">
        <v>0</v>
      </c>
      <c r="G88" s="203">
        <v>0</v>
      </c>
      <c r="H88" s="202">
        <v>0</v>
      </c>
      <c r="I88" s="203">
        <v>0</v>
      </c>
      <c r="J88" s="202">
        <v>0</v>
      </c>
      <c r="K88" s="202">
        <v>0</v>
      </c>
      <c r="L88" s="202">
        <v>0</v>
      </c>
      <c r="M88" s="202">
        <v>0</v>
      </c>
      <c r="N88" s="202">
        <v>0</v>
      </c>
      <c r="O88" s="202">
        <v>0</v>
      </c>
      <c r="P88" s="202">
        <v>0</v>
      </c>
      <c r="Q88" s="202">
        <v>0</v>
      </c>
      <c r="R88" s="202">
        <v>0</v>
      </c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</row>
    <row r="89" spans="1:118" x14ac:dyDescent="0.25">
      <c r="A89" s="33" t="s">
        <v>140</v>
      </c>
      <c r="B89" s="33" t="s">
        <v>208</v>
      </c>
      <c r="C89" s="33">
        <v>6</v>
      </c>
      <c r="D89" s="33" t="s">
        <v>25</v>
      </c>
      <c r="E89" s="207">
        <v>0</v>
      </c>
      <c r="F89" s="207">
        <v>0</v>
      </c>
      <c r="G89" s="203">
        <v>0</v>
      </c>
      <c r="H89" s="202">
        <v>0</v>
      </c>
      <c r="I89" s="203">
        <v>0</v>
      </c>
      <c r="J89" s="202">
        <v>0</v>
      </c>
      <c r="K89" s="202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</row>
    <row r="90" spans="1:118" x14ac:dyDescent="0.25">
      <c r="A90" s="33" t="s">
        <v>140</v>
      </c>
      <c r="B90" s="33" t="s">
        <v>208</v>
      </c>
      <c r="C90" s="33">
        <v>7</v>
      </c>
      <c r="D90" s="33" t="s">
        <v>26</v>
      </c>
      <c r="E90" s="207">
        <v>0</v>
      </c>
      <c r="F90" s="207">
        <v>0</v>
      </c>
      <c r="G90" s="203">
        <v>0</v>
      </c>
      <c r="H90" s="202">
        <v>0</v>
      </c>
      <c r="I90" s="203">
        <v>0</v>
      </c>
      <c r="J90" s="202">
        <v>0</v>
      </c>
      <c r="K90" s="202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</row>
    <row r="91" spans="1:118" x14ac:dyDescent="0.25">
      <c r="A91" s="33" t="s">
        <v>140</v>
      </c>
      <c r="B91" s="33" t="s">
        <v>208</v>
      </c>
      <c r="C91" s="33">
        <v>8</v>
      </c>
      <c r="D91" s="33" t="s">
        <v>27</v>
      </c>
      <c r="E91" s="207">
        <v>0</v>
      </c>
      <c r="F91" s="207">
        <v>0</v>
      </c>
      <c r="G91" s="203">
        <v>0</v>
      </c>
      <c r="H91" s="202">
        <v>0</v>
      </c>
      <c r="I91" s="203">
        <v>0</v>
      </c>
      <c r="J91" s="202">
        <v>0</v>
      </c>
      <c r="K91" s="202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</row>
    <row r="92" spans="1:118" x14ac:dyDescent="0.25">
      <c r="A92" s="33" t="s">
        <v>140</v>
      </c>
      <c r="B92" s="33" t="s">
        <v>208</v>
      </c>
      <c r="C92" s="33">
        <v>9</v>
      </c>
      <c r="D92" s="33" t="s">
        <v>28</v>
      </c>
      <c r="E92" s="207">
        <v>0</v>
      </c>
      <c r="F92" s="207">
        <v>0</v>
      </c>
      <c r="G92" s="203">
        <v>0</v>
      </c>
      <c r="H92" s="202">
        <v>0</v>
      </c>
      <c r="I92" s="203">
        <v>0</v>
      </c>
      <c r="J92" s="202">
        <v>0</v>
      </c>
      <c r="K92" s="202">
        <v>0</v>
      </c>
      <c r="L92" s="202">
        <v>0</v>
      </c>
      <c r="M92" s="202">
        <v>0</v>
      </c>
      <c r="N92" s="202">
        <v>0</v>
      </c>
      <c r="O92" s="202">
        <v>0</v>
      </c>
      <c r="P92" s="202">
        <v>0</v>
      </c>
      <c r="Q92" s="202">
        <v>0</v>
      </c>
      <c r="R92" s="202">
        <v>0</v>
      </c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</row>
    <row r="93" spans="1:118" x14ac:dyDescent="0.25">
      <c r="A93" s="33" t="s">
        <v>140</v>
      </c>
      <c r="B93" s="33" t="s">
        <v>208</v>
      </c>
      <c r="C93" s="33">
        <v>10</v>
      </c>
      <c r="D93" s="33" t="s">
        <v>32</v>
      </c>
      <c r="E93" s="207">
        <v>0</v>
      </c>
      <c r="F93" s="207">
        <v>0</v>
      </c>
      <c r="G93" s="203">
        <v>0</v>
      </c>
      <c r="H93" s="202">
        <v>0</v>
      </c>
      <c r="I93" s="203">
        <v>0</v>
      </c>
      <c r="J93" s="202">
        <v>0</v>
      </c>
      <c r="K93" s="202">
        <v>0</v>
      </c>
      <c r="L93" s="202">
        <v>0</v>
      </c>
      <c r="M93" s="202">
        <v>0</v>
      </c>
      <c r="N93" s="202">
        <v>0</v>
      </c>
      <c r="O93" s="202">
        <v>0</v>
      </c>
      <c r="P93" s="202">
        <v>0</v>
      </c>
      <c r="Q93" s="202">
        <v>0</v>
      </c>
      <c r="R93" s="202">
        <v>0</v>
      </c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</row>
    <row r="94" spans="1:118" x14ac:dyDescent="0.25">
      <c r="A94" s="33" t="s">
        <v>140</v>
      </c>
      <c r="B94" s="33" t="s">
        <v>208</v>
      </c>
      <c r="C94" s="33">
        <v>11</v>
      </c>
      <c r="D94" s="33" t="s">
        <v>35</v>
      </c>
      <c r="E94" s="207">
        <v>0</v>
      </c>
      <c r="F94" s="207">
        <v>0</v>
      </c>
      <c r="G94" s="203">
        <v>0</v>
      </c>
      <c r="H94" s="202">
        <v>0</v>
      </c>
      <c r="I94" s="203">
        <v>0</v>
      </c>
      <c r="J94" s="202">
        <v>0</v>
      </c>
      <c r="K94" s="202">
        <v>0</v>
      </c>
      <c r="L94" s="202">
        <v>0</v>
      </c>
      <c r="M94" s="202">
        <v>0</v>
      </c>
      <c r="N94" s="202">
        <v>0</v>
      </c>
      <c r="O94" s="202">
        <v>0</v>
      </c>
      <c r="P94" s="202">
        <v>0</v>
      </c>
      <c r="Q94" s="202">
        <v>0</v>
      </c>
      <c r="R94" s="202">
        <v>0</v>
      </c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</row>
    <row r="95" spans="1:118" x14ac:dyDescent="0.25">
      <c r="A95" s="33" t="s">
        <v>140</v>
      </c>
      <c r="B95" s="33" t="s">
        <v>208</v>
      </c>
      <c r="C95" s="33">
        <v>12</v>
      </c>
      <c r="D95" s="33" t="s">
        <v>36</v>
      </c>
      <c r="E95" s="207">
        <v>0</v>
      </c>
      <c r="F95" s="207">
        <v>0</v>
      </c>
      <c r="G95" s="203">
        <v>0</v>
      </c>
      <c r="H95" s="202">
        <v>0</v>
      </c>
      <c r="I95" s="203">
        <v>0</v>
      </c>
      <c r="J95" s="202">
        <v>0</v>
      </c>
      <c r="K95" s="202">
        <v>0</v>
      </c>
      <c r="L95" s="202">
        <v>0</v>
      </c>
      <c r="M95" s="202">
        <v>0</v>
      </c>
      <c r="N95" s="202">
        <v>0</v>
      </c>
      <c r="O95" s="202">
        <v>0</v>
      </c>
      <c r="P95" s="202">
        <v>0</v>
      </c>
      <c r="Q95" s="202">
        <v>0</v>
      </c>
      <c r="R95" s="202">
        <v>0</v>
      </c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</row>
    <row r="96" spans="1:118" x14ac:dyDescent="0.25">
      <c r="A96" s="33" t="s">
        <v>140</v>
      </c>
      <c r="B96" s="33" t="s">
        <v>208</v>
      </c>
      <c r="C96" s="33">
        <v>13</v>
      </c>
      <c r="D96" s="33" t="s">
        <v>39</v>
      </c>
      <c r="E96" s="207">
        <v>0</v>
      </c>
      <c r="F96" s="207">
        <v>0</v>
      </c>
      <c r="G96" s="203">
        <v>0</v>
      </c>
      <c r="H96" s="202">
        <v>0</v>
      </c>
      <c r="I96" s="203">
        <v>0</v>
      </c>
      <c r="J96" s="202">
        <v>0</v>
      </c>
      <c r="K96" s="202">
        <v>0</v>
      </c>
      <c r="L96" s="202">
        <v>0</v>
      </c>
      <c r="M96" s="202">
        <v>0</v>
      </c>
      <c r="N96" s="202">
        <v>0</v>
      </c>
      <c r="O96" s="202">
        <v>0</v>
      </c>
      <c r="P96" s="202">
        <v>0</v>
      </c>
      <c r="Q96" s="202">
        <v>0</v>
      </c>
      <c r="R96" s="202">
        <v>0</v>
      </c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</row>
    <row r="97" spans="1:118" x14ac:dyDescent="0.25">
      <c r="A97" s="33" t="s">
        <v>140</v>
      </c>
      <c r="B97" s="33" t="s">
        <v>208</v>
      </c>
      <c r="C97" s="33">
        <v>14</v>
      </c>
      <c r="D97" s="33" t="s">
        <v>40</v>
      </c>
      <c r="E97" s="207">
        <v>0</v>
      </c>
      <c r="F97" s="207">
        <v>0</v>
      </c>
      <c r="G97" s="203">
        <v>0</v>
      </c>
      <c r="H97" s="202">
        <v>0</v>
      </c>
      <c r="I97" s="203">
        <v>0</v>
      </c>
      <c r="J97" s="202">
        <v>0</v>
      </c>
      <c r="K97" s="202">
        <v>0</v>
      </c>
      <c r="L97" s="202">
        <v>0</v>
      </c>
      <c r="M97" s="202">
        <v>0</v>
      </c>
      <c r="N97" s="202">
        <v>0</v>
      </c>
      <c r="O97" s="202">
        <v>0</v>
      </c>
      <c r="P97" s="202">
        <v>0</v>
      </c>
      <c r="Q97" s="202">
        <v>0</v>
      </c>
      <c r="R97" s="202">
        <v>0</v>
      </c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</row>
    <row r="98" spans="1:118" x14ac:dyDescent="0.25">
      <c r="A98" s="33" t="s">
        <v>140</v>
      </c>
      <c r="B98" s="33" t="s">
        <v>208</v>
      </c>
      <c r="C98" s="33">
        <v>15</v>
      </c>
      <c r="D98" s="33" t="s">
        <v>41</v>
      </c>
      <c r="E98" s="207">
        <v>0</v>
      </c>
      <c r="F98" s="207">
        <v>0</v>
      </c>
      <c r="G98" s="203">
        <v>0</v>
      </c>
      <c r="H98" s="202">
        <v>0</v>
      </c>
      <c r="I98" s="203">
        <v>0</v>
      </c>
      <c r="J98" s="202">
        <v>0</v>
      </c>
      <c r="K98" s="202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</row>
    <row r="99" spans="1:118" x14ac:dyDescent="0.25">
      <c r="A99" s="33" t="s">
        <v>140</v>
      </c>
      <c r="B99" s="33" t="s">
        <v>208</v>
      </c>
      <c r="C99" s="33">
        <v>16</v>
      </c>
      <c r="D99" s="33" t="s">
        <v>42</v>
      </c>
      <c r="E99" s="207">
        <v>0</v>
      </c>
      <c r="F99" s="207">
        <v>0</v>
      </c>
      <c r="G99" s="203">
        <v>0</v>
      </c>
      <c r="H99" s="202">
        <v>0</v>
      </c>
      <c r="I99" s="203">
        <v>0</v>
      </c>
      <c r="J99" s="202">
        <v>0</v>
      </c>
      <c r="K99" s="202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</row>
    <row r="100" spans="1:118" x14ac:dyDescent="0.25">
      <c r="A100" s="33" t="s">
        <v>140</v>
      </c>
      <c r="B100" s="33" t="s">
        <v>208</v>
      </c>
      <c r="C100" s="33">
        <v>17</v>
      </c>
      <c r="D100" s="33" t="s">
        <v>126</v>
      </c>
      <c r="E100" s="207">
        <v>0</v>
      </c>
      <c r="F100" s="207">
        <v>0</v>
      </c>
      <c r="G100" s="203">
        <v>0</v>
      </c>
      <c r="H100" s="202">
        <v>0</v>
      </c>
      <c r="I100" s="203">
        <v>0</v>
      </c>
      <c r="J100" s="202">
        <v>0</v>
      </c>
      <c r="K100" s="202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</row>
    <row r="101" spans="1:118" x14ac:dyDescent="0.25">
      <c r="A101" s="33" t="s">
        <v>140</v>
      </c>
      <c r="B101" s="33" t="s">
        <v>208</v>
      </c>
      <c r="C101" s="33">
        <v>18</v>
      </c>
      <c r="D101" s="33" t="s">
        <v>127</v>
      </c>
      <c r="E101" s="207">
        <v>0</v>
      </c>
      <c r="F101" s="207">
        <v>0</v>
      </c>
      <c r="G101" s="203">
        <v>0</v>
      </c>
      <c r="H101" s="202">
        <v>0</v>
      </c>
      <c r="I101" s="203">
        <v>0</v>
      </c>
      <c r="J101" s="202">
        <v>0</v>
      </c>
      <c r="K101" s="202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</row>
    <row r="102" spans="1:118" x14ac:dyDescent="0.25">
      <c r="A102" s="33" t="s">
        <v>140</v>
      </c>
      <c r="B102" s="33" t="s">
        <v>208</v>
      </c>
      <c r="C102" s="33">
        <v>19</v>
      </c>
      <c r="D102" s="33" t="s">
        <v>47</v>
      </c>
      <c r="E102" s="207">
        <v>0</v>
      </c>
      <c r="F102" s="207">
        <v>0</v>
      </c>
      <c r="G102" s="203">
        <v>0</v>
      </c>
      <c r="H102" s="202">
        <v>0</v>
      </c>
      <c r="I102" s="203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</row>
    <row r="103" spans="1:118" x14ac:dyDescent="0.25">
      <c r="A103" s="33" t="s">
        <v>140</v>
      </c>
      <c r="B103" s="33" t="s">
        <v>208</v>
      </c>
      <c r="C103" s="33">
        <v>20</v>
      </c>
      <c r="D103" s="33" t="s">
        <v>128</v>
      </c>
      <c r="E103" s="207">
        <v>0</v>
      </c>
      <c r="F103" s="207">
        <v>0</v>
      </c>
      <c r="G103" s="203">
        <v>0</v>
      </c>
      <c r="H103" s="202">
        <v>0</v>
      </c>
      <c r="I103" s="203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</row>
    <row r="104" spans="1:118" x14ac:dyDescent="0.25">
      <c r="A104" s="33" t="s">
        <v>140</v>
      </c>
      <c r="B104" s="33" t="s">
        <v>208</v>
      </c>
      <c r="C104" s="33">
        <v>21</v>
      </c>
      <c r="D104" s="33" t="s">
        <v>129</v>
      </c>
      <c r="E104" s="207">
        <v>0</v>
      </c>
      <c r="F104" s="207">
        <v>0</v>
      </c>
      <c r="G104" s="203">
        <v>0</v>
      </c>
      <c r="H104" s="202">
        <v>0</v>
      </c>
      <c r="I104" s="203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</row>
    <row r="105" spans="1:118" x14ac:dyDescent="0.25">
      <c r="A105" s="33" t="s">
        <v>140</v>
      </c>
      <c r="B105" s="33" t="s">
        <v>208</v>
      </c>
      <c r="C105" s="33">
        <v>22</v>
      </c>
      <c r="D105" s="33" t="s">
        <v>130</v>
      </c>
      <c r="E105" s="207">
        <v>0</v>
      </c>
      <c r="F105" s="207">
        <v>0</v>
      </c>
      <c r="G105" s="203">
        <v>0</v>
      </c>
      <c r="H105" s="202">
        <v>0</v>
      </c>
      <c r="I105" s="203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</row>
    <row r="106" spans="1:118" x14ac:dyDescent="0.25">
      <c r="A106" s="33" t="s">
        <v>140</v>
      </c>
      <c r="B106" s="33" t="s">
        <v>208</v>
      </c>
      <c r="C106" s="33">
        <v>23</v>
      </c>
      <c r="D106" s="33" t="s">
        <v>131</v>
      </c>
      <c r="E106" s="207">
        <v>0</v>
      </c>
      <c r="F106" s="207">
        <v>0</v>
      </c>
      <c r="G106" s="203">
        <v>0</v>
      </c>
      <c r="H106" s="202">
        <v>0</v>
      </c>
      <c r="I106" s="203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</row>
    <row r="107" spans="1:118" x14ac:dyDescent="0.25">
      <c r="A107" s="33" t="s">
        <v>140</v>
      </c>
      <c r="B107" s="33" t="s">
        <v>208</v>
      </c>
      <c r="C107" s="33">
        <v>24</v>
      </c>
      <c r="D107" s="33" t="s">
        <v>55</v>
      </c>
      <c r="E107" s="207">
        <v>0</v>
      </c>
      <c r="F107" s="207">
        <v>0</v>
      </c>
      <c r="G107" s="203">
        <v>0</v>
      </c>
      <c r="H107" s="202">
        <v>0</v>
      </c>
      <c r="I107" s="203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</row>
    <row r="108" spans="1:118" x14ac:dyDescent="0.25">
      <c r="A108" s="33" t="s">
        <v>140</v>
      </c>
      <c r="B108" s="33" t="s">
        <v>208</v>
      </c>
      <c r="C108" s="33">
        <v>25</v>
      </c>
      <c r="D108" s="33" t="s">
        <v>56</v>
      </c>
      <c r="E108" s="207">
        <v>0</v>
      </c>
      <c r="F108" s="207">
        <v>0</v>
      </c>
      <c r="G108" s="203">
        <v>0</v>
      </c>
      <c r="H108" s="202">
        <v>0</v>
      </c>
      <c r="I108" s="203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</row>
    <row r="109" spans="1:118" x14ac:dyDescent="0.25">
      <c r="A109" s="33" t="s">
        <v>140</v>
      </c>
      <c r="B109" s="33" t="s">
        <v>208</v>
      </c>
      <c r="C109" s="33">
        <v>26</v>
      </c>
      <c r="D109" s="33" t="s">
        <v>132</v>
      </c>
      <c r="E109" s="207">
        <v>0</v>
      </c>
      <c r="F109" s="207">
        <v>0</v>
      </c>
      <c r="G109" s="203">
        <v>0</v>
      </c>
      <c r="H109" s="202">
        <v>0</v>
      </c>
      <c r="I109" s="203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</row>
    <row r="110" spans="1:118" x14ac:dyDescent="0.25">
      <c r="A110" s="33" t="s">
        <v>140</v>
      </c>
      <c r="B110" s="33" t="s">
        <v>208</v>
      </c>
      <c r="C110" s="33">
        <v>27</v>
      </c>
      <c r="D110" s="33" t="s">
        <v>133</v>
      </c>
      <c r="E110" s="207">
        <v>0</v>
      </c>
      <c r="F110" s="207">
        <v>0</v>
      </c>
      <c r="G110" s="203">
        <v>0</v>
      </c>
      <c r="H110" s="202">
        <v>0</v>
      </c>
      <c r="I110" s="203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</row>
    <row r="111" spans="1:118" x14ac:dyDescent="0.25">
      <c r="A111" s="33" t="s">
        <v>140</v>
      </c>
      <c r="B111" s="33" t="s">
        <v>208</v>
      </c>
      <c r="C111" s="33">
        <v>28</v>
      </c>
      <c r="D111" s="33" t="s">
        <v>134</v>
      </c>
      <c r="E111" s="207">
        <v>0</v>
      </c>
      <c r="F111" s="207">
        <v>0</v>
      </c>
      <c r="G111" s="203">
        <v>0</v>
      </c>
      <c r="H111" s="202">
        <v>0</v>
      </c>
      <c r="I111" s="203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</row>
    <row r="112" spans="1:118" x14ac:dyDescent="0.25">
      <c r="A112" s="33" t="s">
        <v>140</v>
      </c>
      <c r="B112" s="33" t="s">
        <v>208</v>
      </c>
      <c r="C112" s="33">
        <v>29</v>
      </c>
      <c r="D112" s="33" t="s">
        <v>135</v>
      </c>
      <c r="E112" s="207">
        <v>0</v>
      </c>
      <c r="F112" s="207">
        <v>0</v>
      </c>
      <c r="G112" s="203">
        <v>0</v>
      </c>
      <c r="H112" s="202">
        <v>0</v>
      </c>
      <c r="I112" s="203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</row>
    <row r="113" spans="1:118" x14ac:dyDescent="0.25">
      <c r="A113" s="33" t="s">
        <v>140</v>
      </c>
      <c r="B113" s="33" t="s">
        <v>208</v>
      </c>
      <c r="C113" s="33">
        <v>30</v>
      </c>
      <c r="D113" s="33" t="s">
        <v>136</v>
      </c>
      <c r="E113" s="207">
        <v>0</v>
      </c>
      <c r="F113" s="207">
        <v>0</v>
      </c>
      <c r="G113" s="203">
        <v>0</v>
      </c>
      <c r="H113" s="202">
        <v>0</v>
      </c>
      <c r="I113" s="203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</row>
    <row r="114" spans="1:118" x14ac:dyDescent="0.25">
      <c r="A114" s="33" t="s">
        <v>140</v>
      </c>
      <c r="B114" s="33" t="s">
        <v>208</v>
      </c>
      <c r="C114" s="33">
        <v>31</v>
      </c>
      <c r="D114" s="33" t="s">
        <v>137</v>
      </c>
      <c r="E114" s="207">
        <v>0</v>
      </c>
      <c r="F114" s="207">
        <v>0</v>
      </c>
      <c r="G114" s="203">
        <v>0</v>
      </c>
      <c r="H114" s="202">
        <v>0</v>
      </c>
      <c r="I114" s="203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</row>
    <row r="115" spans="1:118" x14ac:dyDescent="0.25">
      <c r="A115" s="33" t="s">
        <v>140</v>
      </c>
      <c r="B115" s="33" t="s">
        <v>208</v>
      </c>
      <c r="C115" s="33">
        <v>32</v>
      </c>
      <c r="D115" s="33" t="s">
        <v>70</v>
      </c>
      <c r="E115" s="207">
        <v>0</v>
      </c>
      <c r="F115" s="207">
        <v>0</v>
      </c>
      <c r="G115" s="203">
        <v>0</v>
      </c>
      <c r="H115" s="202">
        <v>0</v>
      </c>
      <c r="I115" s="203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</row>
    <row r="116" spans="1:118" x14ac:dyDescent="0.25">
      <c r="A116" s="33" t="s">
        <v>140</v>
      </c>
      <c r="B116" s="33" t="s">
        <v>208</v>
      </c>
      <c r="C116" s="33">
        <v>33</v>
      </c>
      <c r="D116" s="33" t="s">
        <v>71</v>
      </c>
      <c r="E116" s="207">
        <v>0</v>
      </c>
      <c r="F116" s="207">
        <v>0</v>
      </c>
      <c r="G116" s="203">
        <v>0</v>
      </c>
      <c r="H116" s="202">
        <v>0</v>
      </c>
      <c r="I116" s="203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0</v>
      </c>
      <c r="P116" s="202">
        <v>0</v>
      </c>
      <c r="Q116" s="202">
        <v>0</v>
      </c>
      <c r="R116" s="202">
        <v>0</v>
      </c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</row>
    <row r="117" spans="1:118" x14ac:dyDescent="0.25">
      <c r="A117" s="33" t="s">
        <v>140</v>
      </c>
      <c r="B117" s="33" t="s">
        <v>208</v>
      </c>
      <c r="C117" s="33">
        <v>34</v>
      </c>
      <c r="D117" s="33" t="s">
        <v>72</v>
      </c>
      <c r="E117" s="207">
        <v>0</v>
      </c>
      <c r="F117" s="207">
        <v>0</v>
      </c>
      <c r="G117" s="203">
        <v>0</v>
      </c>
      <c r="H117" s="202">
        <v>0</v>
      </c>
      <c r="I117" s="203">
        <v>0</v>
      </c>
      <c r="J117" s="202">
        <v>0</v>
      </c>
      <c r="K117" s="202">
        <v>0</v>
      </c>
      <c r="L117" s="202">
        <v>0</v>
      </c>
      <c r="M117" s="202">
        <v>0</v>
      </c>
      <c r="N117" s="202">
        <v>0</v>
      </c>
      <c r="O117" s="202">
        <v>0</v>
      </c>
      <c r="P117" s="202">
        <v>0</v>
      </c>
      <c r="Q117" s="202">
        <v>0</v>
      </c>
      <c r="R117" s="202">
        <v>0</v>
      </c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</row>
    <row r="118" spans="1:118" x14ac:dyDescent="0.25">
      <c r="A118" s="33" t="s">
        <v>140</v>
      </c>
      <c r="B118" s="33" t="s">
        <v>208</v>
      </c>
      <c r="C118" s="33">
        <v>35</v>
      </c>
      <c r="D118" s="33" t="s">
        <v>73</v>
      </c>
      <c r="E118" s="207">
        <v>0</v>
      </c>
      <c r="F118" s="207">
        <v>0</v>
      </c>
      <c r="G118" s="203">
        <v>0</v>
      </c>
      <c r="H118" s="202">
        <v>0</v>
      </c>
      <c r="I118" s="203">
        <v>0</v>
      </c>
      <c r="J118" s="202">
        <v>0</v>
      </c>
      <c r="K118" s="202">
        <v>0</v>
      </c>
      <c r="L118" s="202">
        <v>0</v>
      </c>
      <c r="M118" s="202">
        <v>0</v>
      </c>
      <c r="N118" s="202">
        <v>0</v>
      </c>
      <c r="O118" s="202">
        <v>0</v>
      </c>
      <c r="P118" s="202">
        <v>0</v>
      </c>
      <c r="Q118" s="202">
        <v>0</v>
      </c>
      <c r="R118" s="202">
        <v>0</v>
      </c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</row>
    <row r="119" spans="1:118" x14ac:dyDescent="0.25">
      <c r="A119" s="33" t="s">
        <v>140</v>
      </c>
      <c r="B119" s="33" t="s">
        <v>208</v>
      </c>
      <c r="C119" s="33">
        <v>36</v>
      </c>
      <c r="D119" s="33" t="s">
        <v>74</v>
      </c>
      <c r="E119" s="207">
        <v>0</v>
      </c>
      <c r="F119" s="207">
        <v>0</v>
      </c>
      <c r="G119" s="203">
        <v>0</v>
      </c>
      <c r="H119" s="202">
        <v>0</v>
      </c>
      <c r="I119" s="203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>
        <v>0</v>
      </c>
      <c r="P119" s="202">
        <v>0</v>
      </c>
      <c r="Q119" s="202">
        <v>0</v>
      </c>
      <c r="R119" s="202">
        <v>0</v>
      </c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</row>
    <row r="120" spans="1:118" x14ac:dyDescent="0.25">
      <c r="A120" s="33" t="s">
        <v>140</v>
      </c>
      <c r="B120" s="33" t="s">
        <v>208</v>
      </c>
      <c r="C120" s="33">
        <v>37</v>
      </c>
      <c r="D120" s="33" t="s">
        <v>75</v>
      </c>
      <c r="E120" s="207">
        <v>0</v>
      </c>
      <c r="F120" s="207">
        <v>0</v>
      </c>
      <c r="G120" s="203">
        <v>0</v>
      </c>
      <c r="H120" s="202">
        <v>0</v>
      </c>
      <c r="I120" s="203">
        <v>0</v>
      </c>
      <c r="J120" s="202">
        <v>0</v>
      </c>
      <c r="K120" s="202">
        <v>0</v>
      </c>
      <c r="L120" s="202">
        <v>0</v>
      </c>
      <c r="M120" s="202">
        <v>0</v>
      </c>
      <c r="N120" s="202">
        <v>0</v>
      </c>
      <c r="O120" s="202">
        <v>0</v>
      </c>
      <c r="P120" s="202">
        <v>0</v>
      </c>
      <c r="Q120" s="202">
        <v>0</v>
      </c>
      <c r="R120" s="202">
        <v>0</v>
      </c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</row>
    <row r="121" spans="1:118" x14ac:dyDescent="0.25">
      <c r="A121" s="33" t="s">
        <v>140</v>
      </c>
      <c r="B121" s="33" t="s">
        <v>208</v>
      </c>
      <c r="C121" s="33">
        <v>38</v>
      </c>
      <c r="D121" s="33" t="s">
        <v>76</v>
      </c>
      <c r="E121" s="207">
        <v>0</v>
      </c>
      <c r="F121" s="207">
        <v>0</v>
      </c>
      <c r="G121" s="203">
        <v>0</v>
      </c>
      <c r="H121" s="202">
        <v>0</v>
      </c>
      <c r="I121" s="203">
        <v>0</v>
      </c>
      <c r="J121" s="202">
        <v>0</v>
      </c>
      <c r="K121" s="202">
        <v>0</v>
      </c>
      <c r="L121" s="202">
        <v>0</v>
      </c>
      <c r="M121" s="202">
        <v>0</v>
      </c>
      <c r="N121" s="202">
        <v>0</v>
      </c>
      <c r="O121" s="202">
        <v>0</v>
      </c>
      <c r="P121" s="202">
        <v>0</v>
      </c>
      <c r="Q121" s="202">
        <v>0</v>
      </c>
      <c r="R121" s="202">
        <v>0</v>
      </c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</row>
    <row r="122" spans="1:118" x14ac:dyDescent="0.25">
      <c r="A122" s="33" t="s">
        <v>140</v>
      </c>
      <c r="B122" s="33" t="s">
        <v>208</v>
      </c>
      <c r="C122" s="33">
        <v>39</v>
      </c>
      <c r="D122" s="33" t="s">
        <v>77</v>
      </c>
      <c r="E122" s="207">
        <v>0</v>
      </c>
      <c r="F122" s="207">
        <v>0</v>
      </c>
      <c r="G122" s="203">
        <v>0</v>
      </c>
      <c r="H122" s="202">
        <v>0</v>
      </c>
      <c r="I122" s="203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</row>
    <row r="123" spans="1:118" x14ac:dyDescent="0.25">
      <c r="A123" s="33" t="s">
        <v>140</v>
      </c>
      <c r="B123" s="33" t="s">
        <v>208</v>
      </c>
      <c r="C123" s="33">
        <v>40</v>
      </c>
      <c r="D123" s="33" t="s">
        <v>78</v>
      </c>
      <c r="E123" s="207">
        <v>0</v>
      </c>
      <c r="F123" s="207">
        <v>0</v>
      </c>
      <c r="G123" s="203">
        <v>0</v>
      </c>
      <c r="H123" s="202">
        <v>0</v>
      </c>
      <c r="I123" s="203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207">
        <v>18373410</v>
      </c>
      <c r="F124" s="207">
        <v>44371609.640000001</v>
      </c>
      <c r="G124" s="203">
        <v>1006103</v>
      </c>
      <c r="H124" s="202">
        <v>1982197.95</v>
      </c>
      <c r="I124" s="203">
        <v>0</v>
      </c>
      <c r="J124" s="202">
        <v>590035.84</v>
      </c>
      <c r="K124" s="202">
        <v>-1125645</v>
      </c>
      <c r="L124" s="202">
        <v>-1852381.1</v>
      </c>
      <c r="M124" s="202">
        <v>0</v>
      </c>
      <c r="N124" s="202">
        <v>0</v>
      </c>
      <c r="O124" s="202">
        <v>72963</v>
      </c>
      <c r="P124" s="202">
        <v>137724.57999999999</v>
      </c>
      <c r="Q124" s="202">
        <v>0</v>
      </c>
      <c r="R124" s="202">
        <v>-131690.54</v>
      </c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207">
        <v>0</v>
      </c>
      <c r="F125" s="207">
        <v>0</v>
      </c>
      <c r="G125" s="203">
        <v>0</v>
      </c>
      <c r="H125" s="202">
        <v>0</v>
      </c>
      <c r="I125" s="203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207">
        <v>41028855</v>
      </c>
      <c r="F126" s="207">
        <v>118196541</v>
      </c>
      <c r="G126" s="203">
        <v>-31383249</v>
      </c>
      <c r="H126" s="202">
        <v>-93843164</v>
      </c>
      <c r="I126" s="203">
        <v>0</v>
      </c>
      <c r="J126" s="202">
        <v>0</v>
      </c>
      <c r="K126" s="202">
        <v>0</v>
      </c>
      <c r="L126" s="202">
        <v>0</v>
      </c>
      <c r="M126" s="202">
        <v>0</v>
      </c>
      <c r="N126" s="202">
        <v>0</v>
      </c>
      <c r="O126" s="202">
        <v>0</v>
      </c>
      <c r="P126" s="202">
        <v>0</v>
      </c>
      <c r="Q126" s="202">
        <v>31398160</v>
      </c>
      <c r="R126" s="202">
        <v>93882589</v>
      </c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207">
        <v>0</v>
      </c>
      <c r="F127" s="207">
        <v>0</v>
      </c>
      <c r="G127" s="203">
        <v>0</v>
      </c>
      <c r="H127" s="202">
        <v>0</v>
      </c>
      <c r="I127" s="203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207">
        <v>0</v>
      </c>
      <c r="F128" s="207">
        <v>14440234</v>
      </c>
      <c r="G128" s="203">
        <v>0</v>
      </c>
      <c r="H128" s="202">
        <v>-262300</v>
      </c>
      <c r="I128" s="203">
        <v>0</v>
      </c>
      <c r="J128" s="202">
        <v>7085</v>
      </c>
      <c r="K128" s="202">
        <v>0</v>
      </c>
      <c r="L128" s="202">
        <v>-12752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207">
        <v>-7708958</v>
      </c>
      <c r="F129" s="207">
        <v>-18546209.02</v>
      </c>
      <c r="G129" s="203">
        <v>10070</v>
      </c>
      <c r="H129" s="202">
        <v>-711720.84</v>
      </c>
      <c r="I129" s="203">
        <v>119</v>
      </c>
      <c r="J129" s="202">
        <v>266.75</v>
      </c>
      <c r="K129" s="202">
        <v>0</v>
      </c>
      <c r="L129" s="202">
        <v>0</v>
      </c>
      <c r="M129" s="202">
        <v>-41</v>
      </c>
      <c r="N129" s="202">
        <v>-92.25</v>
      </c>
      <c r="O129" s="202">
        <v>0</v>
      </c>
      <c r="P129" s="202">
        <v>0</v>
      </c>
      <c r="Q129" s="202">
        <v>0</v>
      </c>
      <c r="R129" s="202">
        <v>0</v>
      </c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207">
        <v>0</v>
      </c>
      <c r="F130" s="207">
        <v>0</v>
      </c>
      <c r="G130" s="203">
        <v>0</v>
      </c>
      <c r="H130" s="202">
        <v>0</v>
      </c>
      <c r="I130" s="203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207">
        <v>-42590187</v>
      </c>
      <c r="F131" s="207">
        <v>-118697753</v>
      </c>
      <c r="G131" s="203">
        <v>31384365</v>
      </c>
      <c r="H131" s="202">
        <v>93729670</v>
      </c>
      <c r="I131" s="203">
        <v>0</v>
      </c>
      <c r="J131" s="202">
        <v>0</v>
      </c>
      <c r="K131" s="202">
        <v>0</v>
      </c>
      <c r="L131" s="202">
        <v>0</v>
      </c>
      <c r="M131" s="202">
        <v>-1116</v>
      </c>
      <c r="N131" s="202">
        <v>-2578</v>
      </c>
      <c r="O131" s="202">
        <v>0</v>
      </c>
      <c r="P131" s="202">
        <v>0</v>
      </c>
      <c r="Q131" s="202">
        <v>-31398160</v>
      </c>
      <c r="R131" s="202">
        <v>-93761015</v>
      </c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207">
        <v>0</v>
      </c>
      <c r="F132" s="207">
        <v>0</v>
      </c>
      <c r="G132" s="203">
        <v>0</v>
      </c>
      <c r="H132" s="202">
        <v>0</v>
      </c>
      <c r="I132" s="203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207">
        <v>0</v>
      </c>
      <c r="F133" s="207">
        <v>0</v>
      </c>
      <c r="G133" s="203">
        <v>0</v>
      </c>
      <c r="H133" s="202">
        <v>0</v>
      </c>
      <c r="I133" s="203">
        <v>772833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207">
        <v>0</v>
      </c>
      <c r="F134" s="207">
        <v>0</v>
      </c>
      <c r="G134" s="203">
        <v>0</v>
      </c>
      <c r="H134" s="202">
        <v>0</v>
      </c>
      <c r="I134" s="203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207">
        <v>0</v>
      </c>
      <c r="F135" s="207">
        <v>0</v>
      </c>
      <c r="G135" s="203">
        <v>0</v>
      </c>
      <c r="H135" s="202">
        <v>0</v>
      </c>
      <c r="I135" s="203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207">
        <v>0</v>
      </c>
      <c r="F136" s="207">
        <v>0</v>
      </c>
      <c r="G136" s="203">
        <v>0</v>
      </c>
      <c r="H136" s="202">
        <v>0</v>
      </c>
      <c r="I136" s="203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207">
        <v>0</v>
      </c>
      <c r="F137" s="207">
        <v>0</v>
      </c>
      <c r="G137" s="203">
        <v>0</v>
      </c>
      <c r="H137" s="202">
        <v>0</v>
      </c>
      <c r="I137" s="203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0</v>
      </c>
      <c r="P137" s="202">
        <v>0</v>
      </c>
      <c r="Q137" s="202">
        <v>0</v>
      </c>
      <c r="R137" s="202">
        <v>0</v>
      </c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207">
        <v>0</v>
      </c>
      <c r="F138" s="207">
        <v>0</v>
      </c>
      <c r="G138" s="203">
        <v>0</v>
      </c>
      <c r="H138" s="202">
        <v>0</v>
      </c>
      <c r="I138" s="203">
        <v>0</v>
      </c>
      <c r="J138" s="202">
        <v>0</v>
      </c>
      <c r="K138" s="202">
        <v>0</v>
      </c>
      <c r="L138" s="202">
        <v>0</v>
      </c>
      <c r="M138" s="202">
        <v>0</v>
      </c>
      <c r="N138" s="202">
        <v>0</v>
      </c>
      <c r="O138" s="202">
        <v>0</v>
      </c>
      <c r="P138" s="202">
        <v>0</v>
      </c>
      <c r="Q138" s="202">
        <v>0</v>
      </c>
      <c r="R138" s="202">
        <v>0</v>
      </c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207">
        <v>0</v>
      </c>
      <c r="F139" s="207">
        <v>0</v>
      </c>
      <c r="G139" s="203">
        <v>0</v>
      </c>
      <c r="H139" s="202">
        <v>0</v>
      </c>
      <c r="I139" s="203">
        <v>0</v>
      </c>
      <c r="J139" s="202">
        <v>0</v>
      </c>
      <c r="K139" s="202">
        <v>0</v>
      </c>
      <c r="L139" s="202">
        <v>0</v>
      </c>
      <c r="M139" s="202">
        <v>0</v>
      </c>
      <c r="N139" s="202">
        <v>0</v>
      </c>
      <c r="O139" s="202">
        <v>0</v>
      </c>
      <c r="P139" s="202">
        <v>0</v>
      </c>
      <c r="Q139" s="202">
        <v>0</v>
      </c>
      <c r="R139" s="202">
        <v>-0.01</v>
      </c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207">
        <v>0</v>
      </c>
      <c r="F140" s="207">
        <v>0</v>
      </c>
      <c r="G140" s="203">
        <v>0</v>
      </c>
      <c r="H140" s="202">
        <v>0</v>
      </c>
      <c r="I140" s="203">
        <v>771</v>
      </c>
      <c r="J140" s="202">
        <v>2081.6999999999998</v>
      </c>
      <c r="K140" s="202">
        <v>271011</v>
      </c>
      <c r="L140" s="202">
        <v>591074.99</v>
      </c>
      <c r="M140" s="202">
        <v>0</v>
      </c>
      <c r="N140" s="202">
        <v>0</v>
      </c>
      <c r="O140" s="202">
        <v>0</v>
      </c>
      <c r="P140" s="202">
        <v>0</v>
      </c>
      <c r="Q140" s="202">
        <v>0</v>
      </c>
      <c r="R140" s="202">
        <v>0</v>
      </c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207">
        <v>-8642208</v>
      </c>
      <c r="F141" s="207">
        <v>-22932481.190000001</v>
      </c>
      <c r="G141" s="203">
        <v>-985779</v>
      </c>
      <c r="H141" s="202">
        <v>-2408437.39</v>
      </c>
      <c r="I141" s="203">
        <v>-27924</v>
      </c>
      <c r="J141" s="202">
        <v>-67134.62</v>
      </c>
      <c r="K141" s="202">
        <v>-2273</v>
      </c>
      <c r="L141" s="202">
        <v>-5443.82</v>
      </c>
      <c r="M141" s="202">
        <v>-272424</v>
      </c>
      <c r="N141" s="202">
        <v>-655739.07999999996</v>
      </c>
      <c r="O141" s="202">
        <v>841063</v>
      </c>
      <c r="P141" s="202">
        <v>4126480.78</v>
      </c>
      <c r="Q141" s="202">
        <v>0</v>
      </c>
      <c r="R141" s="202">
        <v>0</v>
      </c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207">
        <v>0</v>
      </c>
      <c r="F142" s="207">
        <v>0</v>
      </c>
      <c r="G142" s="203">
        <v>0</v>
      </c>
      <c r="H142" s="202">
        <v>0</v>
      </c>
      <c r="I142" s="203">
        <v>0</v>
      </c>
      <c r="J142" s="202">
        <v>0</v>
      </c>
      <c r="K142" s="202">
        <v>0</v>
      </c>
      <c r="L142" s="202">
        <v>0</v>
      </c>
      <c r="M142" s="202">
        <v>0</v>
      </c>
      <c r="N142" s="202">
        <v>0</v>
      </c>
      <c r="O142" s="202">
        <v>0</v>
      </c>
      <c r="P142" s="202">
        <v>0</v>
      </c>
      <c r="Q142" s="202">
        <v>0</v>
      </c>
      <c r="R142" s="202">
        <v>0</v>
      </c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207">
        <v>0</v>
      </c>
      <c r="F143" s="207">
        <v>0</v>
      </c>
      <c r="G143" s="203">
        <v>0</v>
      </c>
      <c r="H143" s="202">
        <v>0</v>
      </c>
      <c r="I143" s="203">
        <v>0</v>
      </c>
      <c r="J143" s="202">
        <v>0</v>
      </c>
      <c r="K143" s="202">
        <v>0</v>
      </c>
      <c r="L143" s="202">
        <v>0</v>
      </c>
      <c r="M143" s="202">
        <v>0</v>
      </c>
      <c r="N143" s="202">
        <v>0</v>
      </c>
      <c r="O143" s="202">
        <v>0</v>
      </c>
      <c r="P143" s="202">
        <v>0</v>
      </c>
      <c r="Q143" s="202">
        <v>0</v>
      </c>
      <c r="R143" s="202">
        <v>0</v>
      </c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207">
        <v>0</v>
      </c>
      <c r="F144" s="207">
        <v>0</v>
      </c>
      <c r="G144" s="203">
        <v>0</v>
      </c>
      <c r="H144" s="202">
        <v>0</v>
      </c>
      <c r="I144" s="203">
        <v>0</v>
      </c>
      <c r="J144" s="202">
        <v>0</v>
      </c>
      <c r="K144" s="202">
        <v>0</v>
      </c>
      <c r="L144" s="202">
        <v>0</v>
      </c>
      <c r="M144" s="202">
        <v>0</v>
      </c>
      <c r="N144" s="202">
        <v>0</v>
      </c>
      <c r="O144" s="202">
        <v>0</v>
      </c>
      <c r="P144" s="202">
        <v>0</v>
      </c>
      <c r="Q144" s="202">
        <v>0</v>
      </c>
      <c r="R144" s="202">
        <v>0</v>
      </c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207">
        <v>-460912</v>
      </c>
      <c r="F145" s="207">
        <v>-1005249.072</v>
      </c>
      <c r="G145" s="203">
        <v>-31510</v>
      </c>
      <c r="H145" s="202">
        <v>-68723.309999999939</v>
      </c>
      <c r="I145" s="203">
        <v>-745799</v>
      </c>
      <c r="J145" s="202">
        <v>-1626587.6189999999</v>
      </c>
      <c r="K145" s="202">
        <v>856907</v>
      </c>
      <c r="L145" s="202">
        <v>1868914.1669999999</v>
      </c>
      <c r="M145" s="202">
        <v>273581</v>
      </c>
      <c r="N145" s="202">
        <v>596680.16099999996</v>
      </c>
      <c r="O145" s="202">
        <v>-914026</v>
      </c>
      <c r="P145" s="202">
        <v>-1993490.706</v>
      </c>
      <c r="Q145" s="202">
        <v>0</v>
      </c>
      <c r="R145" s="202">
        <v>0</v>
      </c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207">
        <v>0</v>
      </c>
      <c r="F146" s="207">
        <v>0</v>
      </c>
      <c r="G146" s="203">
        <v>0</v>
      </c>
      <c r="H146" s="202">
        <v>0</v>
      </c>
      <c r="I146" s="203">
        <v>0</v>
      </c>
      <c r="J146" s="202">
        <v>0</v>
      </c>
      <c r="K146" s="202">
        <v>0</v>
      </c>
      <c r="L146" s="202">
        <v>0</v>
      </c>
      <c r="M146" s="202">
        <v>0</v>
      </c>
      <c r="N146" s="202">
        <v>0</v>
      </c>
      <c r="O146" s="202">
        <v>0</v>
      </c>
      <c r="P146" s="202">
        <v>0</v>
      </c>
      <c r="Q146" s="202">
        <v>0</v>
      </c>
      <c r="R146" s="202">
        <v>0</v>
      </c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207">
        <v>-28034260</v>
      </c>
      <c r="F147" s="207">
        <v>-939169.85</v>
      </c>
      <c r="G147" s="203">
        <v>585134</v>
      </c>
      <c r="H147" s="202">
        <v>-61739.59</v>
      </c>
      <c r="I147" s="203">
        <v>353272</v>
      </c>
      <c r="J147" s="202">
        <v>10642.57</v>
      </c>
      <c r="K147" s="202">
        <v>-2701</v>
      </c>
      <c r="L147" s="202">
        <v>-279.83</v>
      </c>
      <c r="M147" s="202">
        <v>307</v>
      </c>
      <c r="N147" s="202">
        <v>-27.93</v>
      </c>
      <c r="O147" s="202">
        <v>-72963</v>
      </c>
      <c r="P147" s="202">
        <v>-3618.96</v>
      </c>
      <c r="Q147" s="202">
        <v>0</v>
      </c>
      <c r="R147" s="202">
        <v>0</v>
      </c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207">
        <v>0</v>
      </c>
      <c r="F148" s="207">
        <v>-10750334.42</v>
      </c>
      <c r="G148" s="203">
        <v>0</v>
      </c>
      <c r="H148" s="202">
        <v>247169.44</v>
      </c>
      <c r="I148" s="203">
        <v>0</v>
      </c>
      <c r="J148" s="202">
        <v>12751.42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207">
        <v>0</v>
      </c>
      <c r="F149" s="207">
        <v>0</v>
      </c>
      <c r="G149" s="203">
        <v>0</v>
      </c>
      <c r="H149" s="202">
        <v>0</v>
      </c>
      <c r="I149" s="203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207">
        <v>0</v>
      </c>
      <c r="F150" s="207">
        <v>0</v>
      </c>
      <c r="G150" s="203">
        <v>0</v>
      </c>
      <c r="H150" s="202">
        <v>0</v>
      </c>
      <c r="I150" s="203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207">
        <v>0</v>
      </c>
      <c r="F151" s="207">
        <v>0</v>
      </c>
      <c r="G151" s="203">
        <v>0</v>
      </c>
      <c r="H151" s="202">
        <v>0</v>
      </c>
      <c r="I151" s="203">
        <v>0</v>
      </c>
      <c r="J151" s="202">
        <v>0</v>
      </c>
      <c r="K151" s="202">
        <v>0</v>
      </c>
      <c r="L151" s="202">
        <v>0</v>
      </c>
      <c r="M151" s="202">
        <v>0</v>
      </c>
      <c r="N151" s="202">
        <v>0</v>
      </c>
      <c r="O151" s="202">
        <v>0</v>
      </c>
      <c r="P151" s="202">
        <v>0</v>
      </c>
      <c r="Q151" s="202">
        <v>0</v>
      </c>
      <c r="R151" s="202">
        <v>0</v>
      </c>
      <c r="S151" s="202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207">
        <v>0</v>
      </c>
      <c r="F152" s="207">
        <v>0</v>
      </c>
      <c r="G152" s="203">
        <v>0</v>
      </c>
      <c r="H152" s="202">
        <v>0</v>
      </c>
      <c r="I152" s="203">
        <v>0</v>
      </c>
      <c r="J152" s="202">
        <v>0</v>
      </c>
      <c r="K152" s="202">
        <v>0</v>
      </c>
      <c r="L152" s="202">
        <v>0</v>
      </c>
      <c r="M152" s="202">
        <v>0</v>
      </c>
      <c r="N152" s="202">
        <v>0</v>
      </c>
      <c r="O152" s="202">
        <v>0</v>
      </c>
      <c r="P152" s="202">
        <v>0</v>
      </c>
      <c r="Q152" s="202">
        <v>0</v>
      </c>
      <c r="R152" s="202">
        <v>0</v>
      </c>
      <c r="S152" s="202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207">
        <v>0</v>
      </c>
      <c r="F153" s="207">
        <v>0</v>
      </c>
      <c r="G153" s="203">
        <v>0</v>
      </c>
      <c r="H153" s="202">
        <v>0</v>
      </c>
      <c r="I153" s="203">
        <v>0</v>
      </c>
      <c r="J153" s="202">
        <v>0</v>
      </c>
      <c r="K153" s="202">
        <v>0</v>
      </c>
      <c r="L153" s="202">
        <v>0</v>
      </c>
      <c r="M153" s="202">
        <v>0</v>
      </c>
      <c r="N153" s="202">
        <v>0</v>
      </c>
      <c r="O153" s="202">
        <v>0</v>
      </c>
      <c r="P153" s="202">
        <v>0</v>
      </c>
      <c r="Q153" s="202">
        <v>0</v>
      </c>
      <c r="R153" s="202">
        <v>0</v>
      </c>
      <c r="S153" s="202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207">
        <v>0</v>
      </c>
      <c r="F154" s="207">
        <v>0</v>
      </c>
      <c r="G154" s="203">
        <v>0</v>
      </c>
      <c r="H154" s="202">
        <v>0</v>
      </c>
      <c r="I154" s="203">
        <v>0</v>
      </c>
      <c r="J154" s="202">
        <v>0</v>
      </c>
      <c r="K154" s="202">
        <v>0</v>
      </c>
      <c r="L154" s="202">
        <v>0</v>
      </c>
      <c r="M154" s="202">
        <v>0</v>
      </c>
      <c r="N154" s="202">
        <v>0</v>
      </c>
      <c r="O154" s="202">
        <v>0</v>
      </c>
      <c r="P154" s="202">
        <v>0</v>
      </c>
      <c r="Q154" s="202">
        <v>0</v>
      </c>
      <c r="R154" s="202">
        <v>0</v>
      </c>
      <c r="S154" s="202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207">
        <v>0</v>
      </c>
      <c r="F155" s="207">
        <v>0</v>
      </c>
      <c r="G155" s="203">
        <v>0</v>
      </c>
      <c r="H155" s="202">
        <v>0</v>
      </c>
      <c r="I155" s="203">
        <v>0</v>
      </c>
      <c r="J155" s="202">
        <v>0</v>
      </c>
      <c r="K155" s="202">
        <v>0</v>
      </c>
      <c r="L155" s="202">
        <v>0</v>
      </c>
      <c r="M155" s="202">
        <v>0</v>
      </c>
      <c r="N155" s="202">
        <v>0</v>
      </c>
      <c r="O155" s="202">
        <v>0</v>
      </c>
      <c r="P155" s="202">
        <v>0</v>
      </c>
      <c r="Q155" s="202">
        <v>0</v>
      </c>
      <c r="R155" s="202">
        <v>0</v>
      </c>
      <c r="S155" s="202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207">
        <v>0</v>
      </c>
      <c r="F156" s="207">
        <v>0</v>
      </c>
      <c r="G156" s="203">
        <v>0</v>
      </c>
      <c r="H156" s="202">
        <v>0</v>
      </c>
      <c r="I156" s="203">
        <v>0</v>
      </c>
      <c r="J156" s="202">
        <v>0</v>
      </c>
      <c r="K156" s="202">
        <v>0</v>
      </c>
      <c r="L156" s="202">
        <v>0</v>
      </c>
      <c r="M156" s="202">
        <v>0</v>
      </c>
      <c r="N156" s="202">
        <v>0</v>
      </c>
      <c r="O156" s="202">
        <v>0</v>
      </c>
      <c r="P156" s="202">
        <v>0</v>
      </c>
      <c r="Q156" s="202">
        <v>0</v>
      </c>
      <c r="R156" s="202">
        <v>0</v>
      </c>
      <c r="S156" s="202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207">
        <v>0</v>
      </c>
      <c r="F157" s="207">
        <v>0</v>
      </c>
      <c r="G157" s="203">
        <v>0</v>
      </c>
      <c r="H157" s="202">
        <v>0</v>
      </c>
      <c r="I157" s="203">
        <v>0</v>
      </c>
      <c r="J157" s="202">
        <v>0</v>
      </c>
      <c r="K157" s="202">
        <v>0</v>
      </c>
      <c r="L157" s="202">
        <v>0</v>
      </c>
      <c r="M157" s="202">
        <v>0</v>
      </c>
      <c r="N157" s="202">
        <v>0</v>
      </c>
      <c r="O157" s="202">
        <v>0</v>
      </c>
      <c r="P157" s="202">
        <v>0</v>
      </c>
      <c r="Q157" s="202">
        <v>0</v>
      </c>
      <c r="R157" s="202">
        <v>0</v>
      </c>
      <c r="S157" s="202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207">
        <v>0</v>
      </c>
      <c r="F158" s="207">
        <v>0</v>
      </c>
      <c r="G158" s="203">
        <v>0</v>
      </c>
      <c r="H158" s="202">
        <v>0</v>
      </c>
      <c r="I158" s="203">
        <v>0</v>
      </c>
      <c r="J158" s="202">
        <v>0</v>
      </c>
      <c r="K158" s="202">
        <v>0</v>
      </c>
      <c r="L158" s="202">
        <v>0</v>
      </c>
      <c r="M158" s="202">
        <v>0</v>
      </c>
      <c r="N158" s="202">
        <v>0</v>
      </c>
      <c r="O158" s="202">
        <v>0</v>
      </c>
      <c r="P158" s="202">
        <v>0</v>
      </c>
      <c r="Q158" s="202">
        <v>0</v>
      </c>
      <c r="R158" s="202">
        <v>0</v>
      </c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207">
        <v>0</v>
      </c>
      <c r="F159" s="207">
        <v>0</v>
      </c>
      <c r="G159" s="203">
        <v>0</v>
      </c>
      <c r="H159" s="202">
        <v>0</v>
      </c>
      <c r="I159" s="203">
        <v>0</v>
      </c>
      <c r="J159" s="202">
        <v>0</v>
      </c>
      <c r="K159" s="202">
        <v>0</v>
      </c>
      <c r="L159" s="202">
        <v>0</v>
      </c>
      <c r="M159" s="202">
        <v>0</v>
      </c>
      <c r="N159" s="202">
        <v>0</v>
      </c>
      <c r="O159" s="202">
        <v>0</v>
      </c>
      <c r="P159" s="202">
        <v>0</v>
      </c>
      <c r="Q159" s="202">
        <v>0</v>
      </c>
      <c r="R159" s="202">
        <v>0</v>
      </c>
      <c r="S159" s="202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207">
        <v>0</v>
      </c>
      <c r="F160" s="207">
        <v>0</v>
      </c>
      <c r="G160" s="203">
        <v>0</v>
      </c>
      <c r="H160" s="202">
        <v>0</v>
      </c>
      <c r="I160" s="203">
        <v>0</v>
      </c>
      <c r="J160" s="202">
        <v>0</v>
      </c>
      <c r="K160" s="202">
        <v>0</v>
      </c>
      <c r="L160" s="202">
        <v>0</v>
      </c>
      <c r="M160" s="202">
        <v>0</v>
      </c>
      <c r="N160" s="202">
        <v>0</v>
      </c>
      <c r="O160" s="202">
        <v>0</v>
      </c>
      <c r="P160" s="202">
        <v>0</v>
      </c>
      <c r="Q160" s="202">
        <v>0</v>
      </c>
      <c r="R160" s="202">
        <v>0</v>
      </c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207">
        <v>0</v>
      </c>
      <c r="F161" s="207">
        <v>0</v>
      </c>
      <c r="G161" s="203">
        <v>0</v>
      </c>
      <c r="H161" s="202">
        <v>0</v>
      </c>
      <c r="I161" s="203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207">
        <v>0</v>
      </c>
      <c r="F162" s="207">
        <v>0</v>
      </c>
      <c r="G162" s="203">
        <v>0</v>
      </c>
      <c r="H162" s="202">
        <v>0</v>
      </c>
      <c r="I162" s="203">
        <v>0</v>
      </c>
      <c r="J162" s="202">
        <v>0</v>
      </c>
      <c r="K162" s="202">
        <v>0</v>
      </c>
      <c r="L162" s="202">
        <v>0</v>
      </c>
      <c r="M162" s="202">
        <v>0</v>
      </c>
      <c r="N162" s="202">
        <v>0</v>
      </c>
      <c r="O162" s="202">
        <v>0</v>
      </c>
      <c r="P162" s="202">
        <v>0</v>
      </c>
      <c r="Q162" s="202">
        <v>0</v>
      </c>
      <c r="R162" s="202">
        <v>0</v>
      </c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207">
        <v>0</v>
      </c>
      <c r="F163" s="207">
        <v>0</v>
      </c>
      <c r="G163" s="203">
        <v>0</v>
      </c>
      <c r="H163" s="202">
        <v>0</v>
      </c>
      <c r="I163" s="203">
        <v>0</v>
      </c>
      <c r="J163" s="202">
        <v>0</v>
      </c>
      <c r="K163" s="202">
        <v>0</v>
      </c>
      <c r="L163" s="202">
        <v>0</v>
      </c>
      <c r="M163" s="202">
        <v>0</v>
      </c>
      <c r="N163" s="202">
        <v>0</v>
      </c>
      <c r="O163" s="202">
        <v>0</v>
      </c>
      <c r="P163" s="202">
        <v>0</v>
      </c>
      <c r="Q163" s="202">
        <v>0</v>
      </c>
      <c r="R163" s="202">
        <v>0</v>
      </c>
      <c r="S163" s="202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207">
        <v>72452022</v>
      </c>
      <c r="F164" s="207">
        <v>168935730.12</v>
      </c>
      <c r="G164" s="203">
        <v>2459300</v>
      </c>
      <c r="H164" s="202">
        <v>2264003.8199999998</v>
      </c>
      <c r="I164" s="203">
        <v>-806640</v>
      </c>
      <c r="J164" s="202">
        <v>-2008846.68</v>
      </c>
      <c r="K164" s="202">
        <v>161467</v>
      </c>
      <c r="L164" s="202">
        <v>384489.9</v>
      </c>
      <c r="M164" s="202">
        <v>-443472</v>
      </c>
      <c r="N164" s="202">
        <v>21876.05</v>
      </c>
      <c r="O164" s="202">
        <v>-10019</v>
      </c>
      <c r="P164" s="202">
        <v>-21314.36</v>
      </c>
      <c r="Q164" s="202">
        <v>-15340</v>
      </c>
      <c r="R164" s="202">
        <v>-829504.03</v>
      </c>
      <c r="S164" s="202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207">
        <v>0</v>
      </c>
      <c r="F165" s="207">
        <v>0</v>
      </c>
      <c r="G165" s="203">
        <v>0</v>
      </c>
      <c r="H165" s="202">
        <v>0</v>
      </c>
      <c r="I165" s="203">
        <v>0</v>
      </c>
      <c r="J165" s="202">
        <v>0</v>
      </c>
      <c r="K165" s="202">
        <v>0</v>
      </c>
      <c r="L165" s="202">
        <v>0</v>
      </c>
      <c r="M165" s="202">
        <v>0</v>
      </c>
      <c r="N165" s="202">
        <v>0</v>
      </c>
      <c r="O165" s="202">
        <v>0</v>
      </c>
      <c r="P165" s="202">
        <v>0</v>
      </c>
      <c r="Q165" s="202">
        <v>0</v>
      </c>
      <c r="R165" s="202">
        <v>0</v>
      </c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207">
        <v>32366719</v>
      </c>
      <c r="F166" s="207">
        <v>72950314</v>
      </c>
      <c r="G166" s="203">
        <v>-16607848</v>
      </c>
      <c r="H166" s="202">
        <v>-38041496</v>
      </c>
      <c r="I166" s="203">
        <v>-1540</v>
      </c>
      <c r="J166" s="202">
        <v>-3191</v>
      </c>
      <c r="K166" s="202">
        <v>0</v>
      </c>
      <c r="L166" s="202">
        <v>0</v>
      </c>
      <c r="M166" s="202">
        <v>0</v>
      </c>
      <c r="N166" s="202">
        <v>0</v>
      </c>
      <c r="O166" s="202">
        <v>0</v>
      </c>
      <c r="P166" s="202">
        <v>0</v>
      </c>
      <c r="Q166" s="202">
        <v>16815972</v>
      </c>
      <c r="R166" s="202">
        <v>38540571</v>
      </c>
      <c r="S166" s="202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207">
        <v>0</v>
      </c>
      <c r="F167" s="207">
        <v>0</v>
      </c>
      <c r="G167" s="203">
        <v>0</v>
      </c>
      <c r="H167" s="202">
        <v>0</v>
      </c>
      <c r="I167" s="203">
        <v>0</v>
      </c>
      <c r="J167" s="202">
        <v>0</v>
      </c>
      <c r="K167" s="202">
        <v>0</v>
      </c>
      <c r="L167" s="202">
        <v>0</v>
      </c>
      <c r="M167" s="202">
        <v>0</v>
      </c>
      <c r="N167" s="202">
        <v>0</v>
      </c>
      <c r="O167" s="202">
        <v>0</v>
      </c>
      <c r="P167" s="202">
        <v>0</v>
      </c>
      <c r="Q167" s="202">
        <v>0</v>
      </c>
      <c r="R167" s="202">
        <v>0</v>
      </c>
      <c r="S167" s="202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207">
        <v>0</v>
      </c>
      <c r="F168" s="207">
        <v>333391.07</v>
      </c>
      <c r="G168" s="203">
        <v>0</v>
      </c>
      <c r="H168" s="202">
        <v>3533283</v>
      </c>
      <c r="I168" s="203">
        <v>0</v>
      </c>
      <c r="J168" s="202">
        <v>0</v>
      </c>
      <c r="K168" s="202">
        <v>0</v>
      </c>
      <c r="L168" s="202">
        <v>4253</v>
      </c>
      <c r="M168" s="202">
        <v>0</v>
      </c>
      <c r="N168" s="202">
        <v>0</v>
      </c>
      <c r="O168" s="202">
        <v>0</v>
      </c>
      <c r="P168" s="202">
        <v>0</v>
      </c>
      <c r="Q168" s="202">
        <v>0</v>
      </c>
      <c r="R168" s="202">
        <v>0</v>
      </c>
      <c r="S168" s="202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207">
        <v>-76065815</v>
      </c>
      <c r="F169" s="207">
        <v>-176903504.63999999</v>
      </c>
      <c r="G169" s="203">
        <v>-6147227</v>
      </c>
      <c r="H169" s="202">
        <v>-9394786.1699999999</v>
      </c>
      <c r="I169" s="203">
        <v>435167</v>
      </c>
      <c r="J169" s="202">
        <v>1099458.18</v>
      </c>
      <c r="K169" s="202">
        <v>-1122547</v>
      </c>
      <c r="L169" s="202">
        <v>-2688751</v>
      </c>
      <c r="M169" s="202">
        <v>-470000</v>
      </c>
      <c r="N169" s="202">
        <v>-1002510</v>
      </c>
      <c r="O169" s="202">
        <v>470000</v>
      </c>
      <c r="P169" s="202">
        <v>1002510</v>
      </c>
      <c r="Q169" s="202">
        <v>0</v>
      </c>
      <c r="R169" s="202">
        <v>0</v>
      </c>
      <c r="S169" s="202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207">
        <v>0</v>
      </c>
      <c r="F170" s="207">
        <v>0</v>
      </c>
      <c r="G170" s="203">
        <v>0</v>
      </c>
      <c r="H170" s="202">
        <v>0</v>
      </c>
      <c r="I170" s="203">
        <v>0</v>
      </c>
      <c r="J170" s="202">
        <v>0</v>
      </c>
      <c r="K170" s="202">
        <v>0</v>
      </c>
      <c r="L170" s="202">
        <v>0</v>
      </c>
      <c r="M170" s="202">
        <v>0</v>
      </c>
      <c r="N170" s="202">
        <v>0</v>
      </c>
      <c r="O170" s="202">
        <v>0</v>
      </c>
      <c r="P170" s="202">
        <v>0</v>
      </c>
      <c r="Q170" s="202">
        <v>0</v>
      </c>
      <c r="R170" s="202">
        <v>0</v>
      </c>
      <c r="S170" s="202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207">
        <v>-25556339</v>
      </c>
      <c r="F171" s="207">
        <v>-59611665</v>
      </c>
      <c r="G171" s="203">
        <v>15055947</v>
      </c>
      <c r="H171" s="202">
        <v>35535108</v>
      </c>
      <c r="I171" s="203">
        <v>0</v>
      </c>
      <c r="J171" s="202">
        <v>8</v>
      </c>
      <c r="K171" s="202">
        <v>-32274</v>
      </c>
      <c r="L171" s="202">
        <v>-72679</v>
      </c>
      <c r="M171" s="202">
        <v>0</v>
      </c>
      <c r="N171" s="202">
        <v>0</v>
      </c>
      <c r="O171" s="202">
        <v>0</v>
      </c>
      <c r="P171" s="202">
        <v>0</v>
      </c>
      <c r="Q171" s="202">
        <v>-16002400</v>
      </c>
      <c r="R171" s="202">
        <v>-37628142</v>
      </c>
      <c r="S171" s="202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207">
        <v>0</v>
      </c>
      <c r="F172" s="207">
        <v>0</v>
      </c>
      <c r="G172" s="203">
        <v>0</v>
      </c>
      <c r="H172" s="202">
        <v>0</v>
      </c>
      <c r="I172" s="203">
        <v>0</v>
      </c>
      <c r="J172" s="202">
        <v>0</v>
      </c>
      <c r="K172" s="202">
        <v>0</v>
      </c>
      <c r="L172" s="202">
        <v>0</v>
      </c>
      <c r="M172" s="202">
        <v>0</v>
      </c>
      <c r="N172" s="202">
        <v>0</v>
      </c>
      <c r="O172" s="202">
        <v>0</v>
      </c>
      <c r="P172" s="202">
        <v>0</v>
      </c>
      <c r="Q172" s="202">
        <v>0</v>
      </c>
      <c r="R172" s="202">
        <v>0</v>
      </c>
      <c r="S172" s="202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207">
        <v>585543</v>
      </c>
      <c r="F173" s="207">
        <v>1248963.219</v>
      </c>
      <c r="G173" s="203">
        <v>30368</v>
      </c>
      <c r="H173" s="202">
        <v>64774.944000000003</v>
      </c>
      <c r="I173" s="203">
        <v>-342</v>
      </c>
      <c r="J173" s="202">
        <v>-729.48599999999999</v>
      </c>
      <c r="K173" s="202">
        <v>-224609</v>
      </c>
      <c r="L173" s="202">
        <v>-479091</v>
      </c>
      <c r="M173" s="202">
        <v>0</v>
      </c>
      <c r="N173" s="202">
        <v>0</v>
      </c>
      <c r="O173" s="202">
        <v>0</v>
      </c>
      <c r="P173" s="202">
        <v>0</v>
      </c>
      <c r="Q173" s="202">
        <v>0</v>
      </c>
      <c r="R173" s="202">
        <v>0</v>
      </c>
      <c r="S173" s="202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207">
        <v>509565</v>
      </c>
      <c r="F174" s="207">
        <v>1144526.67</v>
      </c>
      <c r="G174" s="203">
        <v>0</v>
      </c>
      <c r="H174" s="202">
        <v>0.01</v>
      </c>
      <c r="I174" s="203">
        <v>0</v>
      </c>
      <c r="J174" s="202">
        <v>0</v>
      </c>
      <c r="K174" s="202">
        <v>0</v>
      </c>
      <c r="L174" s="202">
        <v>0</v>
      </c>
      <c r="M174" s="202">
        <v>30000</v>
      </c>
      <c r="N174" s="202">
        <v>70950</v>
      </c>
      <c r="O174" s="202">
        <v>0</v>
      </c>
      <c r="P174" s="202">
        <v>0</v>
      </c>
      <c r="Q174" s="202">
        <v>0</v>
      </c>
      <c r="R174" s="202">
        <v>0</v>
      </c>
      <c r="S174" s="202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207">
        <v>-80432</v>
      </c>
      <c r="F175" s="207">
        <v>-180159.04</v>
      </c>
      <c r="G175" s="203">
        <v>-10000</v>
      </c>
      <c r="H175" s="202">
        <v>-22100</v>
      </c>
      <c r="I175" s="203">
        <v>0</v>
      </c>
      <c r="J175" s="202">
        <v>0</v>
      </c>
      <c r="K175" s="202">
        <v>0</v>
      </c>
      <c r="L175" s="202">
        <v>0</v>
      </c>
      <c r="M175" s="202">
        <v>0</v>
      </c>
      <c r="N175" s="202">
        <v>0</v>
      </c>
      <c r="O175" s="202">
        <v>0</v>
      </c>
      <c r="P175" s="202">
        <v>0</v>
      </c>
      <c r="Q175" s="202">
        <v>0</v>
      </c>
      <c r="R175" s="202">
        <v>0</v>
      </c>
      <c r="S175" s="202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207">
        <v>-1097960</v>
      </c>
      <c r="F176" s="207">
        <v>-2341948.6800000002</v>
      </c>
      <c r="G176" s="203">
        <v>1075648</v>
      </c>
      <c r="H176" s="202">
        <v>2294357.1839999999</v>
      </c>
      <c r="I176" s="203">
        <v>-85833</v>
      </c>
      <c r="J176" s="202">
        <v>-183081.78899999999</v>
      </c>
      <c r="K176" s="202">
        <v>48738</v>
      </c>
      <c r="L176" s="202">
        <v>103958.15399999999</v>
      </c>
      <c r="M176" s="202">
        <v>0</v>
      </c>
      <c r="N176" s="202">
        <v>0</v>
      </c>
      <c r="O176" s="202">
        <v>0</v>
      </c>
      <c r="P176" s="202">
        <v>0</v>
      </c>
      <c r="Q176" s="202">
        <v>14460</v>
      </c>
      <c r="R176" s="202">
        <v>30843.18</v>
      </c>
      <c r="S176" s="202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207">
        <v>0</v>
      </c>
      <c r="F177" s="207">
        <v>0</v>
      </c>
      <c r="G177" s="203">
        <v>-803</v>
      </c>
      <c r="H177" s="202">
        <v>-1874.25</v>
      </c>
      <c r="I177" s="203">
        <v>-3226</v>
      </c>
      <c r="J177" s="202">
        <v>-7429.48</v>
      </c>
      <c r="K177" s="202">
        <v>-2015</v>
      </c>
      <c r="L177" s="202">
        <v>-4821.8999999999996</v>
      </c>
      <c r="M177" s="202">
        <v>0</v>
      </c>
      <c r="N177" s="202">
        <v>0</v>
      </c>
      <c r="O177" s="202">
        <v>-237</v>
      </c>
      <c r="P177" s="202">
        <v>-536.83000000000004</v>
      </c>
      <c r="Q177" s="202">
        <v>-500000</v>
      </c>
      <c r="R177" s="202">
        <v>0</v>
      </c>
      <c r="S177" s="202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207">
        <v>0</v>
      </c>
      <c r="F178" s="207">
        <v>0</v>
      </c>
      <c r="G178" s="203">
        <v>19077</v>
      </c>
      <c r="H178" s="202">
        <v>43478.720000000001</v>
      </c>
      <c r="I178" s="203">
        <v>3090</v>
      </c>
      <c r="J178" s="202">
        <v>7116.27</v>
      </c>
      <c r="K178" s="202">
        <v>0</v>
      </c>
      <c r="L178" s="202">
        <v>0</v>
      </c>
      <c r="M178" s="202">
        <v>0</v>
      </c>
      <c r="N178" s="202">
        <v>0</v>
      </c>
      <c r="O178" s="202">
        <v>0</v>
      </c>
      <c r="P178" s="202">
        <v>0</v>
      </c>
      <c r="Q178" s="202">
        <v>0</v>
      </c>
      <c r="R178" s="202">
        <v>0</v>
      </c>
      <c r="S178" s="202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207">
        <v>0</v>
      </c>
      <c r="F179" s="207">
        <v>0</v>
      </c>
      <c r="G179" s="203">
        <v>0</v>
      </c>
      <c r="H179" s="202">
        <v>0</v>
      </c>
      <c r="I179" s="203">
        <v>0</v>
      </c>
      <c r="J179" s="202">
        <v>0</v>
      </c>
      <c r="K179" s="202">
        <v>0</v>
      </c>
      <c r="L179" s="202">
        <v>0</v>
      </c>
      <c r="M179" s="202">
        <v>0</v>
      </c>
      <c r="N179" s="202">
        <v>0</v>
      </c>
      <c r="O179" s="202">
        <v>0</v>
      </c>
      <c r="P179" s="202">
        <v>0</v>
      </c>
      <c r="Q179" s="202">
        <v>0</v>
      </c>
      <c r="R179" s="202">
        <v>0</v>
      </c>
      <c r="S179" s="202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207">
        <v>1793078</v>
      </c>
      <c r="F180" s="207">
        <v>3824635.37</v>
      </c>
      <c r="G180" s="203">
        <v>756147</v>
      </c>
      <c r="H180" s="202">
        <v>1612861.56</v>
      </c>
      <c r="I180" s="203">
        <v>16817</v>
      </c>
      <c r="J180" s="202">
        <v>35870.660000000003</v>
      </c>
      <c r="K180" s="202">
        <v>1282547</v>
      </c>
      <c r="L180" s="202">
        <v>3058087</v>
      </c>
      <c r="M180" s="202">
        <v>0</v>
      </c>
      <c r="N180" s="202">
        <v>0</v>
      </c>
      <c r="O180" s="202">
        <v>0</v>
      </c>
      <c r="P180" s="202">
        <v>0</v>
      </c>
      <c r="Q180" s="202">
        <v>0</v>
      </c>
      <c r="R180" s="202">
        <v>0</v>
      </c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207">
        <v>-453689</v>
      </c>
      <c r="F181" s="207">
        <v>-786721.44</v>
      </c>
      <c r="G181" s="203">
        <v>-29769</v>
      </c>
      <c r="H181" s="202">
        <v>-402881.16</v>
      </c>
      <c r="I181" s="203">
        <v>0</v>
      </c>
      <c r="J181" s="202">
        <v>0</v>
      </c>
      <c r="K181" s="202">
        <v>0</v>
      </c>
      <c r="L181" s="202">
        <v>2246.7399999999998</v>
      </c>
      <c r="M181" s="202">
        <v>0</v>
      </c>
      <c r="N181" s="202">
        <v>0</v>
      </c>
      <c r="O181" s="202">
        <v>0</v>
      </c>
      <c r="P181" s="202">
        <v>0</v>
      </c>
      <c r="Q181" s="202">
        <v>0</v>
      </c>
      <c r="R181" s="202">
        <v>0</v>
      </c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207">
        <v>0</v>
      </c>
      <c r="F182" s="207">
        <v>0</v>
      </c>
      <c r="G182" s="203">
        <v>0</v>
      </c>
      <c r="H182" s="202">
        <v>0</v>
      </c>
      <c r="I182" s="203">
        <v>0</v>
      </c>
      <c r="J182" s="202">
        <v>0</v>
      </c>
      <c r="K182" s="202">
        <v>0</v>
      </c>
      <c r="L182" s="202">
        <v>0</v>
      </c>
      <c r="M182" s="202">
        <v>0</v>
      </c>
      <c r="N182" s="202">
        <v>0</v>
      </c>
      <c r="O182" s="202">
        <v>0</v>
      </c>
      <c r="P182" s="202">
        <v>0</v>
      </c>
      <c r="Q182" s="202">
        <v>0</v>
      </c>
      <c r="R182" s="202">
        <v>0</v>
      </c>
      <c r="S182" s="202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207">
        <v>0</v>
      </c>
      <c r="F183" s="207">
        <v>0</v>
      </c>
      <c r="G183" s="203">
        <v>0</v>
      </c>
      <c r="H183" s="202">
        <v>0</v>
      </c>
      <c r="I183" s="203">
        <v>0</v>
      </c>
      <c r="J183" s="202">
        <v>0</v>
      </c>
      <c r="K183" s="202">
        <v>0</v>
      </c>
      <c r="L183" s="202">
        <v>0</v>
      </c>
      <c r="M183" s="202">
        <v>0</v>
      </c>
      <c r="N183" s="202">
        <v>0</v>
      </c>
      <c r="O183" s="202">
        <v>0</v>
      </c>
      <c r="P183" s="202">
        <v>0</v>
      </c>
      <c r="Q183" s="202">
        <v>0</v>
      </c>
      <c r="R183" s="202">
        <v>0</v>
      </c>
      <c r="S183" s="202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207">
        <v>0</v>
      </c>
      <c r="F184" s="207">
        <v>0</v>
      </c>
      <c r="G184" s="203">
        <v>0</v>
      </c>
      <c r="H184" s="202">
        <v>0</v>
      </c>
      <c r="I184" s="203">
        <v>0</v>
      </c>
      <c r="J184" s="202">
        <v>0</v>
      </c>
      <c r="K184" s="202">
        <v>0</v>
      </c>
      <c r="L184" s="202">
        <v>0</v>
      </c>
      <c r="M184" s="202">
        <v>0</v>
      </c>
      <c r="N184" s="202">
        <v>0</v>
      </c>
      <c r="O184" s="202">
        <v>0</v>
      </c>
      <c r="P184" s="202">
        <v>0</v>
      </c>
      <c r="Q184" s="202">
        <v>0</v>
      </c>
      <c r="R184" s="202">
        <v>0</v>
      </c>
      <c r="S184" s="202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207">
        <v>-4452692</v>
      </c>
      <c r="F185" s="207">
        <v>-9497592.0360000003</v>
      </c>
      <c r="G185" s="203">
        <v>3399160</v>
      </c>
      <c r="H185" s="202">
        <v>7250408.2800000003</v>
      </c>
      <c r="I185" s="203">
        <v>442507</v>
      </c>
      <c r="J185" s="202">
        <v>943867.43099999998</v>
      </c>
      <c r="K185" s="202">
        <v>-111307</v>
      </c>
      <c r="L185" s="202">
        <v>-237417.83100000001</v>
      </c>
      <c r="M185" s="202">
        <v>883472</v>
      </c>
      <c r="N185" s="202">
        <v>1884445.7760000001</v>
      </c>
      <c r="O185" s="202">
        <v>-459744</v>
      </c>
      <c r="P185" s="202">
        <v>-980633.95200000005</v>
      </c>
      <c r="Q185" s="202">
        <v>-312692</v>
      </c>
      <c r="R185" s="202">
        <v>-666972.03599999996</v>
      </c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207">
        <v>-585543</v>
      </c>
      <c r="F186" s="207">
        <v>-1248963.219</v>
      </c>
      <c r="G186" s="203">
        <v>-30368</v>
      </c>
      <c r="H186" s="202">
        <v>-64774.944000000003</v>
      </c>
      <c r="I186" s="203">
        <v>342</v>
      </c>
      <c r="J186" s="202">
        <v>729.48599999999999</v>
      </c>
      <c r="K186" s="202">
        <v>224609</v>
      </c>
      <c r="L186" s="202">
        <v>479091</v>
      </c>
      <c r="M186" s="202">
        <v>0</v>
      </c>
      <c r="N186" s="202">
        <v>0</v>
      </c>
      <c r="O186" s="202">
        <v>0</v>
      </c>
      <c r="P186" s="202">
        <v>0</v>
      </c>
      <c r="Q186" s="202">
        <v>0</v>
      </c>
      <c r="R186" s="202">
        <v>0</v>
      </c>
      <c r="S186" s="202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207">
        <v>-35887135</v>
      </c>
      <c r="F187" s="207">
        <v>-147818.85999999999</v>
      </c>
      <c r="G187" s="203">
        <v>-3315116</v>
      </c>
      <c r="H187" s="202">
        <v>-11217.96</v>
      </c>
      <c r="I187" s="203">
        <v>417123</v>
      </c>
      <c r="J187" s="202">
        <v>-6357.89</v>
      </c>
      <c r="K187" s="202">
        <v>0</v>
      </c>
      <c r="L187" s="202">
        <v>-688.95</v>
      </c>
      <c r="M187" s="202">
        <v>71634</v>
      </c>
      <c r="N187" s="202">
        <v>9019.1200000000008</v>
      </c>
      <c r="O187" s="202">
        <v>-807322</v>
      </c>
      <c r="P187" s="202">
        <v>-9020.7099999999991</v>
      </c>
      <c r="Q187" s="202">
        <v>0</v>
      </c>
      <c r="R187" s="202">
        <v>793705.42</v>
      </c>
      <c r="S187" s="202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207">
        <v>0</v>
      </c>
      <c r="F188" s="207">
        <v>-2034880.84</v>
      </c>
      <c r="G188" s="203">
        <v>0</v>
      </c>
      <c r="H188" s="202">
        <v>-86247.59</v>
      </c>
      <c r="I188" s="203">
        <v>0</v>
      </c>
      <c r="J188" s="202">
        <v>0</v>
      </c>
      <c r="K188" s="202">
        <v>0</v>
      </c>
      <c r="L188" s="202">
        <v>0</v>
      </c>
      <c r="M188" s="202">
        <v>0</v>
      </c>
      <c r="N188" s="202">
        <v>0</v>
      </c>
      <c r="O188" s="202">
        <v>0</v>
      </c>
      <c r="P188" s="202">
        <v>0</v>
      </c>
      <c r="Q188" s="202">
        <v>0</v>
      </c>
      <c r="R188" s="202">
        <v>0</v>
      </c>
      <c r="S188" s="202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207">
        <v>0</v>
      </c>
      <c r="F189" s="207">
        <v>0</v>
      </c>
      <c r="G189" s="203">
        <v>0</v>
      </c>
      <c r="H189" s="202">
        <v>0</v>
      </c>
      <c r="I189" s="203">
        <v>0</v>
      </c>
      <c r="J189" s="202">
        <v>0</v>
      </c>
      <c r="K189" s="202">
        <v>0</v>
      </c>
      <c r="L189" s="202">
        <v>0</v>
      </c>
      <c r="M189" s="202">
        <v>0</v>
      </c>
      <c r="N189" s="202">
        <v>0</v>
      </c>
      <c r="O189" s="202">
        <v>0</v>
      </c>
      <c r="P189" s="202">
        <v>0</v>
      </c>
      <c r="Q189" s="202">
        <v>0</v>
      </c>
      <c r="R189" s="202">
        <v>0</v>
      </c>
      <c r="S189" s="202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207">
        <v>0</v>
      </c>
      <c r="F190" s="207">
        <v>0</v>
      </c>
      <c r="G190" s="203">
        <v>0</v>
      </c>
      <c r="H190" s="202">
        <v>0</v>
      </c>
      <c r="I190" s="203">
        <v>0</v>
      </c>
      <c r="J190" s="202">
        <v>0</v>
      </c>
      <c r="K190" s="202">
        <v>0</v>
      </c>
      <c r="L190" s="202">
        <v>0</v>
      </c>
      <c r="M190" s="202">
        <v>0</v>
      </c>
      <c r="N190" s="202">
        <v>0</v>
      </c>
      <c r="O190" s="202">
        <v>0</v>
      </c>
      <c r="P190" s="202">
        <v>0</v>
      </c>
      <c r="Q190" s="202">
        <v>0</v>
      </c>
      <c r="R190" s="202">
        <v>0</v>
      </c>
      <c r="S190" s="202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207">
        <v>0</v>
      </c>
      <c r="F191" s="207">
        <v>0</v>
      </c>
      <c r="G191" s="203">
        <v>0</v>
      </c>
      <c r="H191" s="202">
        <v>0</v>
      </c>
      <c r="I191" s="203">
        <v>0</v>
      </c>
      <c r="J191" s="202">
        <v>0</v>
      </c>
      <c r="K191" s="202">
        <v>0</v>
      </c>
      <c r="L191" s="202">
        <v>0</v>
      </c>
      <c r="M191" s="202">
        <v>0</v>
      </c>
      <c r="N191" s="202">
        <v>0</v>
      </c>
      <c r="O191" s="202">
        <v>0</v>
      </c>
      <c r="P191" s="202">
        <v>0</v>
      </c>
      <c r="Q191" s="202">
        <v>0</v>
      </c>
      <c r="R191" s="202">
        <v>0</v>
      </c>
      <c r="S191" s="202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207">
        <v>0</v>
      </c>
      <c r="F192" s="207">
        <v>0</v>
      </c>
      <c r="G192" s="203">
        <v>0</v>
      </c>
      <c r="H192" s="202">
        <v>0</v>
      </c>
      <c r="I192" s="203">
        <v>0</v>
      </c>
      <c r="J192" s="202">
        <v>0</v>
      </c>
      <c r="K192" s="202">
        <v>0</v>
      </c>
      <c r="L192" s="202">
        <v>0</v>
      </c>
      <c r="M192" s="202">
        <v>0</v>
      </c>
      <c r="N192" s="202">
        <v>0</v>
      </c>
      <c r="O192" s="202">
        <v>0</v>
      </c>
      <c r="P192" s="202">
        <v>0</v>
      </c>
      <c r="Q192" s="202">
        <v>0</v>
      </c>
      <c r="R192" s="202">
        <v>0</v>
      </c>
      <c r="S192" s="202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207">
        <v>0</v>
      </c>
      <c r="F193" s="207">
        <v>0</v>
      </c>
      <c r="G193" s="203">
        <v>0</v>
      </c>
      <c r="H193" s="202">
        <v>0</v>
      </c>
      <c r="I193" s="203">
        <v>0</v>
      </c>
      <c r="J193" s="202">
        <v>0</v>
      </c>
      <c r="K193" s="202">
        <v>0</v>
      </c>
      <c r="L193" s="202">
        <v>0</v>
      </c>
      <c r="M193" s="202">
        <v>0</v>
      </c>
      <c r="N193" s="202">
        <v>0</v>
      </c>
      <c r="O193" s="202">
        <v>0</v>
      </c>
      <c r="P193" s="202">
        <v>0</v>
      </c>
      <c r="Q193" s="202">
        <v>0</v>
      </c>
      <c r="R193" s="202">
        <v>0</v>
      </c>
      <c r="S193" s="202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207">
        <v>0</v>
      </c>
      <c r="F194" s="207">
        <v>0</v>
      </c>
      <c r="G194" s="203">
        <v>0</v>
      </c>
      <c r="H194" s="202">
        <v>0</v>
      </c>
      <c r="I194" s="203">
        <v>0</v>
      </c>
      <c r="J194" s="202">
        <v>0</v>
      </c>
      <c r="K194" s="202">
        <v>0</v>
      </c>
      <c r="L194" s="202">
        <v>0</v>
      </c>
      <c r="M194" s="202">
        <v>0</v>
      </c>
      <c r="N194" s="202">
        <v>0</v>
      </c>
      <c r="O194" s="202">
        <v>0</v>
      </c>
      <c r="P194" s="202">
        <v>0</v>
      </c>
      <c r="Q194" s="202">
        <v>0</v>
      </c>
      <c r="R194" s="202">
        <v>0</v>
      </c>
      <c r="S194" s="202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207">
        <v>0</v>
      </c>
      <c r="F195" s="207">
        <v>0</v>
      </c>
      <c r="G195" s="203">
        <v>0</v>
      </c>
      <c r="H195" s="202">
        <v>0</v>
      </c>
      <c r="I195" s="203">
        <v>0</v>
      </c>
      <c r="J195" s="202">
        <v>0</v>
      </c>
      <c r="K195" s="202">
        <v>0</v>
      </c>
      <c r="L195" s="202">
        <v>0</v>
      </c>
      <c r="M195" s="202">
        <v>0</v>
      </c>
      <c r="N195" s="202">
        <v>0</v>
      </c>
      <c r="O195" s="202">
        <v>0</v>
      </c>
      <c r="P195" s="202">
        <v>0</v>
      </c>
      <c r="Q195" s="202">
        <v>0</v>
      </c>
      <c r="R195" s="202">
        <v>0</v>
      </c>
      <c r="S195" s="202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207">
        <v>0</v>
      </c>
      <c r="F196" s="207">
        <v>0</v>
      </c>
      <c r="G196" s="203">
        <v>0</v>
      </c>
      <c r="H196" s="202">
        <v>0</v>
      </c>
      <c r="I196" s="203">
        <v>0</v>
      </c>
      <c r="J196" s="202">
        <v>0</v>
      </c>
      <c r="K196" s="202">
        <v>0</v>
      </c>
      <c r="L196" s="202">
        <v>0</v>
      </c>
      <c r="M196" s="202">
        <v>0</v>
      </c>
      <c r="N196" s="202">
        <v>0</v>
      </c>
      <c r="O196" s="202">
        <v>0</v>
      </c>
      <c r="P196" s="202">
        <v>0</v>
      </c>
      <c r="Q196" s="202">
        <v>0</v>
      </c>
      <c r="R196" s="202">
        <v>0</v>
      </c>
      <c r="S196" s="202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207">
        <v>0</v>
      </c>
      <c r="F197" s="207">
        <v>0</v>
      </c>
      <c r="G197" s="203">
        <v>0</v>
      </c>
      <c r="H197" s="202">
        <v>0</v>
      </c>
      <c r="I197" s="203">
        <v>0</v>
      </c>
      <c r="J197" s="202">
        <v>0</v>
      </c>
      <c r="K197" s="202">
        <v>0</v>
      </c>
      <c r="L197" s="202">
        <v>0</v>
      </c>
      <c r="M197" s="202">
        <v>0</v>
      </c>
      <c r="N197" s="202">
        <v>0</v>
      </c>
      <c r="O197" s="202">
        <v>0</v>
      </c>
      <c r="P197" s="202">
        <v>0</v>
      </c>
      <c r="Q197" s="202">
        <v>0</v>
      </c>
      <c r="R197" s="202">
        <v>0</v>
      </c>
      <c r="S197" s="202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207">
        <v>0</v>
      </c>
      <c r="F198" s="207">
        <v>-15001.18</v>
      </c>
      <c r="G198" s="203">
        <v>0</v>
      </c>
      <c r="H198" s="202">
        <v>-2213.39</v>
      </c>
      <c r="I198" s="203">
        <v>0</v>
      </c>
      <c r="J198" s="202">
        <v>0</v>
      </c>
      <c r="K198" s="202">
        <v>0</v>
      </c>
      <c r="L198" s="202">
        <v>0</v>
      </c>
      <c r="M198" s="202">
        <v>0</v>
      </c>
      <c r="N198" s="202">
        <v>0</v>
      </c>
      <c r="O198" s="202">
        <v>0</v>
      </c>
      <c r="P198" s="202">
        <v>0</v>
      </c>
      <c r="Q198" s="202">
        <v>0</v>
      </c>
      <c r="R198" s="202">
        <v>0</v>
      </c>
      <c r="S198" s="202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207">
        <v>0</v>
      </c>
      <c r="F199" s="207">
        <v>0</v>
      </c>
      <c r="G199" s="203">
        <v>0</v>
      </c>
      <c r="H199" s="202">
        <v>0</v>
      </c>
      <c r="I199" s="203">
        <v>0</v>
      </c>
      <c r="J199" s="202">
        <v>0</v>
      </c>
      <c r="K199" s="202">
        <v>0</v>
      </c>
      <c r="L199" s="202">
        <v>0</v>
      </c>
      <c r="M199" s="202">
        <v>0</v>
      </c>
      <c r="N199" s="202">
        <v>0</v>
      </c>
      <c r="O199" s="202">
        <v>0</v>
      </c>
      <c r="P199" s="202">
        <v>0</v>
      </c>
      <c r="Q199" s="202">
        <v>0</v>
      </c>
      <c r="R199" s="202">
        <v>0</v>
      </c>
      <c r="S199" s="202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207">
        <v>0</v>
      </c>
      <c r="F200" s="207">
        <v>0</v>
      </c>
      <c r="G200" s="203">
        <v>0</v>
      </c>
      <c r="H200" s="202">
        <v>0</v>
      </c>
      <c r="I200" s="203">
        <v>0</v>
      </c>
      <c r="J200" s="202">
        <v>0</v>
      </c>
      <c r="K200" s="202">
        <v>0</v>
      </c>
      <c r="L200" s="202">
        <v>0</v>
      </c>
      <c r="M200" s="202">
        <v>0</v>
      </c>
      <c r="N200" s="202">
        <v>0</v>
      </c>
      <c r="O200" s="202">
        <v>0</v>
      </c>
      <c r="P200" s="202">
        <v>0</v>
      </c>
      <c r="Q200" s="202">
        <v>0</v>
      </c>
      <c r="R200" s="202">
        <v>0</v>
      </c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207">
        <v>0</v>
      </c>
      <c r="F201" s="207">
        <v>0</v>
      </c>
      <c r="G201" s="203">
        <v>0</v>
      </c>
      <c r="H201" s="202">
        <v>0</v>
      </c>
      <c r="I201" s="203">
        <v>0</v>
      </c>
      <c r="J201" s="202">
        <v>0</v>
      </c>
      <c r="K201" s="202">
        <v>0</v>
      </c>
      <c r="L201" s="202">
        <v>0</v>
      </c>
      <c r="M201" s="202">
        <v>0</v>
      </c>
      <c r="N201" s="202">
        <v>0</v>
      </c>
      <c r="O201" s="202">
        <v>0</v>
      </c>
      <c r="P201" s="202">
        <v>0</v>
      </c>
      <c r="Q201" s="202">
        <v>0</v>
      </c>
      <c r="R201" s="202">
        <v>0</v>
      </c>
      <c r="S201" s="202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207">
        <v>0</v>
      </c>
      <c r="F202" s="207">
        <v>0</v>
      </c>
      <c r="G202" s="203">
        <v>0</v>
      </c>
      <c r="H202" s="202">
        <v>0</v>
      </c>
      <c r="I202" s="203">
        <v>0</v>
      </c>
      <c r="J202" s="202">
        <v>0</v>
      </c>
      <c r="K202" s="202">
        <v>0</v>
      </c>
      <c r="L202" s="202">
        <v>0</v>
      </c>
      <c r="M202" s="202">
        <v>0</v>
      </c>
      <c r="N202" s="202">
        <v>0</v>
      </c>
      <c r="O202" s="202">
        <v>0</v>
      </c>
      <c r="P202" s="202">
        <v>0</v>
      </c>
      <c r="Q202" s="202">
        <v>0</v>
      </c>
      <c r="R202" s="202">
        <v>0</v>
      </c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207">
        <v>0</v>
      </c>
      <c r="F203" s="207">
        <v>0</v>
      </c>
      <c r="G203" s="203">
        <v>0</v>
      </c>
      <c r="H203" s="202">
        <v>0</v>
      </c>
      <c r="I203" s="203">
        <v>0</v>
      </c>
      <c r="J203" s="202">
        <v>0</v>
      </c>
      <c r="K203" s="202">
        <v>0</v>
      </c>
      <c r="L203" s="202">
        <v>0</v>
      </c>
      <c r="M203" s="202">
        <v>0</v>
      </c>
      <c r="N203" s="202">
        <v>0</v>
      </c>
      <c r="O203" s="202">
        <v>0</v>
      </c>
      <c r="P203" s="202">
        <v>0</v>
      </c>
      <c r="Q203" s="202">
        <v>0</v>
      </c>
      <c r="R203" s="202">
        <v>0</v>
      </c>
      <c r="S203" s="202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</row>
    <row r="204" spans="1:118" x14ac:dyDescent="0.25">
      <c r="A204" s="33" t="s">
        <v>140</v>
      </c>
      <c r="B204" s="33" t="s">
        <v>204</v>
      </c>
      <c r="C204" s="33">
        <v>1</v>
      </c>
      <c r="D204" s="33" t="s">
        <v>25</v>
      </c>
      <c r="E204" s="207">
        <v>4504172</v>
      </c>
      <c r="F204" s="207">
        <v>9179512.2799999993</v>
      </c>
      <c r="G204" s="203">
        <v>16128</v>
      </c>
      <c r="H204" s="202">
        <v>48610.65</v>
      </c>
      <c r="I204" s="203">
        <v>10050</v>
      </c>
      <c r="J204" s="202">
        <v>30087.51</v>
      </c>
      <c r="K204" s="202">
        <v>-1</v>
      </c>
      <c r="L204" s="202">
        <v>-2.14</v>
      </c>
      <c r="M204" s="202">
        <v>0</v>
      </c>
      <c r="N204" s="202">
        <v>0</v>
      </c>
      <c r="O204" s="202">
        <v>0</v>
      </c>
      <c r="P204" s="202">
        <v>0</v>
      </c>
      <c r="Q204" s="202">
        <v>-1</v>
      </c>
      <c r="R204" s="202">
        <v>-1.93</v>
      </c>
      <c r="S204" s="202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</row>
    <row r="205" spans="1:118" x14ac:dyDescent="0.25">
      <c r="A205" s="33" t="s">
        <v>140</v>
      </c>
      <c r="B205" s="33" t="s">
        <v>204</v>
      </c>
      <c r="C205" s="33">
        <v>2</v>
      </c>
      <c r="D205" s="33" t="s">
        <v>26</v>
      </c>
      <c r="E205" s="207">
        <v>0</v>
      </c>
      <c r="F205" s="207">
        <v>0</v>
      </c>
      <c r="G205" s="203">
        <v>0</v>
      </c>
      <c r="H205" s="202">
        <v>0</v>
      </c>
      <c r="I205" s="203">
        <v>0</v>
      </c>
      <c r="J205" s="202">
        <v>0</v>
      </c>
      <c r="K205" s="202">
        <v>0</v>
      </c>
      <c r="L205" s="202">
        <v>0</v>
      </c>
      <c r="M205" s="202">
        <v>0</v>
      </c>
      <c r="N205" s="202">
        <v>0</v>
      </c>
      <c r="O205" s="202">
        <v>0</v>
      </c>
      <c r="P205" s="202">
        <v>0</v>
      </c>
      <c r="Q205" s="202">
        <v>0</v>
      </c>
      <c r="R205" s="202">
        <v>0</v>
      </c>
      <c r="S205" s="202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</row>
    <row r="206" spans="1:118" x14ac:dyDescent="0.25">
      <c r="A206" s="33" t="s">
        <v>140</v>
      </c>
      <c r="B206" s="33" t="s">
        <v>204</v>
      </c>
      <c r="C206" s="33">
        <v>3</v>
      </c>
      <c r="D206" s="33" t="s">
        <v>27</v>
      </c>
      <c r="E206" s="207">
        <v>96357</v>
      </c>
      <c r="F206" s="207">
        <v>219509</v>
      </c>
      <c r="G206" s="203">
        <v>9</v>
      </c>
      <c r="H206" s="202">
        <v>-144</v>
      </c>
      <c r="I206" s="203">
        <v>0</v>
      </c>
      <c r="J206" s="202">
        <v>-9</v>
      </c>
      <c r="K206" s="202">
        <v>0</v>
      </c>
      <c r="L206" s="202">
        <v>0</v>
      </c>
      <c r="M206" s="202">
        <v>0</v>
      </c>
      <c r="N206" s="202">
        <v>0</v>
      </c>
      <c r="O206" s="202">
        <v>0</v>
      </c>
      <c r="P206" s="202">
        <v>0</v>
      </c>
      <c r="Q206" s="202">
        <v>-96366</v>
      </c>
      <c r="R206" s="202">
        <v>-219356</v>
      </c>
      <c r="S206" s="202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</row>
    <row r="207" spans="1:118" x14ac:dyDescent="0.25">
      <c r="A207" s="33" t="s">
        <v>140</v>
      </c>
      <c r="B207" s="33" t="s">
        <v>204</v>
      </c>
      <c r="C207" s="33">
        <v>4</v>
      </c>
      <c r="D207" s="33" t="s">
        <v>28</v>
      </c>
      <c r="E207" s="207">
        <v>0</v>
      </c>
      <c r="F207" s="207">
        <v>0</v>
      </c>
      <c r="G207" s="203">
        <v>0</v>
      </c>
      <c r="H207" s="202">
        <v>0</v>
      </c>
      <c r="I207" s="203">
        <v>0</v>
      </c>
      <c r="J207" s="202">
        <v>0</v>
      </c>
      <c r="K207" s="202">
        <v>0</v>
      </c>
      <c r="L207" s="202">
        <v>0</v>
      </c>
      <c r="M207" s="202">
        <v>0</v>
      </c>
      <c r="N207" s="202">
        <v>0</v>
      </c>
      <c r="O207" s="202">
        <v>0</v>
      </c>
      <c r="P207" s="202">
        <v>0</v>
      </c>
      <c r="Q207" s="202">
        <v>0</v>
      </c>
      <c r="R207" s="202">
        <v>0</v>
      </c>
      <c r="S207" s="202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</row>
    <row r="208" spans="1:118" x14ac:dyDescent="0.25">
      <c r="A208" s="33" t="s">
        <v>140</v>
      </c>
      <c r="B208" s="33" t="s">
        <v>204</v>
      </c>
      <c r="C208" s="33">
        <v>5</v>
      </c>
      <c r="D208" s="33" t="s">
        <v>125</v>
      </c>
      <c r="E208" s="207">
        <v>0</v>
      </c>
      <c r="F208" s="207">
        <v>6132.42</v>
      </c>
      <c r="G208" s="203">
        <v>0</v>
      </c>
      <c r="H208" s="202">
        <v>0</v>
      </c>
      <c r="I208" s="203">
        <v>0</v>
      </c>
      <c r="J208" s="202">
        <v>0</v>
      </c>
      <c r="K208" s="202">
        <v>0</v>
      </c>
      <c r="L208" s="202">
        <v>0</v>
      </c>
      <c r="M208" s="202">
        <v>0</v>
      </c>
      <c r="N208" s="202">
        <v>0</v>
      </c>
      <c r="O208" s="202">
        <v>0</v>
      </c>
      <c r="P208" s="202">
        <v>0</v>
      </c>
      <c r="Q208" s="202">
        <v>0</v>
      </c>
      <c r="R208" s="202">
        <v>0</v>
      </c>
      <c r="S208" s="202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</row>
    <row r="209" spans="1:118" x14ac:dyDescent="0.25">
      <c r="A209" s="33" t="s">
        <v>140</v>
      </c>
      <c r="B209" s="33" t="s">
        <v>204</v>
      </c>
      <c r="C209" s="33">
        <v>6</v>
      </c>
      <c r="D209" s="33" t="s">
        <v>25</v>
      </c>
      <c r="E209" s="207">
        <v>-5014757</v>
      </c>
      <c r="F209" s="207">
        <v>-9920096.4900000002</v>
      </c>
      <c r="G209" s="203">
        <v>-274862</v>
      </c>
      <c r="H209" s="202">
        <v>-567305.32999999996</v>
      </c>
      <c r="I209" s="203">
        <v>-18599</v>
      </c>
      <c r="J209" s="202">
        <v>-95922.98</v>
      </c>
      <c r="K209" s="202">
        <v>0</v>
      </c>
      <c r="L209" s="202">
        <v>66738.559999999998</v>
      </c>
      <c r="M209" s="202">
        <v>0</v>
      </c>
      <c r="N209" s="202">
        <v>0</v>
      </c>
      <c r="O209" s="202">
        <v>0</v>
      </c>
      <c r="P209" s="202">
        <v>0</v>
      </c>
      <c r="Q209" s="202">
        <v>0</v>
      </c>
      <c r="R209" s="202">
        <v>0</v>
      </c>
      <c r="S209" s="202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</row>
    <row r="210" spans="1:118" x14ac:dyDescent="0.25">
      <c r="A210" s="33" t="s">
        <v>140</v>
      </c>
      <c r="B210" s="33" t="s">
        <v>204</v>
      </c>
      <c r="C210" s="33">
        <v>7</v>
      </c>
      <c r="D210" s="33" t="s">
        <v>26</v>
      </c>
      <c r="E210" s="207">
        <v>0</v>
      </c>
      <c r="F210" s="207">
        <v>0</v>
      </c>
      <c r="G210" s="203">
        <v>0</v>
      </c>
      <c r="H210" s="202">
        <v>0</v>
      </c>
      <c r="I210" s="203">
        <v>0</v>
      </c>
      <c r="J210" s="202">
        <v>0</v>
      </c>
      <c r="K210" s="202">
        <v>0</v>
      </c>
      <c r="L210" s="202">
        <v>0</v>
      </c>
      <c r="M210" s="202">
        <v>0</v>
      </c>
      <c r="N210" s="202">
        <v>0</v>
      </c>
      <c r="O210" s="202">
        <v>0</v>
      </c>
      <c r="P210" s="202">
        <v>0</v>
      </c>
      <c r="Q210" s="202">
        <v>0</v>
      </c>
      <c r="R210" s="202">
        <v>0</v>
      </c>
      <c r="S210" s="202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</row>
    <row r="211" spans="1:118" x14ac:dyDescent="0.25">
      <c r="A211" s="33" t="s">
        <v>140</v>
      </c>
      <c r="B211" s="33" t="s">
        <v>204</v>
      </c>
      <c r="C211" s="33">
        <v>8</v>
      </c>
      <c r="D211" s="33" t="s">
        <v>27</v>
      </c>
      <c r="E211" s="207">
        <v>-93</v>
      </c>
      <c r="F211" s="207">
        <v>-202</v>
      </c>
      <c r="G211" s="203">
        <v>0</v>
      </c>
      <c r="H211" s="202">
        <v>0</v>
      </c>
      <c r="I211" s="203">
        <v>0</v>
      </c>
      <c r="J211" s="202">
        <v>0</v>
      </c>
      <c r="K211" s="202">
        <v>0</v>
      </c>
      <c r="L211" s="202">
        <v>0</v>
      </c>
      <c r="M211" s="202">
        <v>0</v>
      </c>
      <c r="N211" s="202">
        <v>0</v>
      </c>
      <c r="O211" s="202">
        <v>0</v>
      </c>
      <c r="P211" s="202">
        <v>0</v>
      </c>
      <c r="Q211" s="202">
        <v>93</v>
      </c>
      <c r="R211" s="202">
        <v>202</v>
      </c>
      <c r="S211" s="202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</row>
    <row r="212" spans="1:118" x14ac:dyDescent="0.25">
      <c r="A212" s="33" t="s">
        <v>140</v>
      </c>
      <c r="B212" s="33" t="s">
        <v>204</v>
      </c>
      <c r="C212" s="33">
        <v>9</v>
      </c>
      <c r="D212" s="33" t="s">
        <v>28</v>
      </c>
      <c r="E212" s="207">
        <v>0</v>
      </c>
      <c r="F212" s="207">
        <v>0</v>
      </c>
      <c r="G212" s="203">
        <v>0</v>
      </c>
      <c r="H212" s="202">
        <v>0</v>
      </c>
      <c r="I212" s="203">
        <v>0</v>
      </c>
      <c r="J212" s="202">
        <v>0</v>
      </c>
      <c r="K212" s="202">
        <v>0</v>
      </c>
      <c r="L212" s="202">
        <v>0</v>
      </c>
      <c r="M212" s="202">
        <v>0</v>
      </c>
      <c r="N212" s="202">
        <v>0</v>
      </c>
      <c r="O212" s="202">
        <v>0</v>
      </c>
      <c r="P212" s="202">
        <v>0</v>
      </c>
      <c r="Q212" s="202">
        <v>0</v>
      </c>
      <c r="R212" s="202">
        <v>0</v>
      </c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</row>
    <row r="213" spans="1:118" x14ac:dyDescent="0.25">
      <c r="A213" s="33" t="s">
        <v>140</v>
      </c>
      <c r="B213" s="33" t="s">
        <v>204</v>
      </c>
      <c r="C213" s="33">
        <v>10</v>
      </c>
      <c r="D213" s="33" t="s">
        <v>32</v>
      </c>
      <c r="E213" s="207">
        <v>0</v>
      </c>
      <c r="F213" s="207">
        <v>0</v>
      </c>
      <c r="G213" s="203">
        <v>535</v>
      </c>
      <c r="H213" s="202">
        <v>1089.7950000000001</v>
      </c>
      <c r="I213" s="203">
        <v>9930</v>
      </c>
      <c r="J213" s="202">
        <v>20227.41</v>
      </c>
      <c r="K213" s="202">
        <v>0</v>
      </c>
      <c r="L213" s="202">
        <v>0</v>
      </c>
      <c r="M213" s="202">
        <v>0</v>
      </c>
      <c r="N213" s="202">
        <v>0</v>
      </c>
      <c r="O213" s="202">
        <v>0</v>
      </c>
      <c r="P213" s="202">
        <v>0</v>
      </c>
      <c r="Q213" s="202">
        <v>0</v>
      </c>
      <c r="R213" s="202">
        <v>0</v>
      </c>
      <c r="S213" s="202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</row>
    <row r="214" spans="1:118" x14ac:dyDescent="0.25">
      <c r="A214" s="33" t="s">
        <v>140</v>
      </c>
      <c r="B214" s="33" t="s">
        <v>204</v>
      </c>
      <c r="C214" s="33">
        <v>11</v>
      </c>
      <c r="D214" s="33" t="s">
        <v>35</v>
      </c>
      <c r="E214" s="207">
        <v>0</v>
      </c>
      <c r="F214" s="207">
        <v>0</v>
      </c>
      <c r="G214" s="203">
        <v>0</v>
      </c>
      <c r="H214" s="202">
        <v>0</v>
      </c>
      <c r="I214" s="203">
        <v>0</v>
      </c>
      <c r="J214" s="202">
        <v>0</v>
      </c>
      <c r="K214" s="202">
        <v>0</v>
      </c>
      <c r="L214" s="202">
        <v>0</v>
      </c>
      <c r="M214" s="202">
        <v>0</v>
      </c>
      <c r="N214" s="202">
        <v>0</v>
      </c>
      <c r="O214" s="202">
        <v>0</v>
      </c>
      <c r="P214" s="202">
        <v>0</v>
      </c>
      <c r="Q214" s="202">
        <v>0</v>
      </c>
      <c r="R214" s="202">
        <v>0</v>
      </c>
      <c r="S214" s="202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</row>
    <row r="215" spans="1:118" x14ac:dyDescent="0.25">
      <c r="A215" s="33" t="s">
        <v>140</v>
      </c>
      <c r="B215" s="33" t="s">
        <v>204</v>
      </c>
      <c r="C215" s="33">
        <v>12</v>
      </c>
      <c r="D215" s="33" t="s">
        <v>36</v>
      </c>
      <c r="E215" s="207">
        <v>0</v>
      </c>
      <c r="F215" s="207">
        <v>0</v>
      </c>
      <c r="G215" s="203">
        <v>0</v>
      </c>
      <c r="H215" s="202">
        <v>0</v>
      </c>
      <c r="I215" s="203">
        <v>0</v>
      </c>
      <c r="J215" s="202">
        <v>0</v>
      </c>
      <c r="K215" s="202">
        <v>0</v>
      </c>
      <c r="L215" s="202">
        <v>0</v>
      </c>
      <c r="M215" s="202">
        <v>0</v>
      </c>
      <c r="N215" s="202">
        <v>0</v>
      </c>
      <c r="O215" s="202">
        <v>0</v>
      </c>
      <c r="P215" s="202">
        <v>0</v>
      </c>
      <c r="Q215" s="202">
        <v>0</v>
      </c>
      <c r="R215" s="202">
        <v>0</v>
      </c>
      <c r="S215" s="202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</row>
    <row r="216" spans="1:118" x14ac:dyDescent="0.25">
      <c r="A216" s="33" t="s">
        <v>140</v>
      </c>
      <c r="B216" s="33" t="s">
        <v>204</v>
      </c>
      <c r="C216" s="33">
        <v>13</v>
      </c>
      <c r="D216" s="33" t="s">
        <v>39</v>
      </c>
      <c r="E216" s="207">
        <v>0</v>
      </c>
      <c r="F216" s="207">
        <v>0</v>
      </c>
      <c r="G216" s="203">
        <v>28025</v>
      </c>
      <c r="H216" s="202">
        <v>61122.525000000001</v>
      </c>
      <c r="I216" s="203">
        <v>-9930</v>
      </c>
      <c r="J216" s="202">
        <v>5583.14</v>
      </c>
      <c r="K216" s="202">
        <v>0</v>
      </c>
      <c r="L216" s="202">
        <v>0</v>
      </c>
      <c r="M216" s="202">
        <v>0</v>
      </c>
      <c r="N216" s="202">
        <v>0</v>
      </c>
      <c r="O216" s="202">
        <v>0</v>
      </c>
      <c r="P216" s="202">
        <v>0</v>
      </c>
      <c r="Q216" s="202">
        <v>0</v>
      </c>
      <c r="R216" s="202">
        <v>0</v>
      </c>
      <c r="S216" s="202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</row>
    <row r="217" spans="1:118" x14ac:dyDescent="0.25">
      <c r="A217" s="33" t="s">
        <v>140</v>
      </c>
      <c r="B217" s="33" t="s">
        <v>204</v>
      </c>
      <c r="C217" s="33">
        <v>14</v>
      </c>
      <c r="D217" s="33" t="s">
        <v>40</v>
      </c>
      <c r="E217" s="207">
        <v>0</v>
      </c>
      <c r="F217" s="207">
        <v>0</v>
      </c>
      <c r="G217" s="203">
        <v>0</v>
      </c>
      <c r="H217" s="202">
        <v>0</v>
      </c>
      <c r="I217" s="203">
        <v>0</v>
      </c>
      <c r="J217" s="202">
        <v>0</v>
      </c>
      <c r="K217" s="202">
        <v>0</v>
      </c>
      <c r="L217" s="202">
        <v>0</v>
      </c>
      <c r="M217" s="202">
        <v>0</v>
      </c>
      <c r="N217" s="202">
        <v>0</v>
      </c>
      <c r="O217" s="202">
        <v>0</v>
      </c>
      <c r="P217" s="202">
        <v>0</v>
      </c>
      <c r="Q217" s="202">
        <v>0</v>
      </c>
      <c r="R217" s="202">
        <v>0</v>
      </c>
      <c r="S217" s="202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</row>
    <row r="218" spans="1:118" x14ac:dyDescent="0.25">
      <c r="A218" s="33" t="s">
        <v>140</v>
      </c>
      <c r="B218" s="33" t="s">
        <v>204</v>
      </c>
      <c r="C218" s="33">
        <v>15</v>
      </c>
      <c r="D218" s="33" t="s">
        <v>41</v>
      </c>
      <c r="E218" s="207">
        <v>0</v>
      </c>
      <c r="F218" s="207">
        <v>0</v>
      </c>
      <c r="G218" s="203">
        <v>0</v>
      </c>
      <c r="H218" s="202">
        <v>0</v>
      </c>
      <c r="I218" s="203">
        <v>0</v>
      </c>
      <c r="J218" s="202">
        <v>0</v>
      </c>
      <c r="K218" s="202">
        <v>0</v>
      </c>
      <c r="L218" s="202">
        <v>0</v>
      </c>
      <c r="M218" s="202">
        <v>0</v>
      </c>
      <c r="N218" s="202">
        <v>0</v>
      </c>
      <c r="O218" s="202">
        <v>0</v>
      </c>
      <c r="P218" s="202">
        <v>0</v>
      </c>
      <c r="Q218" s="202">
        <v>0</v>
      </c>
      <c r="R218" s="202">
        <v>0</v>
      </c>
      <c r="S218" s="202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</row>
    <row r="219" spans="1:118" x14ac:dyDescent="0.25">
      <c r="A219" s="33" t="s">
        <v>140</v>
      </c>
      <c r="B219" s="33" t="s">
        <v>204</v>
      </c>
      <c r="C219" s="33">
        <v>16</v>
      </c>
      <c r="D219" s="33" t="s">
        <v>42</v>
      </c>
      <c r="E219" s="207">
        <v>0</v>
      </c>
      <c r="F219" s="207">
        <v>0</v>
      </c>
      <c r="G219" s="203">
        <v>0</v>
      </c>
      <c r="H219" s="202">
        <v>0</v>
      </c>
      <c r="I219" s="203">
        <v>0</v>
      </c>
      <c r="J219" s="202">
        <v>0</v>
      </c>
      <c r="K219" s="202">
        <v>0</v>
      </c>
      <c r="L219" s="202">
        <v>0</v>
      </c>
      <c r="M219" s="202">
        <v>0</v>
      </c>
      <c r="N219" s="202">
        <v>0</v>
      </c>
      <c r="O219" s="202">
        <v>0</v>
      </c>
      <c r="P219" s="202">
        <v>0</v>
      </c>
      <c r="Q219" s="202">
        <v>0</v>
      </c>
      <c r="R219" s="202">
        <v>0</v>
      </c>
      <c r="S219" s="202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</row>
    <row r="220" spans="1:118" x14ac:dyDescent="0.25">
      <c r="A220" s="33" t="s">
        <v>140</v>
      </c>
      <c r="B220" s="33" t="s">
        <v>204</v>
      </c>
      <c r="C220" s="33">
        <v>17</v>
      </c>
      <c r="D220" s="33" t="s">
        <v>126</v>
      </c>
      <c r="E220" s="207">
        <v>0</v>
      </c>
      <c r="F220" s="207">
        <v>0</v>
      </c>
      <c r="G220" s="203">
        <v>0</v>
      </c>
      <c r="H220" s="202">
        <v>0</v>
      </c>
      <c r="I220" s="203">
        <v>0</v>
      </c>
      <c r="J220" s="202">
        <v>0</v>
      </c>
      <c r="K220" s="202">
        <v>0</v>
      </c>
      <c r="L220" s="202">
        <v>0</v>
      </c>
      <c r="M220" s="202">
        <v>0</v>
      </c>
      <c r="N220" s="202">
        <v>0</v>
      </c>
      <c r="O220" s="202">
        <v>0</v>
      </c>
      <c r="P220" s="202">
        <v>0</v>
      </c>
      <c r="Q220" s="202">
        <v>0</v>
      </c>
      <c r="R220" s="202">
        <v>0</v>
      </c>
      <c r="S220" s="202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</row>
    <row r="221" spans="1:118" x14ac:dyDescent="0.25">
      <c r="A221" s="33" t="s">
        <v>140</v>
      </c>
      <c r="B221" s="33" t="s">
        <v>204</v>
      </c>
      <c r="C221" s="33">
        <v>18</v>
      </c>
      <c r="D221" s="33" t="s">
        <v>127</v>
      </c>
      <c r="E221" s="207">
        <v>0</v>
      </c>
      <c r="F221" s="207">
        <v>0</v>
      </c>
      <c r="G221" s="203">
        <v>0</v>
      </c>
      <c r="H221" s="202">
        <v>0</v>
      </c>
      <c r="I221" s="203">
        <v>0</v>
      </c>
      <c r="J221" s="202">
        <v>0</v>
      </c>
      <c r="K221" s="202">
        <v>0</v>
      </c>
      <c r="L221" s="202">
        <v>0</v>
      </c>
      <c r="M221" s="202">
        <v>0</v>
      </c>
      <c r="N221" s="202">
        <v>0</v>
      </c>
      <c r="O221" s="202">
        <v>0</v>
      </c>
      <c r="P221" s="202">
        <v>0</v>
      </c>
      <c r="Q221" s="202">
        <v>0</v>
      </c>
      <c r="R221" s="202">
        <v>0</v>
      </c>
      <c r="S221" s="202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</row>
    <row r="222" spans="1:118" x14ac:dyDescent="0.25">
      <c r="A222" s="33" t="s">
        <v>140</v>
      </c>
      <c r="B222" s="33" t="s">
        <v>204</v>
      </c>
      <c r="C222" s="33">
        <v>19</v>
      </c>
      <c r="D222" s="33" t="s">
        <v>47</v>
      </c>
      <c r="E222" s="207">
        <v>0</v>
      </c>
      <c r="F222" s="207">
        <v>0</v>
      </c>
      <c r="G222" s="203">
        <v>0</v>
      </c>
      <c r="H222" s="202">
        <v>0</v>
      </c>
      <c r="I222" s="203">
        <v>0</v>
      </c>
      <c r="J222" s="202">
        <v>0</v>
      </c>
      <c r="K222" s="202">
        <v>0</v>
      </c>
      <c r="L222" s="202">
        <v>0</v>
      </c>
      <c r="M222" s="202">
        <v>0</v>
      </c>
      <c r="N222" s="202">
        <v>0</v>
      </c>
      <c r="O222" s="202">
        <v>0</v>
      </c>
      <c r="P222" s="202">
        <v>0</v>
      </c>
      <c r="Q222" s="202">
        <v>0</v>
      </c>
      <c r="R222" s="202">
        <v>0</v>
      </c>
      <c r="S222" s="202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</row>
    <row r="223" spans="1:118" x14ac:dyDescent="0.25">
      <c r="A223" s="33" t="s">
        <v>140</v>
      </c>
      <c r="B223" s="33" t="s">
        <v>204</v>
      </c>
      <c r="C223" s="33">
        <v>20</v>
      </c>
      <c r="D223" s="33" t="s">
        <v>128</v>
      </c>
      <c r="E223" s="207">
        <v>0</v>
      </c>
      <c r="F223" s="207">
        <v>0</v>
      </c>
      <c r="G223" s="203">
        <v>0</v>
      </c>
      <c r="H223" s="202">
        <v>0</v>
      </c>
      <c r="I223" s="203">
        <v>0</v>
      </c>
      <c r="J223" s="202">
        <v>0</v>
      </c>
      <c r="K223" s="202">
        <v>0</v>
      </c>
      <c r="L223" s="202">
        <v>0</v>
      </c>
      <c r="M223" s="202">
        <v>0</v>
      </c>
      <c r="N223" s="202">
        <v>0</v>
      </c>
      <c r="O223" s="202">
        <v>0</v>
      </c>
      <c r="P223" s="202">
        <v>0</v>
      </c>
      <c r="Q223" s="202">
        <v>0</v>
      </c>
      <c r="R223" s="202">
        <v>0</v>
      </c>
      <c r="S223" s="202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</row>
    <row r="224" spans="1:118" x14ac:dyDescent="0.25">
      <c r="A224" s="33" t="s">
        <v>140</v>
      </c>
      <c r="B224" s="33" t="s">
        <v>204</v>
      </c>
      <c r="C224" s="33">
        <v>21</v>
      </c>
      <c r="D224" s="33" t="s">
        <v>129</v>
      </c>
      <c r="E224" s="207">
        <v>0</v>
      </c>
      <c r="F224" s="207">
        <v>0</v>
      </c>
      <c r="G224" s="203">
        <v>0</v>
      </c>
      <c r="H224" s="202">
        <v>0</v>
      </c>
      <c r="I224" s="203">
        <v>0</v>
      </c>
      <c r="J224" s="202">
        <v>0</v>
      </c>
      <c r="K224" s="202">
        <v>0</v>
      </c>
      <c r="L224" s="202">
        <v>0</v>
      </c>
      <c r="M224" s="202">
        <v>0</v>
      </c>
      <c r="N224" s="202">
        <v>0</v>
      </c>
      <c r="O224" s="202">
        <v>0</v>
      </c>
      <c r="P224" s="202">
        <v>0</v>
      </c>
      <c r="Q224" s="202">
        <v>0</v>
      </c>
      <c r="R224" s="202">
        <v>0</v>
      </c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</row>
    <row r="225" spans="1:118" x14ac:dyDescent="0.25">
      <c r="A225" s="33" t="s">
        <v>140</v>
      </c>
      <c r="B225" s="33" t="s">
        <v>204</v>
      </c>
      <c r="C225" s="33">
        <v>22</v>
      </c>
      <c r="D225" s="33" t="s">
        <v>130</v>
      </c>
      <c r="E225" s="207">
        <v>414321</v>
      </c>
      <c r="F225" s="207">
        <v>843971.87699999998</v>
      </c>
      <c r="G225" s="203">
        <v>230165</v>
      </c>
      <c r="H225" s="202">
        <v>468846.1050000001</v>
      </c>
      <c r="I225" s="203">
        <v>8549</v>
      </c>
      <c r="J225" s="202">
        <v>17414.312999999998</v>
      </c>
      <c r="K225" s="202">
        <v>1</v>
      </c>
      <c r="L225" s="202">
        <v>2.0369999999999999</v>
      </c>
      <c r="M225" s="202">
        <v>0</v>
      </c>
      <c r="N225" s="202">
        <v>0</v>
      </c>
      <c r="O225" s="202">
        <v>0</v>
      </c>
      <c r="P225" s="202">
        <v>0</v>
      </c>
      <c r="Q225" s="202">
        <v>96274</v>
      </c>
      <c r="R225" s="202">
        <v>196110.13800000001</v>
      </c>
      <c r="S225" s="202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</row>
    <row r="226" spans="1:118" x14ac:dyDescent="0.25">
      <c r="A226" s="33" t="s">
        <v>140</v>
      </c>
      <c r="B226" s="33" t="s">
        <v>204</v>
      </c>
      <c r="C226" s="33">
        <v>23</v>
      </c>
      <c r="D226" s="33" t="s">
        <v>131</v>
      </c>
      <c r="E226" s="207">
        <v>0</v>
      </c>
      <c r="F226" s="207">
        <v>0</v>
      </c>
      <c r="G226" s="203">
        <v>-535</v>
      </c>
      <c r="H226" s="202">
        <v>-1089.7950000000001</v>
      </c>
      <c r="I226" s="203">
        <v>-9930</v>
      </c>
      <c r="J226" s="202">
        <v>-20227.41</v>
      </c>
      <c r="K226" s="202">
        <v>0</v>
      </c>
      <c r="L226" s="202">
        <v>0</v>
      </c>
      <c r="M226" s="202">
        <v>0</v>
      </c>
      <c r="N226" s="202">
        <v>0</v>
      </c>
      <c r="O226" s="202">
        <v>0</v>
      </c>
      <c r="P226" s="202">
        <v>0</v>
      </c>
      <c r="Q226" s="202">
        <v>0</v>
      </c>
      <c r="R226" s="202">
        <v>0</v>
      </c>
      <c r="S226" s="202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</row>
    <row r="227" spans="1:118" x14ac:dyDescent="0.25">
      <c r="A227" s="33" t="s">
        <v>140</v>
      </c>
      <c r="B227" s="33" t="s">
        <v>204</v>
      </c>
      <c r="C227" s="33">
        <v>24</v>
      </c>
      <c r="D227" s="33" t="s">
        <v>55</v>
      </c>
      <c r="E227" s="207">
        <v>-4688311</v>
      </c>
      <c r="F227" s="207">
        <v>-10243.65</v>
      </c>
      <c r="G227" s="203">
        <v>-860633</v>
      </c>
      <c r="H227" s="202">
        <v>405070.17</v>
      </c>
      <c r="I227" s="203">
        <v>8911</v>
      </c>
      <c r="J227" s="202">
        <v>-435685.68</v>
      </c>
      <c r="K227" s="202">
        <v>1</v>
      </c>
      <c r="L227" s="202">
        <v>3528.98</v>
      </c>
      <c r="M227" s="202">
        <v>0</v>
      </c>
      <c r="N227" s="202">
        <v>-175.58</v>
      </c>
      <c r="O227" s="202">
        <v>0</v>
      </c>
      <c r="P227" s="202">
        <v>-63.38</v>
      </c>
      <c r="Q227" s="202">
        <v>1</v>
      </c>
      <c r="R227" s="202">
        <v>-1636.38</v>
      </c>
      <c r="S227" s="202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</row>
    <row r="228" spans="1:118" x14ac:dyDescent="0.25">
      <c r="A228" s="33" t="s">
        <v>140</v>
      </c>
      <c r="B228" s="33" t="s">
        <v>204</v>
      </c>
      <c r="C228" s="33">
        <v>25</v>
      </c>
      <c r="D228" s="33" t="s">
        <v>56</v>
      </c>
      <c r="E228" s="207">
        <v>0</v>
      </c>
      <c r="F228" s="207">
        <v>-698171.26</v>
      </c>
      <c r="G228" s="203">
        <v>0</v>
      </c>
      <c r="H228" s="202">
        <v>-16484.64</v>
      </c>
      <c r="I228" s="203">
        <v>0</v>
      </c>
      <c r="J228" s="202">
        <v>93020.23</v>
      </c>
      <c r="K228" s="202">
        <v>0</v>
      </c>
      <c r="L228" s="202">
        <v>0</v>
      </c>
      <c r="M228" s="202">
        <v>0</v>
      </c>
      <c r="N228" s="202">
        <v>-90103.9</v>
      </c>
      <c r="O228" s="202">
        <v>0</v>
      </c>
      <c r="P228" s="202">
        <v>0</v>
      </c>
      <c r="Q228" s="202">
        <v>0</v>
      </c>
      <c r="R228" s="202">
        <v>0</v>
      </c>
      <c r="S228" s="202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</row>
    <row r="229" spans="1:118" x14ac:dyDescent="0.25">
      <c r="A229" s="33" t="s">
        <v>140</v>
      </c>
      <c r="B229" s="33" t="s">
        <v>204</v>
      </c>
      <c r="C229" s="33">
        <v>26</v>
      </c>
      <c r="D229" s="33" t="s">
        <v>132</v>
      </c>
      <c r="E229" s="207">
        <v>0</v>
      </c>
      <c r="F229" s="207">
        <v>0</v>
      </c>
      <c r="G229" s="203">
        <v>0</v>
      </c>
      <c r="H229" s="202">
        <v>0</v>
      </c>
      <c r="I229" s="203">
        <v>0</v>
      </c>
      <c r="J229" s="202">
        <v>0</v>
      </c>
      <c r="K229" s="202">
        <v>0</v>
      </c>
      <c r="L229" s="202">
        <v>0</v>
      </c>
      <c r="M229" s="202">
        <v>0</v>
      </c>
      <c r="N229" s="202">
        <v>0</v>
      </c>
      <c r="O229" s="202">
        <v>0</v>
      </c>
      <c r="P229" s="202">
        <v>0</v>
      </c>
      <c r="Q229" s="202">
        <v>0</v>
      </c>
      <c r="R229" s="202">
        <v>0</v>
      </c>
      <c r="S229" s="202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</row>
    <row r="230" spans="1:118" x14ac:dyDescent="0.25">
      <c r="A230" s="33" t="s">
        <v>140</v>
      </c>
      <c r="B230" s="33" t="s">
        <v>204</v>
      </c>
      <c r="C230" s="33">
        <v>27</v>
      </c>
      <c r="D230" s="33" t="s">
        <v>133</v>
      </c>
      <c r="E230" s="207">
        <v>0</v>
      </c>
      <c r="F230" s="207">
        <v>0</v>
      </c>
      <c r="G230" s="203">
        <v>0</v>
      </c>
      <c r="H230" s="202">
        <v>0</v>
      </c>
      <c r="I230" s="203">
        <v>0</v>
      </c>
      <c r="J230" s="202">
        <v>0</v>
      </c>
      <c r="K230" s="202">
        <v>0</v>
      </c>
      <c r="L230" s="202">
        <v>0</v>
      </c>
      <c r="M230" s="202">
        <v>0</v>
      </c>
      <c r="N230" s="202">
        <v>0</v>
      </c>
      <c r="O230" s="202">
        <v>0</v>
      </c>
      <c r="P230" s="202">
        <v>0</v>
      </c>
      <c r="Q230" s="202">
        <v>0</v>
      </c>
      <c r="R230" s="202">
        <v>0</v>
      </c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</row>
    <row r="231" spans="1:118" x14ac:dyDescent="0.25">
      <c r="A231" s="33" t="s">
        <v>140</v>
      </c>
      <c r="B231" s="33" t="s">
        <v>204</v>
      </c>
      <c r="C231" s="33">
        <v>28</v>
      </c>
      <c r="D231" s="33" t="s">
        <v>134</v>
      </c>
      <c r="E231" s="207">
        <v>0</v>
      </c>
      <c r="F231" s="207">
        <v>0</v>
      </c>
      <c r="G231" s="203">
        <v>0</v>
      </c>
      <c r="H231" s="202">
        <v>0</v>
      </c>
      <c r="I231" s="203">
        <v>0</v>
      </c>
      <c r="J231" s="202">
        <v>0</v>
      </c>
      <c r="K231" s="202">
        <v>0</v>
      </c>
      <c r="L231" s="202">
        <v>0</v>
      </c>
      <c r="M231" s="202">
        <v>0</v>
      </c>
      <c r="N231" s="202">
        <v>0</v>
      </c>
      <c r="O231" s="202">
        <v>0</v>
      </c>
      <c r="P231" s="202">
        <v>0</v>
      </c>
      <c r="Q231" s="202">
        <v>0</v>
      </c>
      <c r="R231" s="202">
        <v>0</v>
      </c>
      <c r="S231" s="202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</row>
    <row r="232" spans="1:118" x14ac:dyDescent="0.25">
      <c r="A232" s="33" t="s">
        <v>140</v>
      </c>
      <c r="B232" s="33" t="s">
        <v>204</v>
      </c>
      <c r="C232" s="33">
        <v>29</v>
      </c>
      <c r="D232" s="33" t="s">
        <v>135</v>
      </c>
      <c r="E232" s="207">
        <v>0</v>
      </c>
      <c r="F232" s="207">
        <v>0</v>
      </c>
      <c r="G232" s="203">
        <v>0</v>
      </c>
      <c r="H232" s="202">
        <v>0</v>
      </c>
      <c r="I232" s="203">
        <v>0</v>
      </c>
      <c r="J232" s="202">
        <v>0</v>
      </c>
      <c r="K232" s="202">
        <v>0</v>
      </c>
      <c r="L232" s="202">
        <v>0</v>
      </c>
      <c r="M232" s="202">
        <v>0</v>
      </c>
      <c r="N232" s="202">
        <v>0</v>
      </c>
      <c r="O232" s="202">
        <v>0</v>
      </c>
      <c r="P232" s="202">
        <v>0</v>
      </c>
      <c r="Q232" s="202">
        <v>0</v>
      </c>
      <c r="R232" s="202">
        <v>0</v>
      </c>
      <c r="S232" s="202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</row>
    <row r="233" spans="1:118" x14ac:dyDescent="0.25">
      <c r="A233" s="33" t="s">
        <v>140</v>
      </c>
      <c r="B233" s="33" t="s">
        <v>204</v>
      </c>
      <c r="C233" s="33">
        <v>30</v>
      </c>
      <c r="D233" s="33" t="s">
        <v>136</v>
      </c>
      <c r="E233" s="207">
        <v>0</v>
      </c>
      <c r="F233" s="207">
        <v>0</v>
      </c>
      <c r="G233" s="203">
        <v>0</v>
      </c>
      <c r="H233" s="202">
        <v>0</v>
      </c>
      <c r="I233" s="203">
        <v>0</v>
      </c>
      <c r="J233" s="202">
        <v>0</v>
      </c>
      <c r="K233" s="202">
        <v>0</v>
      </c>
      <c r="L233" s="202">
        <v>0</v>
      </c>
      <c r="M233" s="202">
        <v>0</v>
      </c>
      <c r="N233" s="202">
        <v>0</v>
      </c>
      <c r="O233" s="202">
        <v>0</v>
      </c>
      <c r="P233" s="202">
        <v>0</v>
      </c>
      <c r="Q233" s="202">
        <v>0</v>
      </c>
      <c r="R233" s="202">
        <v>0</v>
      </c>
      <c r="S233" s="202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</row>
    <row r="234" spans="1:118" x14ac:dyDescent="0.25">
      <c r="A234" s="33" t="s">
        <v>140</v>
      </c>
      <c r="B234" s="33" t="s">
        <v>204</v>
      </c>
      <c r="C234" s="33">
        <v>31</v>
      </c>
      <c r="D234" s="33" t="s">
        <v>137</v>
      </c>
      <c r="E234" s="207">
        <v>0</v>
      </c>
      <c r="F234" s="207">
        <v>0</v>
      </c>
      <c r="G234" s="203">
        <v>0</v>
      </c>
      <c r="H234" s="202">
        <v>0</v>
      </c>
      <c r="I234" s="203">
        <v>0</v>
      </c>
      <c r="J234" s="202">
        <v>0</v>
      </c>
      <c r="K234" s="202">
        <v>0</v>
      </c>
      <c r="L234" s="202">
        <v>0</v>
      </c>
      <c r="M234" s="202">
        <v>0</v>
      </c>
      <c r="N234" s="202">
        <v>0</v>
      </c>
      <c r="O234" s="202">
        <v>0</v>
      </c>
      <c r="P234" s="202">
        <v>0</v>
      </c>
      <c r="Q234" s="202">
        <v>0</v>
      </c>
      <c r="R234" s="202">
        <v>0</v>
      </c>
      <c r="S234" s="202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</row>
    <row r="235" spans="1:118" x14ac:dyDescent="0.25">
      <c r="A235" s="33" t="s">
        <v>140</v>
      </c>
      <c r="B235" s="33" t="s">
        <v>204</v>
      </c>
      <c r="C235" s="33">
        <v>32</v>
      </c>
      <c r="D235" s="33" t="s">
        <v>70</v>
      </c>
      <c r="E235" s="207">
        <v>0</v>
      </c>
      <c r="F235" s="207">
        <v>0</v>
      </c>
      <c r="G235" s="203">
        <v>0</v>
      </c>
      <c r="H235" s="202">
        <v>0</v>
      </c>
      <c r="I235" s="203">
        <v>0</v>
      </c>
      <c r="J235" s="202">
        <v>0</v>
      </c>
      <c r="K235" s="202">
        <v>0</v>
      </c>
      <c r="L235" s="202">
        <v>0</v>
      </c>
      <c r="M235" s="202">
        <v>0</v>
      </c>
      <c r="N235" s="202">
        <v>0</v>
      </c>
      <c r="O235" s="202">
        <v>0</v>
      </c>
      <c r="P235" s="202">
        <v>0</v>
      </c>
      <c r="Q235" s="202">
        <v>0</v>
      </c>
      <c r="R235" s="202">
        <v>0</v>
      </c>
      <c r="S235" s="202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</row>
    <row r="236" spans="1:118" x14ac:dyDescent="0.25">
      <c r="A236" s="33" t="s">
        <v>140</v>
      </c>
      <c r="B236" s="33" t="s">
        <v>204</v>
      </c>
      <c r="C236" s="33">
        <v>33</v>
      </c>
      <c r="D236" s="33" t="s">
        <v>71</v>
      </c>
      <c r="E236" s="207">
        <v>0</v>
      </c>
      <c r="F236" s="207">
        <v>0</v>
      </c>
      <c r="G236" s="203">
        <v>0</v>
      </c>
      <c r="H236" s="202">
        <v>0</v>
      </c>
      <c r="I236" s="203">
        <v>0</v>
      </c>
      <c r="J236" s="202">
        <v>0</v>
      </c>
      <c r="K236" s="202">
        <v>0</v>
      </c>
      <c r="L236" s="202">
        <v>0</v>
      </c>
      <c r="M236" s="202">
        <v>0</v>
      </c>
      <c r="N236" s="202">
        <v>0</v>
      </c>
      <c r="O236" s="202">
        <v>0</v>
      </c>
      <c r="P236" s="202">
        <v>0</v>
      </c>
      <c r="Q236" s="202">
        <v>0</v>
      </c>
      <c r="R236" s="202">
        <v>0</v>
      </c>
      <c r="S236" s="202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</row>
    <row r="237" spans="1:118" x14ac:dyDescent="0.25">
      <c r="A237" s="33" t="s">
        <v>140</v>
      </c>
      <c r="B237" s="33" t="s">
        <v>204</v>
      </c>
      <c r="C237" s="33">
        <v>34</v>
      </c>
      <c r="D237" s="33" t="s">
        <v>72</v>
      </c>
      <c r="E237" s="207">
        <v>0</v>
      </c>
      <c r="F237" s="207">
        <v>0</v>
      </c>
      <c r="G237" s="203">
        <v>0</v>
      </c>
      <c r="H237" s="202">
        <v>0</v>
      </c>
      <c r="I237" s="203">
        <v>0</v>
      </c>
      <c r="J237" s="202">
        <v>0</v>
      </c>
      <c r="K237" s="202">
        <v>0</v>
      </c>
      <c r="L237" s="202">
        <v>0</v>
      </c>
      <c r="M237" s="202">
        <v>0</v>
      </c>
      <c r="N237" s="202">
        <v>0</v>
      </c>
      <c r="O237" s="202">
        <v>0</v>
      </c>
      <c r="P237" s="202">
        <v>0</v>
      </c>
      <c r="Q237" s="202">
        <v>0</v>
      </c>
      <c r="R237" s="202">
        <v>0</v>
      </c>
      <c r="S237" s="202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</row>
    <row r="238" spans="1:118" x14ac:dyDescent="0.25">
      <c r="A238" s="33" t="s">
        <v>140</v>
      </c>
      <c r="B238" s="33" t="s">
        <v>204</v>
      </c>
      <c r="C238" s="33">
        <v>35</v>
      </c>
      <c r="D238" s="33" t="s">
        <v>73</v>
      </c>
      <c r="E238" s="207">
        <v>0</v>
      </c>
      <c r="F238" s="207">
        <v>0</v>
      </c>
      <c r="G238" s="203">
        <v>0</v>
      </c>
      <c r="H238" s="202">
        <v>0</v>
      </c>
      <c r="I238" s="203">
        <v>0</v>
      </c>
      <c r="J238" s="202">
        <v>0</v>
      </c>
      <c r="K238" s="202">
        <v>0</v>
      </c>
      <c r="L238" s="202">
        <v>0</v>
      </c>
      <c r="M238" s="202">
        <v>0</v>
      </c>
      <c r="N238" s="202">
        <v>0</v>
      </c>
      <c r="O238" s="202">
        <v>0</v>
      </c>
      <c r="P238" s="202">
        <v>0</v>
      </c>
      <c r="Q238" s="202">
        <v>0</v>
      </c>
      <c r="R238" s="202">
        <v>0</v>
      </c>
      <c r="S238" s="202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</row>
    <row r="239" spans="1:118" x14ac:dyDescent="0.25">
      <c r="A239" s="33" t="s">
        <v>140</v>
      </c>
      <c r="B239" s="33" t="s">
        <v>204</v>
      </c>
      <c r="C239" s="33">
        <v>36</v>
      </c>
      <c r="D239" s="33" t="s">
        <v>74</v>
      </c>
      <c r="E239" s="207">
        <v>0</v>
      </c>
      <c r="F239" s="207">
        <v>0</v>
      </c>
      <c r="G239" s="203">
        <v>0</v>
      </c>
      <c r="H239" s="202">
        <v>0</v>
      </c>
      <c r="I239" s="203">
        <v>0</v>
      </c>
      <c r="J239" s="202">
        <v>0</v>
      </c>
      <c r="K239" s="202">
        <v>0</v>
      </c>
      <c r="L239" s="202">
        <v>0</v>
      </c>
      <c r="M239" s="202">
        <v>0</v>
      </c>
      <c r="N239" s="202">
        <v>0</v>
      </c>
      <c r="O239" s="202">
        <v>0</v>
      </c>
      <c r="P239" s="202">
        <v>0</v>
      </c>
      <c r="Q239" s="202">
        <v>0</v>
      </c>
      <c r="R239" s="202">
        <v>0</v>
      </c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</row>
    <row r="240" spans="1:118" x14ac:dyDescent="0.25">
      <c r="A240" s="33" t="s">
        <v>140</v>
      </c>
      <c r="B240" s="33" t="s">
        <v>204</v>
      </c>
      <c r="C240" s="33">
        <v>37</v>
      </c>
      <c r="D240" s="33" t="s">
        <v>75</v>
      </c>
      <c r="E240" s="207">
        <v>0</v>
      </c>
      <c r="F240" s="207">
        <v>0</v>
      </c>
      <c r="G240" s="203">
        <v>0</v>
      </c>
      <c r="H240" s="202">
        <v>0</v>
      </c>
      <c r="I240" s="203">
        <v>0</v>
      </c>
      <c r="J240" s="202">
        <v>0</v>
      </c>
      <c r="K240" s="202">
        <v>0</v>
      </c>
      <c r="L240" s="202">
        <v>0</v>
      </c>
      <c r="M240" s="202">
        <v>0</v>
      </c>
      <c r="N240" s="202">
        <v>0</v>
      </c>
      <c r="O240" s="202">
        <v>0</v>
      </c>
      <c r="P240" s="202">
        <v>0</v>
      </c>
      <c r="Q240" s="202">
        <v>0</v>
      </c>
      <c r="R240" s="202">
        <v>0</v>
      </c>
      <c r="S240" s="202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</row>
    <row r="241" spans="1:118" x14ac:dyDescent="0.25">
      <c r="A241" s="33" t="s">
        <v>140</v>
      </c>
      <c r="B241" s="33" t="s">
        <v>204</v>
      </c>
      <c r="C241" s="33">
        <v>38</v>
      </c>
      <c r="D241" s="33" t="s">
        <v>76</v>
      </c>
      <c r="E241" s="207">
        <v>0</v>
      </c>
      <c r="F241" s="207">
        <v>0</v>
      </c>
      <c r="G241" s="203">
        <v>0</v>
      </c>
      <c r="H241" s="202">
        <v>0</v>
      </c>
      <c r="I241" s="203">
        <v>0</v>
      </c>
      <c r="J241" s="202">
        <v>0</v>
      </c>
      <c r="K241" s="202">
        <v>0</v>
      </c>
      <c r="L241" s="202">
        <v>0</v>
      </c>
      <c r="M241" s="202">
        <v>0</v>
      </c>
      <c r="N241" s="202">
        <v>0</v>
      </c>
      <c r="O241" s="202">
        <v>0</v>
      </c>
      <c r="P241" s="202">
        <v>0</v>
      </c>
      <c r="Q241" s="202">
        <v>0</v>
      </c>
      <c r="R241" s="202">
        <v>0</v>
      </c>
      <c r="S241" s="202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</row>
    <row r="242" spans="1:118" x14ac:dyDescent="0.25">
      <c r="A242" s="33" t="s">
        <v>140</v>
      </c>
      <c r="B242" s="33" t="s">
        <v>204</v>
      </c>
      <c r="C242" s="33">
        <v>39</v>
      </c>
      <c r="D242" s="33" t="s">
        <v>77</v>
      </c>
      <c r="E242" s="207">
        <v>0</v>
      </c>
      <c r="F242" s="207">
        <v>0</v>
      </c>
      <c r="G242" s="203">
        <v>0</v>
      </c>
      <c r="H242" s="202">
        <v>0</v>
      </c>
      <c r="I242" s="203">
        <v>0</v>
      </c>
      <c r="J242" s="202">
        <v>0</v>
      </c>
      <c r="K242" s="202">
        <v>0</v>
      </c>
      <c r="L242" s="202">
        <v>0</v>
      </c>
      <c r="M242" s="202">
        <v>0</v>
      </c>
      <c r="N242" s="202">
        <v>0</v>
      </c>
      <c r="O242" s="202">
        <v>0</v>
      </c>
      <c r="P242" s="202">
        <v>0</v>
      </c>
      <c r="Q242" s="202">
        <v>0</v>
      </c>
      <c r="R242" s="202">
        <v>0</v>
      </c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</row>
    <row r="243" spans="1:118" x14ac:dyDescent="0.25">
      <c r="A243" s="33" t="s">
        <v>140</v>
      </c>
      <c r="B243" s="33" t="s">
        <v>204</v>
      </c>
      <c r="C243" s="33">
        <v>40</v>
      </c>
      <c r="D243" s="33" t="s">
        <v>78</v>
      </c>
      <c r="E243" s="207">
        <v>0</v>
      </c>
      <c r="F243" s="207">
        <v>0</v>
      </c>
      <c r="G243" s="203">
        <v>0</v>
      </c>
      <c r="H243" s="202">
        <v>0</v>
      </c>
      <c r="I243" s="203">
        <v>0</v>
      </c>
      <c r="J243" s="202">
        <v>0</v>
      </c>
      <c r="K243" s="202">
        <v>0</v>
      </c>
      <c r="L243" s="202">
        <v>0</v>
      </c>
      <c r="M243" s="202">
        <v>0</v>
      </c>
      <c r="N243" s="202">
        <v>0</v>
      </c>
      <c r="O243" s="202">
        <v>0</v>
      </c>
      <c r="P243" s="202">
        <v>0</v>
      </c>
      <c r="Q243" s="202">
        <v>0</v>
      </c>
      <c r="R243" s="202">
        <v>0</v>
      </c>
      <c r="S243" s="202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207">
        <v>105737099</v>
      </c>
      <c r="F244" s="207">
        <v>247932358.13</v>
      </c>
      <c r="G244" s="203">
        <v>2837502</v>
      </c>
      <c r="H244" s="202">
        <v>6493018.04</v>
      </c>
      <c r="I244" s="203">
        <v>354403</v>
      </c>
      <c r="J244" s="202">
        <v>1004955.17</v>
      </c>
      <c r="K244" s="202">
        <v>-369578</v>
      </c>
      <c r="L244" s="202">
        <v>-706700.5</v>
      </c>
      <c r="M244" s="202">
        <v>3437</v>
      </c>
      <c r="N244" s="202">
        <v>10113.719999999999</v>
      </c>
      <c r="O244" s="202">
        <v>264</v>
      </c>
      <c r="P244" s="202">
        <v>370.32</v>
      </c>
      <c r="Q244" s="202">
        <v>0</v>
      </c>
      <c r="R244" s="202">
        <v>-1084589.5900000001</v>
      </c>
      <c r="S244" s="202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207">
        <v>0</v>
      </c>
      <c r="F245" s="207">
        <v>0</v>
      </c>
      <c r="G245" s="203">
        <v>0</v>
      </c>
      <c r="H245" s="202">
        <v>0</v>
      </c>
      <c r="I245" s="203">
        <v>0</v>
      </c>
      <c r="J245" s="202">
        <v>0</v>
      </c>
      <c r="K245" s="202">
        <v>0</v>
      </c>
      <c r="L245" s="202">
        <v>0</v>
      </c>
      <c r="M245" s="202">
        <v>0</v>
      </c>
      <c r="N245" s="202">
        <v>0</v>
      </c>
      <c r="O245" s="202">
        <v>0</v>
      </c>
      <c r="P245" s="202">
        <v>0</v>
      </c>
      <c r="Q245" s="202">
        <v>0</v>
      </c>
      <c r="R245" s="202">
        <v>0</v>
      </c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207">
        <v>37570214</v>
      </c>
      <c r="F246" s="207">
        <v>88625124</v>
      </c>
      <c r="G246" s="203">
        <v>-26364091</v>
      </c>
      <c r="H246" s="202">
        <v>-63661092</v>
      </c>
      <c r="I246" s="203">
        <v>0</v>
      </c>
      <c r="J246" s="202">
        <v>0</v>
      </c>
      <c r="K246" s="202">
        <v>0</v>
      </c>
      <c r="L246" s="202">
        <v>0</v>
      </c>
      <c r="M246" s="202">
        <v>0</v>
      </c>
      <c r="N246" s="202">
        <v>0</v>
      </c>
      <c r="O246" s="202">
        <v>0</v>
      </c>
      <c r="P246" s="202">
        <v>0</v>
      </c>
      <c r="Q246" s="202">
        <v>26344091</v>
      </c>
      <c r="R246" s="202">
        <v>63619492</v>
      </c>
      <c r="S246" s="202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207">
        <v>0</v>
      </c>
      <c r="F247" s="207">
        <v>0</v>
      </c>
      <c r="G247" s="203">
        <v>0</v>
      </c>
      <c r="H247" s="202">
        <v>0</v>
      </c>
      <c r="I247" s="203">
        <v>0</v>
      </c>
      <c r="J247" s="202">
        <v>0</v>
      </c>
      <c r="K247" s="202">
        <v>0</v>
      </c>
      <c r="L247" s="202">
        <v>0</v>
      </c>
      <c r="M247" s="202">
        <v>0</v>
      </c>
      <c r="N247" s="202">
        <v>0</v>
      </c>
      <c r="O247" s="202">
        <v>0</v>
      </c>
      <c r="P247" s="202">
        <v>0</v>
      </c>
      <c r="Q247" s="202">
        <v>0</v>
      </c>
      <c r="R247" s="202">
        <v>0</v>
      </c>
      <c r="S247" s="202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207">
        <v>0</v>
      </c>
      <c r="F248" s="207">
        <v>2073543.27</v>
      </c>
      <c r="G248" s="203">
        <v>0</v>
      </c>
      <c r="H248" s="202">
        <v>102064.44</v>
      </c>
      <c r="I248" s="203">
        <v>0</v>
      </c>
      <c r="J248" s="202">
        <v>-18.850000000000001</v>
      </c>
      <c r="K248" s="202">
        <v>0</v>
      </c>
      <c r="L248" s="202">
        <v>1842.46</v>
      </c>
      <c r="M248" s="202">
        <v>0</v>
      </c>
      <c r="N248" s="202">
        <v>696.95</v>
      </c>
      <c r="O248" s="202">
        <v>0</v>
      </c>
      <c r="P248" s="202">
        <v>0</v>
      </c>
      <c r="Q248" s="202">
        <v>0</v>
      </c>
      <c r="R248" s="202">
        <v>0</v>
      </c>
      <c r="S248" s="202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207">
        <v>-108052123</v>
      </c>
      <c r="F249" s="207">
        <v>-246022805.36999997</v>
      </c>
      <c r="G249" s="203">
        <v>-7492000</v>
      </c>
      <c r="H249" s="202">
        <v>-13588641.219999999</v>
      </c>
      <c r="I249" s="203">
        <v>187153</v>
      </c>
      <c r="J249" s="202">
        <v>-1700987.98</v>
      </c>
      <c r="K249" s="202">
        <v>-5007645</v>
      </c>
      <c r="L249" s="202">
        <v>-12987787.6</v>
      </c>
      <c r="M249" s="202">
        <v>-6687</v>
      </c>
      <c r="N249" s="202">
        <v>114707.03</v>
      </c>
      <c r="O249" s="202">
        <v>-4008</v>
      </c>
      <c r="P249" s="202">
        <v>-17042.96</v>
      </c>
      <c r="Q249" s="202">
        <v>-3277</v>
      </c>
      <c r="R249" s="202">
        <v>-6426.71</v>
      </c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207">
        <v>0</v>
      </c>
      <c r="F250" s="207">
        <v>0</v>
      </c>
      <c r="G250" s="203">
        <v>0</v>
      </c>
      <c r="H250" s="202">
        <v>0</v>
      </c>
      <c r="I250" s="203">
        <v>0</v>
      </c>
      <c r="J250" s="202">
        <v>0</v>
      </c>
      <c r="K250" s="202">
        <v>0</v>
      </c>
      <c r="L250" s="202">
        <v>0</v>
      </c>
      <c r="M250" s="202">
        <v>0</v>
      </c>
      <c r="N250" s="202">
        <v>0</v>
      </c>
      <c r="O250" s="202">
        <v>0</v>
      </c>
      <c r="P250" s="202">
        <v>0</v>
      </c>
      <c r="Q250" s="202">
        <v>0</v>
      </c>
      <c r="R250" s="202">
        <v>0</v>
      </c>
      <c r="S250" s="202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207">
        <v>-36918673</v>
      </c>
      <c r="F251" s="207">
        <v>-90246395</v>
      </c>
      <c r="G251" s="203">
        <v>26375154</v>
      </c>
      <c r="H251" s="202">
        <v>63797158</v>
      </c>
      <c r="I251" s="203">
        <v>0</v>
      </c>
      <c r="J251" s="202">
        <v>0</v>
      </c>
      <c r="K251" s="202">
        <v>0</v>
      </c>
      <c r="L251" s="202">
        <v>0</v>
      </c>
      <c r="M251" s="202">
        <v>-2991</v>
      </c>
      <c r="N251" s="202">
        <v>-7473</v>
      </c>
      <c r="O251" s="202">
        <v>0</v>
      </c>
      <c r="P251" s="202">
        <v>0</v>
      </c>
      <c r="Q251" s="202">
        <v>-26558840</v>
      </c>
      <c r="R251" s="202">
        <v>-64244771</v>
      </c>
      <c r="S251" s="202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207">
        <v>0</v>
      </c>
      <c r="F252" s="207">
        <v>0</v>
      </c>
      <c r="G252" s="203">
        <v>0</v>
      </c>
      <c r="H252" s="202">
        <v>0</v>
      </c>
      <c r="I252" s="203">
        <v>0</v>
      </c>
      <c r="J252" s="202">
        <v>0</v>
      </c>
      <c r="K252" s="202">
        <v>0</v>
      </c>
      <c r="L252" s="202">
        <v>0</v>
      </c>
      <c r="M252" s="202">
        <v>0</v>
      </c>
      <c r="N252" s="202">
        <v>0</v>
      </c>
      <c r="O252" s="202">
        <v>0</v>
      </c>
      <c r="P252" s="202">
        <v>0</v>
      </c>
      <c r="Q252" s="202">
        <v>0</v>
      </c>
      <c r="R252" s="202">
        <v>0</v>
      </c>
      <c r="S252" s="202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207">
        <v>1092162</v>
      </c>
      <c r="F253" s="207">
        <v>2382005.3220000002</v>
      </c>
      <c r="G253" s="203">
        <v>-49633</v>
      </c>
      <c r="H253" s="202">
        <v>-108249.573</v>
      </c>
      <c r="I253" s="203">
        <v>-767955</v>
      </c>
      <c r="J253" s="202">
        <v>10638.918</v>
      </c>
      <c r="K253" s="202">
        <v>2287</v>
      </c>
      <c r="L253" s="202">
        <v>4987.9470000000001</v>
      </c>
      <c r="M253" s="202">
        <v>-214517</v>
      </c>
      <c r="N253" s="202">
        <v>-467861.57699999999</v>
      </c>
      <c r="O253" s="202">
        <v>7829</v>
      </c>
      <c r="P253" s="202">
        <v>17075.048999999999</v>
      </c>
      <c r="Q253" s="202">
        <v>0</v>
      </c>
      <c r="R253" s="202">
        <v>0</v>
      </c>
      <c r="S253" s="202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207">
        <v>8821041</v>
      </c>
      <c r="F254" s="207">
        <v>20774435.739999998</v>
      </c>
      <c r="G254" s="203">
        <v>-11900</v>
      </c>
      <c r="H254" s="202">
        <v>-35157.93</v>
      </c>
      <c r="I254" s="203">
        <v>0</v>
      </c>
      <c r="J254" s="202">
        <v>0</v>
      </c>
      <c r="K254" s="202">
        <v>10000</v>
      </c>
      <c r="L254" s="202">
        <v>21800</v>
      </c>
      <c r="M254" s="202">
        <v>0</v>
      </c>
      <c r="N254" s="202">
        <v>0</v>
      </c>
      <c r="O254" s="202">
        <v>0</v>
      </c>
      <c r="P254" s="202">
        <v>0</v>
      </c>
      <c r="Q254" s="202">
        <v>0</v>
      </c>
      <c r="R254" s="202">
        <v>0</v>
      </c>
      <c r="S254" s="202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207">
        <v>-2853092</v>
      </c>
      <c r="F255" s="207">
        <v>-6565884.9400000004</v>
      </c>
      <c r="G255" s="203">
        <v>-115929</v>
      </c>
      <c r="H255" s="202">
        <v>-282300.02</v>
      </c>
      <c r="I255" s="203">
        <v>-1686</v>
      </c>
      <c r="J255" s="202">
        <v>-3766.24</v>
      </c>
      <c r="K255" s="202">
        <v>-8259</v>
      </c>
      <c r="L255" s="202">
        <v>-16979.05</v>
      </c>
      <c r="M255" s="202">
        <v>680</v>
      </c>
      <c r="N255" s="202">
        <v>1577.6</v>
      </c>
      <c r="O255" s="202">
        <v>0</v>
      </c>
      <c r="P255" s="202">
        <v>0</v>
      </c>
      <c r="Q255" s="202">
        <v>-1</v>
      </c>
      <c r="R255" s="202">
        <v>-2.5299999999999998</v>
      </c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207">
        <v>-105422</v>
      </c>
      <c r="F256" s="207">
        <v>-229925.38200000001</v>
      </c>
      <c r="G256" s="203">
        <v>-1544774</v>
      </c>
      <c r="H256" s="202">
        <v>-3369152.094</v>
      </c>
      <c r="I256" s="203">
        <v>134878</v>
      </c>
      <c r="J256" s="202">
        <v>294168.91800000001</v>
      </c>
      <c r="K256" s="202">
        <v>1134016</v>
      </c>
      <c r="L256" s="202">
        <v>2473288.8960000002</v>
      </c>
      <c r="M256" s="202">
        <v>212362</v>
      </c>
      <c r="N256" s="202">
        <v>463161.522</v>
      </c>
      <c r="O256" s="202">
        <v>-7</v>
      </c>
      <c r="P256" s="202">
        <v>-15.266999999999999</v>
      </c>
      <c r="Q256" s="202">
        <v>4221</v>
      </c>
      <c r="R256" s="202">
        <v>9206.0010000000002</v>
      </c>
      <c r="S256" s="202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207">
        <v>0</v>
      </c>
      <c r="F257" s="207">
        <v>0</v>
      </c>
      <c r="G257" s="203">
        <v>-285496</v>
      </c>
      <c r="H257" s="202">
        <v>-691899.48</v>
      </c>
      <c r="I257" s="203">
        <v>0</v>
      </c>
      <c r="J257" s="202">
        <v>0</v>
      </c>
      <c r="K257" s="202">
        <v>-55</v>
      </c>
      <c r="L257" s="202">
        <v>0</v>
      </c>
      <c r="M257" s="202">
        <v>0</v>
      </c>
      <c r="N257" s="202">
        <v>-29697.03</v>
      </c>
      <c r="O257" s="202">
        <v>-121</v>
      </c>
      <c r="P257" s="202">
        <v>-292.83999999999997</v>
      </c>
      <c r="Q257" s="202">
        <v>-866029</v>
      </c>
      <c r="R257" s="202">
        <v>3629.6</v>
      </c>
      <c r="S257" s="202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207">
        <v>0</v>
      </c>
      <c r="F258" s="207">
        <v>0</v>
      </c>
      <c r="G258" s="203">
        <v>180180</v>
      </c>
      <c r="H258" s="202">
        <v>406917.77</v>
      </c>
      <c r="I258" s="203">
        <v>3220</v>
      </c>
      <c r="J258" s="202">
        <v>5723.34</v>
      </c>
      <c r="K258" s="202">
        <v>144</v>
      </c>
      <c r="L258" s="202">
        <v>335.49</v>
      </c>
      <c r="M258" s="202">
        <v>3870</v>
      </c>
      <c r="N258" s="202">
        <v>8964.17</v>
      </c>
      <c r="O258" s="202">
        <v>1269</v>
      </c>
      <c r="P258" s="202">
        <v>703.19</v>
      </c>
      <c r="Q258" s="202">
        <v>0</v>
      </c>
      <c r="R258" s="202">
        <v>0</v>
      </c>
      <c r="S258" s="202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207">
        <v>0</v>
      </c>
      <c r="F259" s="207">
        <v>0</v>
      </c>
      <c r="G259" s="203">
        <v>0</v>
      </c>
      <c r="H259" s="202">
        <v>0</v>
      </c>
      <c r="I259" s="203">
        <v>0</v>
      </c>
      <c r="J259" s="202">
        <v>0</v>
      </c>
      <c r="K259" s="202">
        <v>0</v>
      </c>
      <c r="L259" s="202">
        <v>0</v>
      </c>
      <c r="M259" s="202">
        <v>0</v>
      </c>
      <c r="N259" s="202">
        <v>0</v>
      </c>
      <c r="O259" s="202">
        <v>0</v>
      </c>
      <c r="P259" s="202">
        <v>0</v>
      </c>
      <c r="Q259" s="202">
        <v>0</v>
      </c>
      <c r="R259" s="202">
        <v>0</v>
      </c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207">
        <v>0</v>
      </c>
      <c r="F260" s="207">
        <v>0</v>
      </c>
      <c r="G260" s="203">
        <v>0</v>
      </c>
      <c r="H260" s="202">
        <v>0</v>
      </c>
      <c r="I260" s="203">
        <v>0</v>
      </c>
      <c r="J260" s="202">
        <v>0</v>
      </c>
      <c r="K260" s="202">
        <v>5384310</v>
      </c>
      <c r="L260" s="202">
        <v>13775968</v>
      </c>
      <c r="M260" s="202">
        <v>0</v>
      </c>
      <c r="N260" s="202">
        <v>0</v>
      </c>
      <c r="O260" s="202">
        <v>0</v>
      </c>
      <c r="P260" s="202">
        <v>0</v>
      </c>
      <c r="Q260" s="202">
        <v>0</v>
      </c>
      <c r="R260" s="202">
        <v>0</v>
      </c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207">
        <v>-349277</v>
      </c>
      <c r="F261" s="207">
        <v>-889043.85</v>
      </c>
      <c r="G261" s="203">
        <v>161899</v>
      </c>
      <c r="H261" s="202">
        <v>438601.65</v>
      </c>
      <c r="I261" s="203">
        <v>0</v>
      </c>
      <c r="J261" s="202">
        <v>0</v>
      </c>
      <c r="K261" s="202">
        <v>0</v>
      </c>
      <c r="L261" s="202">
        <v>0</v>
      </c>
      <c r="M261" s="202">
        <v>0</v>
      </c>
      <c r="N261" s="202">
        <v>0</v>
      </c>
      <c r="O261" s="202">
        <v>0</v>
      </c>
      <c r="P261" s="202">
        <v>0</v>
      </c>
      <c r="Q261" s="202">
        <v>-4</v>
      </c>
      <c r="R261" s="202">
        <v>0</v>
      </c>
      <c r="S261" s="202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207">
        <v>0</v>
      </c>
      <c r="F262" s="207">
        <v>0</v>
      </c>
      <c r="G262" s="203">
        <v>0</v>
      </c>
      <c r="H262" s="202">
        <v>0</v>
      </c>
      <c r="I262" s="203">
        <v>0</v>
      </c>
      <c r="J262" s="202">
        <v>0</v>
      </c>
      <c r="K262" s="202">
        <v>0</v>
      </c>
      <c r="L262" s="202">
        <v>0</v>
      </c>
      <c r="M262" s="202">
        <v>0</v>
      </c>
      <c r="N262" s="202">
        <v>0</v>
      </c>
      <c r="O262" s="202">
        <v>0</v>
      </c>
      <c r="P262" s="202">
        <v>0</v>
      </c>
      <c r="Q262" s="202">
        <v>0</v>
      </c>
      <c r="R262" s="202">
        <v>0</v>
      </c>
      <c r="S262" s="202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207">
        <v>0</v>
      </c>
      <c r="F263" s="207">
        <v>0</v>
      </c>
      <c r="G263" s="203">
        <v>0</v>
      </c>
      <c r="H263" s="202">
        <v>0</v>
      </c>
      <c r="I263" s="203">
        <v>0</v>
      </c>
      <c r="J263" s="202">
        <v>0</v>
      </c>
      <c r="K263" s="202">
        <v>0</v>
      </c>
      <c r="L263" s="202">
        <v>0</v>
      </c>
      <c r="M263" s="202">
        <v>0</v>
      </c>
      <c r="N263" s="202">
        <v>0</v>
      </c>
      <c r="O263" s="202">
        <v>0</v>
      </c>
      <c r="P263" s="202">
        <v>0</v>
      </c>
      <c r="Q263" s="202">
        <v>0</v>
      </c>
      <c r="R263" s="202">
        <v>0</v>
      </c>
      <c r="S263" s="202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207">
        <v>0</v>
      </c>
      <c r="F264" s="207">
        <v>0</v>
      </c>
      <c r="G264" s="203">
        <v>0</v>
      </c>
      <c r="H264" s="202">
        <v>0</v>
      </c>
      <c r="I264" s="203">
        <v>0</v>
      </c>
      <c r="J264" s="202">
        <v>0</v>
      </c>
      <c r="K264" s="202">
        <v>0</v>
      </c>
      <c r="L264" s="202">
        <v>0</v>
      </c>
      <c r="M264" s="202">
        <v>0</v>
      </c>
      <c r="N264" s="202">
        <v>0</v>
      </c>
      <c r="O264" s="202">
        <v>0</v>
      </c>
      <c r="P264" s="202">
        <v>0</v>
      </c>
      <c r="Q264" s="202">
        <v>0</v>
      </c>
      <c r="R264" s="202">
        <v>0</v>
      </c>
      <c r="S264" s="202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207">
        <v>-4941929</v>
      </c>
      <c r="F265" s="207">
        <v>-10778347.149</v>
      </c>
      <c r="G265" s="203">
        <v>6309088</v>
      </c>
      <c r="H265" s="202">
        <v>13760120.927999999</v>
      </c>
      <c r="I265" s="203">
        <v>89987</v>
      </c>
      <c r="J265" s="202">
        <v>196261.647</v>
      </c>
      <c r="K265" s="202">
        <v>-1145220</v>
      </c>
      <c r="L265" s="202">
        <v>-2497724.8199999998</v>
      </c>
      <c r="M265" s="202">
        <v>3846</v>
      </c>
      <c r="N265" s="202">
        <v>8388.1260000000002</v>
      </c>
      <c r="O265" s="202">
        <v>-5226</v>
      </c>
      <c r="P265" s="202">
        <v>-11397.906000000001</v>
      </c>
      <c r="Q265" s="202">
        <v>1079839</v>
      </c>
      <c r="R265" s="202">
        <v>2355128.8590000002</v>
      </c>
      <c r="S265" s="202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207">
        <v>-1092162</v>
      </c>
      <c r="F266" s="207">
        <v>-2382005.3220000002</v>
      </c>
      <c r="G266" s="203">
        <v>49633</v>
      </c>
      <c r="H266" s="202">
        <v>108249.573</v>
      </c>
      <c r="I266" s="203">
        <v>-4878</v>
      </c>
      <c r="J266" s="202">
        <v>-10638.918</v>
      </c>
      <c r="K266" s="202">
        <v>-2287</v>
      </c>
      <c r="L266" s="202">
        <v>-4987.9470000000001</v>
      </c>
      <c r="M266" s="202">
        <v>214517</v>
      </c>
      <c r="N266" s="202">
        <v>467861.57699999999</v>
      </c>
      <c r="O266" s="202">
        <v>-7829</v>
      </c>
      <c r="P266" s="202">
        <v>-17075.048999999999</v>
      </c>
      <c r="Q266" s="202">
        <v>0</v>
      </c>
      <c r="R266" s="202">
        <v>0</v>
      </c>
      <c r="S266" s="202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207">
        <v>-80516992</v>
      </c>
      <c r="F267" s="207">
        <v>-911761.01</v>
      </c>
      <c r="G267" s="203">
        <v>7163044</v>
      </c>
      <c r="H267" s="202">
        <v>240812.31</v>
      </c>
      <c r="I267" s="203">
        <v>-569430</v>
      </c>
      <c r="J267" s="202">
        <v>-34711.39</v>
      </c>
      <c r="K267" s="202">
        <v>-194960</v>
      </c>
      <c r="L267" s="202">
        <v>-23114.06</v>
      </c>
      <c r="M267" s="202">
        <v>-212617</v>
      </c>
      <c r="N267" s="202">
        <v>-464.31</v>
      </c>
      <c r="O267" s="202">
        <v>-6274347</v>
      </c>
      <c r="P267" s="202">
        <v>-134275.72</v>
      </c>
      <c r="Q267" s="202">
        <v>-12</v>
      </c>
      <c r="R267" s="202">
        <v>655843.87</v>
      </c>
      <c r="S267" s="202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207">
        <v>0</v>
      </c>
      <c r="F268" s="207">
        <v>-1089160.48</v>
      </c>
      <c r="G268" s="203">
        <v>0</v>
      </c>
      <c r="H268" s="202">
        <v>-28147.82</v>
      </c>
      <c r="I268" s="203">
        <v>0</v>
      </c>
      <c r="J268" s="202">
        <v>-224854.71</v>
      </c>
      <c r="K268" s="202">
        <v>0</v>
      </c>
      <c r="L268" s="202">
        <v>-36186.79</v>
      </c>
      <c r="M268" s="202">
        <v>0</v>
      </c>
      <c r="N268" s="202">
        <v>-125</v>
      </c>
      <c r="O268" s="202">
        <v>0</v>
      </c>
      <c r="P268" s="202">
        <v>0</v>
      </c>
      <c r="Q268" s="202">
        <v>0</v>
      </c>
      <c r="R268" s="202">
        <v>0</v>
      </c>
      <c r="S268" s="202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207">
        <v>0</v>
      </c>
      <c r="F269" s="207">
        <v>63736</v>
      </c>
      <c r="G269" s="203">
        <v>0</v>
      </c>
      <c r="H269" s="202">
        <v>-17279.93</v>
      </c>
      <c r="I269" s="203">
        <v>0</v>
      </c>
      <c r="J269" s="202">
        <v>0</v>
      </c>
      <c r="K269" s="202">
        <v>0</v>
      </c>
      <c r="L269" s="202">
        <v>0</v>
      </c>
      <c r="M269" s="202">
        <v>0</v>
      </c>
      <c r="N269" s="202">
        <v>0</v>
      </c>
      <c r="O269" s="202">
        <v>0</v>
      </c>
      <c r="P269" s="202">
        <v>0</v>
      </c>
      <c r="Q269" s="202">
        <v>0</v>
      </c>
      <c r="R269" s="202">
        <v>0</v>
      </c>
      <c r="S269" s="202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207">
        <v>0</v>
      </c>
      <c r="F270" s="207">
        <v>0</v>
      </c>
      <c r="G270" s="203">
        <v>0</v>
      </c>
      <c r="H270" s="202">
        <v>0</v>
      </c>
      <c r="I270" s="203">
        <v>0</v>
      </c>
      <c r="J270" s="202">
        <v>0</v>
      </c>
      <c r="K270" s="202">
        <v>0</v>
      </c>
      <c r="L270" s="202">
        <v>0</v>
      </c>
      <c r="M270" s="202">
        <v>0</v>
      </c>
      <c r="N270" s="202">
        <v>0</v>
      </c>
      <c r="O270" s="202">
        <v>0</v>
      </c>
      <c r="P270" s="202">
        <v>0</v>
      </c>
      <c r="Q270" s="202">
        <v>0</v>
      </c>
      <c r="R270" s="202">
        <v>0</v>
      </c>
      <c r="S270" s="202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207">
        <v>0</v>
      </c>
      <c r="F271" s="207">
        <v>0</v>
      </c>
      <c r="G271" s="203">
        <v>0</v>
      </c>
      <c r="H271" s="202">
        <v>0</v>
      </c>
      <c r="I271" s="203">
        <v>0</v>
      </c>
      <c r="J271" s="202">
        <v>0</v>
      </c>
      <c r="K271" s="202">
        <v>0</v>
      </c>
      <c r="L271" s="202">
        <v>0</v>
      </c>
      <c r="M271" s="202">
        <v>0</v>
      </c>
      <c r="N271" s="202">
        <v>0</v>
      </c>
      <c r="O271" s="202">
        <v>0</v>
      </c>
      <c r="P271" s="202">
        <v>0</v>
      </c>
      <c r="Q271" s="202">
        <v>0</v>
      </c>
      <c r="R271" s="202">
        <v>0</v>
      </c>
      <c r="S271" s="202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207">
        <v>0</v>
      </c>
      <c r="F272" s="207">
        <v>0</v>
      </c>
      <c r="G272" s="203">
        <v>0</v>
      </c>
      <c r="H272" s="202">
        <v>0</v>
      </c>
      <c r="I272" s="203">
        <v>0</v>
      </c>
      <c r="J272" s="202">
        <v>0</v>
      </c>
      <c r="K272" s="202">
        <v>0</v>
      </c>
      <c r="L272" s="202">
        <v>0</v>
      </c>
      <c r="M272" s="202">
        <v>0</v>
      </c>
      <c r="N272" s="202">
        <v>0</v>
      </c>
      <c r="O272" s="202">
        <v>0</v>
      </c>
      <c r="P272" s="202">
        <v>0</v>
      </c>
      <c r="Q272" s="202">
        <v>0</v>
      </c>
      <c r="R272" s="202">
        <v>0</v>
      </c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207">
        <v>0</v>
      </c>
      <c r="F273" s="207">
        <v>0</v>
      </c>
      <c r="G273" s="203">
        <v>0</v>
      </c>
      <c r="H273" s="202">
        <v>0</v>
      </c>
      <c r="I273" s="203">
        <v>0</v>
      </c>
      <c r="J273" s="202">
        <v>0</v>
      </c>
      <c r="K273" s="202">
        <v>0</v>
      </c>
      <c r="L273" s="202">
        <v>0</v>
      </c>
      <c r="M273" s="202">
        <v>0</v>
      </c>
      <c r="N273" s="202">
        <v>0</v>
      </c>
      <c r="O273" s="202">
        <v>0</v>
      </c>
      <c r="P273" s="202">
        <v>0</v>
      </c>
      <c r="Q273" s="202">
        <v>0</v>
      </c>
      <c r="R273" s="202">
        <v>0</v>
      </c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207">
        <v>0</v>
      </c>
      <c r="F274" s="207">
        <v>0</v>
      </c>
      <c r="G274" s="203">
        <v>0</v>
      </c>
      <c r="H274" s="202">
        <v>0</v>
      </c>
      <c r="I274" s="203">
        <v>0</v>
      </c>
      <c r="J274" s="202">
        <v>0</v>
      </c>
      <c r="K274" s="202">
        <v>0</v>
      </c>
      <c r="L274" s="202">
        <v>0</v>
      </c>
      <c r="M274" s="202">
        <v>0</v>
      </c>
      <c r="N274" s="202">
        <v>0</v>
      </c>
      <c r="O274" s="202">
        <v>0</v>
      </c>
      <c r="P274" s="202">
        <v>0</v>
      </c>
      <c r="Q274" s="202">
        <v>0</v>
      </c>
      <c r="R274" s="202">
        <v>0</v>
      </c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207">
        <v>0</v>
      </c>
      <c r="F275" s="207">
        <v>0</v>
      </c>
      <c r="G275" s="203">
        <v>0</v>
      </c>
      <c r="H275" s="202">
        <v>0</v>
      </c>
      <c r="I275" s="203">
        <v>0</v>
      </c>
      <c r="J275" s="202">
        <v>0</v>
      </c>
      <c r="K275" s="202">
        <v>0</v>
      </c>
      <c r="L275" s="202">
        <v>0</v>
      </c>
      <c r="M275" s="202">
        <v>0</v>
      </c>
      <c r="N275" s="202">
        <v>0</v>
      </c>
      <c r="O275" s="202">
        <v>0</v>
      </c>
      <c r="P275" s="202">
        <v>0</v>
      </c>
      <c r="Q275" s="202">
        <v>0</v>
      </c>
      <c r="R275" s="202">
        <v>0</v>
      </c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207">
        <v>0</v>
      </c>
      <c r="F276" s="207">
        <v>0</v>
      </c>
      <c r="G276" s="203">
        <v>0</v>
      </c>
      <c r="H276" s="202">
        <v>0</v>
      </c>
      <c r="I276" s="203">
        <v>0</v>
      </c>
      <c r="J276" s="202">
        <v>0</v>
      </c>
      <c r="K276" s="202">
        <v>0</v>
      </c>
      <c r="L276" s="202">
        <v>0</v>
      </c>
      <c r="M276" s="202">
        <v>0</v>
      </c>
      <c r="N276" s="202">
        <v>0</v>
      </c>
      <c r="O276" s="202">
        <v>0</v>
      </c>
      <c r="P276" s="202">
        <v>0</v>
      </c>
      <c r="Q276" s="202">
        <v>0</v>
      </c>
      <c r="R276" s="202">
        <v>0</v>
      </c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207">
        <v>0</v>
      </c>
      <c r="F277" s="207">
        <v>0</v>
      </c>
      <c r="G277" s="203">
        <v>0</v>
      </c>
      <c r="H277" s="202">
        <v>0</v>
      </c>
      <c r="I277" s="203">
        <v>0</v>
      </c>
      <c r="J277" s="202">
        <v>0</v>
      </c>
      <c r="K277" s="202">
        <v>0</v>
      </c>
      <c r="L277" s="202">
        <v>0</v>
      </c>
      <c r="M277" s="202">
        <v>0</v>
      </c>
      <c r="N277" s="202">
        <v>0</v>
      </c>
      <c r="O277" s="202">
        <v>0</v>
      </c>
      <c r="P277" s="202">
        <v>0</v>
      </c>
      <c r="Q277" s="202">
        <v>0</v>
      </c>
      <c r="R277" s="202">
        <v>0</v>
      </c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207">
        <v>0</v>
      </c>
      <c r="F278" s="207">
        <v>-10784.16</v>
      </c>
      <c r="G278" s="203">
        <v>0</v>
      </c>
      <c r="H278" s="202">
        <v>7926.09</v>
      </c>
      <c r="I278" s="203">
        <v>0</v>
      </c>
      <c r="J278" s="202">
        <v>-1610.09</v>
      </c>
      <c r="K278" s="202">
        <v>0</v>
      </c>
      <c r="L278" s="202">
        <v>743.79</v>
      </c>
      <c r="M278" s="202">
        <v>0</v>
      </c>
      <c r="N278" s="202">
        <v>0</v>
      </c>
      <c r="O278" s="202">
        <v>0</v>
      </c>
      <c r="P278" s="202">
        <v>0</v>
      </c>
      <c r="Q278" s="202">
        <v>0</v>
      </c>
      <c r="R278" s="202">
        <v>-82.06</v>
      </c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207">
        <v>0</v>
      </c>
      <c r="F279" s="207">
        <v>0</v>
      </c>
      <c r="G279" s="203">
        <v>0</v>
      </c>
      <c r="H279" s="202">
        <v>0</v>
      </c>
      <c r="I279" s="203">
        <v>0</v>
      </c>
      <c r="J279" s="202">
        <v>0</v>
      </c>
      <c r="K279" s="202">
        <v>0</v>
      </c>
      <c r="L279" s="202">
        <v>0</v>
      </c>
      <c r="M279" s="202">
        <v>0</v>
      </c>
      <c r="N279" s="202">
        <v>0</v>
      </c>
      <c r="O279" s="202">
        <v>0</v>
      </c>
      <c r="P279" s="202">
        <v>0</v>
      </c>
      <c r="Q279" s="202">
        <v>0</v>
      </c>
      <c r="R279" s="202">
        <v>0</v>
      </c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207">
        <v>0</v>
      </c>
      <c r="F280" s="207">
        <v>0</v>
      </c>
      <c r="G280" s="203">
        <v>0</v>
      </c>
      <c r="H280" s="202">
        <v>0</v>
      </c>
      <c r="I280" s="203">
        <v>0</v>
      </c>
      <c r="J280" s="202">
        <v>0</v>
      </c>
      <c r="K280" s="202">
        <v>0</v>
      </c>
      <c r="L280" s="202">
        <v>0</v>
      </c>
      <c r="M280" s="202">
        <v>0</v>
      </c>
      <c r="N280" s="202">
        <v>0</v>
      </c>
      <c r="O280" s="202">
        <v>0</v>
      </c>
      <c r="P280" s="202">
        <v>0</v>
      </c>
      <c r="Q280" s="202">
        <v>0</v>
      </c>
      <c r="R280" s="202">
        <v>0</v>
      </c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207">
        <v>0</v>
      </c>
      <c r="F281" s="207">
        <v>0</v>
      </c>
      <c r="G281" s="203">
        <v>0</v>
      </c>
      <c r="H281" s="202">
        <v>0</v>
      </c>
      <c r="I281" s="203">
        <v>0</v>
      </c>
      <c r="J281" s="202">
        <v>0</v>
      </c>
      <c r="K281" s="202">
        <v>0</v>
      </c>
      <c r="L281" s="202">
        <v>0</v>
      </c>
      <c r="M281" s="202">
        <v>0</v>
      </c>
      <c r="N281" s="202">
        <v>0</v>
      </c>
      <c r="O281" s="202">
        <v>0</v>
      </c>
      <c r="P281" s="202">
        <v>0</v>
      </c>
      <c r="Q281" s="202">
        <v>0</v>
      </c>
      <c r="R281" s="202">
        <v>0</v>
      </c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207">
        <v>0</v>
      </c>
      <c r="F282" s="207">
        <v>0</v>
      </c>
      <c r="G282" s="203">
        <v>0</v>
      </c>
      <c r="H282" s="202">
        <v>0</v>
      </c>
      <c r="I282" s="203">
        <v>0</v>
      </c>
      <c r="J282" s="202">
        <v>0</v>
      </c>
      <c r="K282" s="202">
        <v>0</v>
      </c>
      <c r="L282" s="202">
        <v>0</v>
      </c>
      <c r="M282" s="202">
        <v>0</v>
      </c>
      <c r="N282" s="202">
        <v>0</v>
      </c>
      <c r="O282" s="202">
        <v>0</v>
      </c>
      <c r="P282" s="202">
        <v>0</v>
      </c>
      <c r="Q282" s="202">
        <v>0</v>
      </c>
      <c r="R282" s="202">
        <v>0</v>
      </c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207">
        <v>0</v>
      </c>
      <c r="F283" s="207">
        <v>232711.35</v>
      </c>
      <c r="G283" s="203">
        <v>0</v>
      </c>
      <c r="H283" s="202">
        <v>26965.95</v>
      </c>
      <c r="I283" s="203">
        <v>0</v>
      </c>
      <c r="J283" s="202">
        <v>0</v>
      </c>
      <c r="K283" s="202">
        <v>0</v>
      </c>
      <c r="L283" s="202">
        <v>0</v>
      </c>
      <c r="M283" s="202">
        <v>0</v>
      </c>
      <c r="N283" s="202">
        <v>0</v>
      </c>
      <c r="O283" s="202">
        <v>0</v>
      </c>
      <c r="P283" s="202">
        <v>0</v>
      </c>
      <c r="Q283" s="202">
        <v>0</v>
      </c>
      <c r="R283" s="202">
        <v>0</v>
      </c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207">
        <v>33328415</v>
      </c>
      <c r="F284" s="207">
        <v>74015550.629999995</v>
      </c>
      <c r="G284" s="203">
        <v>196851</v>
      </c>
      <c r="H284" s="202">
        <v>774245.24</v>
      </c>
      <c r="I284" s="203">
        <v>0</v>
      </c>
      <c r="J284" s="202">
        <v>0</v>
      </c>
      <c r="K284" s="202">
        <v>0</v>
      </c>
      <c r="L284" s="202">
        <v>0</v>
      </c>
      <c r="M284" s="202">
        <v>627959</v>
      </c>
      <c r="N284" s="202">
        <v>1406628.34</v>
      </c>
      <c r="O284" s="202">
        <v>0</v>
      </c>
      <c r="P284" s="202">
        <v>0</v>
      </c>
      <c r="Q284" s="202">
        <v>0</v>
      </c>
      <c r="R284" s="202">
        <v>0</v>
      </c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207">
        <v>0</v>
      </c>
      <c r="F285" s="207">
        <v>0</v>
      </c>
      <c r="G285" s="203">
        <v>0</v>
      </c>
      <c r="H285" s="202">
        <v>0</v>
      </c>
      <c r="I285" s="203">
        <v>0</v>
      </c>
      <c r="J285" s="202">
        <v>0</v>
      </c>
      <c r="K285" s="202">
        <v>0</v>
      </c>
      <c r="L285" s="202">
        <v>0</v>
      </c>
      <c r="M285" s="202">
        <v>0</v>
      </c>
      <c r="N285" s="202">
        <v>0</v>
      </c>
      <c r="O285" s="202">
        <v>0</v>
      </c>
      <c r="P285" s="202">
        <v>0</v>
      </c>
      <c r="Q285" s="202">
        <v>0</v>
      </c>
      <c r="R285" s="202">
        <v>0</v>
      </c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207">
        <v>1398294</v>
      </c>
      <c r="F286" s="207">
        <v>3536180</v>
      </c>
      <c r="G286" s="203">
        <v>-14107</v>
      </c>
      <c r="H286" s="202">
        <v>-33251</v>
      </c>
      <c r="I286" s="203">
        <v>0</v>
      </c>
      <c r="J286" s="202">
        <v>0</v>
      </c>
      <c r="K286" s="202">
        <v>0</v>
      </c>
      <c r="L286" s="202">
        <v>0</v>
      </c>
      <c r="M286" s="202">
        <v>4107</v>
      </c>
      <c r="N286" s="202">
        <v>10051</v>
      </c>
      <c r="O286" s="202">
        <v>0</v>
      </c>
      <c r="P286" s="202">
        <v>0</v>
      </c>
      <c r="Q286" s="202">
        <v>1574911</v>
      </c>
      <c r="R286" s="202">
        <v>3588023</v>
      </c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207">
        <v>0</v>
      </c>
      <c r="F287" s="207">
        <v>0</v>
      </c>
      <c r="G287" s="203">
        <v>0</v>
      </c>
      <c r="H287" s="202">
        <v>0</v>
      </c>
      <c r="I287" s="203">
        <v>0</v>
      </c>
      <c r="J287" s="202">
        <v>0</v>
      </c>
      <c r="K287" s="202">
        <v>0</v>
      </c>
      <c r="L287" s="202">
        <v>0</v>
      </c>
      <c r="M287" s="202">
        <v>0</v>
      </c>
      <c r="N287" s="202">
        <v>0</v>
      </c>
      <c r="O287" s="202">
        <v>0</v>
      </c>
      <c r="P287" s="202">
        <v>0</v>
      </c>
      <c r="Q287" s="202">
        <v>0</v>
      </c>
      <c r="R287" s="202">
        <v>0</v>
      </c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207">
        <v>0</v>
      </c>
      <c r="F288" s="207">
        <v>-1470959.59</v>
      </c>
      <c r="G288" s="203">
        <v>0</v>
      </c>
      <c r="H288" s="202">
        <v>1470959.59</v>
      </c>
      <c r="I288" s="203">
        <v>0</v>
      </c>
      <c r="J288" s="202">
        <v>0</v>
      </c>
      <c r="K288" s="202">
        <v>0</v>
      </c>
      <c r="L288" s="202">
        <v>0</v>
      </c>
      <c r="M288" s="202">
        <v>0</v>
      </c>
      <c r="N288" s="202">
        <v>0</v>
      </c>
      <c r="O288" s="202">
        <v>0</v>
      </c>
      <c r="P288" s="202">
        <v>0</v>
      </c>
      <c r="Q288" s="202">
        <v>0</v>
      </c>
      <c r="R288" s="202">
        <v>0</v>
      </c>
      <c r="S288" s="202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207">
        <v>-35007316</v>
      </c>
      <c r="F289" s="207">
        <v>-77359366.039999992</v>
      </c>
      <c r="G289" s="203">
        <v>-707397</v>
      </c>
      <c r="H289" s="202">
        <v>-1525809.27</v>
      </c>
      <c r="I289" s="203">
        <v>0</v>
      </c>
      <c r="J289" s="202">
        <v>13.81</v>
      </c>
      <c r="K289" s="202">
        <v>0</v>
      </c>
      <c r="L289" s="202">
        <v>-7.45</v>
      </c>
      <c r="M289" s="202">
        <v>-627967</v>
      </c>
      <c r="N289" s="202">
        <v>-1406563.03</v>
      </c>
      <c r="O289" s="202">
        <v>0</v>
      </c>
      <c r="P289" s="202">
        <v>44.52</v>
      </c>
      <c r="Q289" s="202">
        <v>0</v>
      </c>
      <c r="R289" s="202">
        <v>-44.52</v>
      </c>
      <c r="S289" s="202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207">
        <v>0</v>
      </c>
      <c r="F290" s="207">
        <v>0</v>
      </c>
      <c r="G290" s="203">
        <v>0</v>
      </c>
      <c r="H290" s="202">
        <v>0</v>
      </c>
      <c r="I290" s="203">
        <v>0</v>
      </c>
      <c r="J290" s="202">
        <v>0</v>
      </c>
      <c r="K290" s="202">
        <v>0</v>
      </c>
      <c r="L290" s="202">
        <v>0</v>
      </c>
      <c r="M290" s="202">
        <v>0</v>
      </c>
      <c r="N290" s="202">
        <v>0</v>
      </c>
      <c r="O290" s="202">
        <v>0</v>
      </c>
      <c r="P290" s="202">
        <v>0</v>
      </c>
      <c r="Q290" s="202">
        <v>0</v>
      </c>
      <c r="R290" s="202">
        <v>0</v>
      </c>
      <c r="S290" s="202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207">
        <v>-793027</v>
      </c>
      <c r="F291" s="207">
        <v>-1916388</v>
      </c>
      <c r="G291" s="203">
        <v>450316</v>
      </c>
      <c r="H291" s="202">
        <v>1086478</v>
      </c>
      <c r="I291" s="203">
        <v>-88292</v>
      </c>
      <c r="J291" s="202">
        <v>-222750</v>
      </c>
      <c r="K291" s="202">
        <v>0</v>
      </c>
      <c r="L291" s="202">
        <v>0</v>
      </c>
      <c r="M291" s="202">
        <v>0</v>
      </c>
      <c r="N291" s="202">
        <v>0</v>
      </c>
      <c r="O291" s="202">
        <v>0</v>
      </c>
      <c r="P291" s="202">
        <v>0</v>
      </c>
      <c r="Q291" s="202">
        <v>-376935</v>
      </c>
      <c r="R291" s="202">
        <v>-903153</v>
      </c>
      <c r="S291" s="202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207">
        <v>0</v>
      </c>
      <c r="F292" s="207">
        <v>0</v>
      </c>
      <c r="G292" s="203">
        <v>0</v>
      </c>
      <c r="H292" s="202">
        <v>0</v>
      </c>
      <c r="I292" s="203">
        <v>0</v>
      </c>
      <c r="J292" s="202">
        <v>0</v>
      </c>
      <c r="K292" s="202">
        <v>0</v>
      </c>
      <c r="L292" s="202">
        <v>0</v>
      </c>
      <c r="M292" s="202">
        <v>0</v>
      </c>
      <c r="N292" s="202">
        <v>0</v>
      </c>
      <c r="O292" s="202">
        <v>0</v>
      </c>
      <c r="P292" s="202">
        <v>0</v>
      </c>
      <c r="Q292" s="202">
        <v>0</v>
      </c>
      <c r="R292" s="202">
        <v>0</v>
      </c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207">
        <v>43857</v>
      </c>
      <c r="F293" s="207">
        <v>104819.1565</v>
      </c>
      <c r="G293" s="203">
        <v>27753</v>
      </c>
      <c r="H293" s="202">
        <v>66329.67</v>
      </c>
      <c r="I293" s="203">
        <v>0</v>
      </c>
      <c r="J293" s="202">
        <v>0</v>
      </c>
      <c r="K293" s="202">
        <v>0</v>
      </c>
      <c r="L293" s="202">
        <v>0</v>
      </c>
      <c r="M293" s="202">
        <v>0</v>
      </c>
      <c r="N293" s="202">
        <v>0</v>
      </c>
      <c r="O293" s="202">
        <v>0</v>
      </c>
      <c r="P293" s="202">
        <v>0</v>
      </c>
      <c r="Q293" s="202">
        <v>0</v>
      </c>
      <c r="R293" s="202">
        <v>0</v>
      </c>
      <c r="S293" s="202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207">
        <v>0</v>
      </c>
      <c r="F294" s="207">
        <v>0</v>
      </c>
      <c r="G294" s="203">
        <v>0</v>
      </c>
      <c r="H294" s="202">
        <v>0</v>
      </c>
      <c r="I294" s="203">
        <v>0</v>
      </c>
      <c r="J294" s="202">
        <v>0</v>
      </c>
      <c r="K294" s="202">
        <v>0</v>
      </c>
      <c r="L294" s="202">
        <v>0</v>
      </c>
      <c r="M294" s="202">
        <v>0</v>
      </c>
      <c r="N294" s="202">
        <v>0</v>
      </c>
      <c r="O294" s="202">
        <v>0</v>
      </c>
      <c r="P294" s="202">
        <v>0</v>
      </c>
      <c r="Q294" s="202">
        <v>0</v>
      </c>
      <c r="R294" s="202">
        <v>0</v>
      </c>
      <c r="S294" s="202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207">
        <v>0</v>
      </c>
      <c r="F295" s="207">
        <v>0</v>
      </c>
      <c r="G295" s="203">
        <v>0</v>
      </c>
      <c r="H295" s="202">
        <v>0</v>
      </c>
      <c r="I295" s="203">
        <v>0</v>
      </c>
      <c r="J295" s="202">
        <v>0</v>
      </c>
      <c r="K295" s="202">
        <v>0</v>
      </c>
      <c r="L295" s="202">
        <v>0</v>
      </c>
      <c r="M295" s="202">
        <v>0</v>
      </c>
      <c r="N295" s="202">
        <v>0</v>
      </c>
      <c r="O295" s="202">
        <v>0</v>
      </c>
      <c r="P295" s="202">
        <v>0</v>
      </c>
      <c r="Q295" s="202">
        <v>0</v>
      </c>
      <c r="R295" s="202">
        <v>0</v>
      </c>
      <c r="S295" s="202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207">
        <v>627900</v>
      </c>
      <c r="F296" s="207">
        <v>1500681.7648</v>
      </c>
      <c r="G296" s="203">
        <v>218539</v>
      </c>
      <c r="H296" s="202">
        <v>522308.21</v>
      </c>
      <c r="I296" s="203">
        <v>0</v>
      </c>
      <c r="J296" s="202">
        <v>0</v>
      </c>
      <c r="K296" s="202">
        <v>0</v>
      </c>
      <c r="L296" s="202">
        <v>0</v>
      </c>
      <c r="M296" s="202">
        <v>-3318</v>
      </c>
      <c r="N296" s="202">
        <v>-7930.02</v>
      </c>
      <c r="O296" s="202">
        <v>0</v>
      </c>
      <c r="P296" s="202">
        <v>0</v>
      </c>
      <c r="Q296" s="202">
        <v>-117506</v>
      </c>
      <c r="R296" s="202">
        <v>-280839.34000000003</v>
      </c>
      <c r="S296" s="202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207">
        <v>0</v>
      </c>
      <c r="F297" s="207">
        <v>0</v>
      </c>
      <c r="G297" s="203">
        <v>0</v>
      </c>
      <c r="H297" s="202">
        <v>0</v>
      </c>
      <c r="I297" s="203">
        <v>0</v>
      </c>
      <c r="J297" s="202">
        <v>0</v>
      </c>
      <c r="K297" s="202">
        <v>0</v>
      </c>
      <c r="L297" s="202">
        <v>0</v>
      </c>
      <c r="M297" s="202">
        <v>0</v>
      </c>
      <c r="N297" s="202">
        <v>0</v>
      </c>
      <c r="O297" s="202">
        <v>0</v>
      </c>
      <c r="P297" s="202">
        <v>0</v>
      </c>
      <c r="Q297" s="202">
        <v>0</v>
      </c>
      <c r="R297" s="202">
        <v>0</v>
      </c>
      <c r="S297" s="202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207">
        <v>0</v>
      </c>
      <c r="F298" s="207">
        <v>0</v>
      </c>
      <c r="G298" s="203">
        <v>0</v>
      </c>
      <c r="H298" s="202">
        <v>0</v>
      </c>
      <c r="I298" s="203">
        <v>0</v>
      </c>
      <c r="J298" s="202">
        <v>0</v>
      </c>
      <c r="K298" s="202">
        <v>0</v>
      </c>
      <c r="L298" s="202">
        <v>0</v>
      </c>
      <c r="M298" s="202">
        <v>0</v>
      </c>
      <c r="N298" s="202">
        <v>0</v>
      </c>
      <c r="O298" s="202">
        <v>0</v>
      </c>
      <c r="P298" s="202">
        <v>0</v>
      </c>
      <c r="Q298" s="202">
        <v>0</v>
      </c>
      <c r="R298" s="202">
        <v>0</v>
      </c>
      <c r="S298" s="202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207">
        <v>0</v>
      </c>
      <c r="F299" s="207">
        <v>0</v>
      </c>
      <c r="G299" s="203">
        <v>0</v>
      </c>
      <c r="H299" s="202">
        <v>0</v>
      </c>
      <c r="I299" s="203">
        <v>0</v>
      </c>
      <c r="J299" s="202">
        <v>0</v>
      </c>
      <c r="K299" s="202">
        <v>0</v>
      </c>
      <c r="L299" s="202">
        <v>0</v>
      </c>
      <c r="M299" s="202">
        <v>0</v>
      </c>
      <c r="N299" s="202">
        <v>0</v>
      </c>
      <c r="O299" s="202">
        <v>0</v>
      </c>
      <c r="P299" s="202">
        <v>0</v>
      </c>
      <c r="Q299" s="202">
        <v>0</v>
      </c>
      <c r="R299" s="202">
        <v>0</v>
      </c>
      <c r="S299" s="202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207">
        <v>0</v>
      </c>
      <c r="F300" s="207">
        <v>0</v>
      </c>
      <c r="G300" s="203">
        <v>0</v>
      </c>
      <c r="H300" s="202">
        <v>0</v>
      </c>
      <c r="I300" s="203">
        <v>0</v>
      </c>
      <c r="J300" s="202">
        <v>0</v>
      </c>
      <c r="K300" s="202">
        <v>0</v>
      </c>
      <c r="L300" s="202">
        <v>0</v>
      </c>
      <c r="M300" s="202">
        <v>0</v>
      </c>
      <c r="N300" s="202">
        <v>0</v>
      </c>
      <c r="O300" s="202">
        <v>0</v>
      </c>
      <c r="P300" s="202">
        <v>0</v>
      </c>
      <c r="Q300" s="202">
        <v>0</v>
      </c>
      <c r="R300" s="202">
        <v>0</v>
      </c>
      <c r="S300" s="202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207">
        <v>0</v>
      </c>
      <c r="F301" s="207">
        <v>0</v>
      </c>
      <c r="G301" s="203">
        <v>0</v>
      </c>
      <c r="H301" s="202">
        <v>0</v>
      </c>
      <c r="I301" s="203">
        <v>0</v>
      </c>
      <c r="J301" s="202">
        <v>0</v>
      </c>
      <c r="K301" s="202">
        <v>0</v>
      </c>
      <c r="L301" s="202">
        <v>0</v>
      </c>
      <c r="M301" s="202">
        <v>0</v>
      </c>
      <c r="N301" s="202">
        <v>0</v>
      </c>
      <c r="O301" s="202">
        <v>0</v>
      </c>
      <c r="P301" s="202">
        <v>0</v>
      </c>
      <c r="Q301" s="202">
        <v>0</v>
      </c>
      <c r="R301" s="202">
        <v>0</v>
      </c>
      <c r="S301" s="202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207">
        <v>0</v>
      </c>
      <c r="F302" s="207">
        <v>0</v>
      </c>
      <c r="G302" s="203">
        <v>0</v>
      </c>
      <c r="H302" s="202">
        <v>0</v>
      </c>
      <c r="I302" s="203">
        <v>0</v>
      </c>
      <c r="J302" s="202">
        <v>0</v>
      </c>
      <c r="K302" s="202">
        <v>0</v>
      </c>
      <c r="L302" s="202">
        <v>0</v>
      </c>
      <c r="M302" s="202">
        <v>0</v>
      </c>
      <c r="N302" s="202">
        <v>0</v>
      </c>
      <c r="O302" s="202">
        <v>0</v>
      </c>
      <c r="P302" s="202">
        <v>0</v>
      </c>
      <c r="Q302" s="202">
        <v>0</v>
      </c>
      <c r="R302" s="202">
        <v>0</v>
      </c>
      <c r="S302" s="202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207">
        <v>0</v>
      </c>
      <c r="F303" s="207">
        <v>0</v>
      </c>
      <c r="G303" s="203">
        <v>0</v>
      </c>
      <c r="H303" s="202">
        <v>0</v>
      </c>
      <c r="I303" s="203">
        <v>0</v>
      </c>
      <c r="J303" s="202">
        <v>0</v>
      </c>
      <c r="K303" s="202">
        <v>0</v>
      </c>
      <c r="L303" s="202">
        <v>0</v>
      </c>
      <c r="M303" s="202">
        <v>0</v>
      </c>
      <c r="N303" s="202">
        <v>0</v>
      </c>
      <c r="O303" s="202">
        <v>0</v>
      </c>
      <c r="P303" s="202">
        <v>0</v>
      </c>
      <c r="Q303" s="202">
        <v>0</v>
      </c>
      <c r="R303" s="202">
        <v>0</v>
      </c>
      <c r="S303" s="202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207">
        <v>0</v>
      </c>
      <c r="F304" s="207">
        <v>0</v>
      </c>
      <c r="G304" s="203">
        <v>0</v>
      </c>
      <c r="H304" s="202">
        <v>0</v>
      </c>
      <c r="I304" s="203">
        <v>0</v>
      </c>
      <c r="J304" s="202">
        <v>0</v>
      </c>
      <c r="K304" s="202">
        <v>0</v>
      </c>
      <c r="L304" s="202">
        <v>0</v>
      </c>
      <c r="M304" s="202">
        <v>0</v>
      </c>
      <c r="N304" s="202">
        <v>0</v>
      </c>
      <c r="O304" s="202">
        <v>0</v>
      </c>
      <c r="P304" s="202">
        <v>0</v>
      </c>
      <c r="Q304" s="202">
        <v>0</v>
      </c>
      <c r="R304" s="202">
        <v>0</v>
      </c>
      <c r="S304" s="202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207">
        <v>401877</v>
      </c>
      <c r="F305" s="207">
        <v>960486.03</v>
      </c>
      <c r="G305" s="203">
        <v>-171955</v>
      </c>
      <c r="H305" s="202">
        <v>-410972.45</v>
      </c>
      <c r="I305" s="203">
        <v>88292</v>
      </c>
      <c r="J305" s="202">
        <v>211017.88</v>
      </c>
      <c r="K305" s="202">
        <v>0</v>
      </c>
      <c r="L305" s="202">
        <v>0</v>
      </c>
      <c r="M305" s="202">
        <v>-781</v>
      </c>
      <c r="N305" s="202">
        <v>-1866.59</v>
      </c>
      <c r="O305" s="202">
        <v>0</v>
      </c>
      <c r="P305" s="202">
        <v>0</v>
      </c>
      <c r="Q305" s="202">
        <v>-1080470</v>
      </c>
      <c r="R305" s="202">
        <v>-2582323.2999999998</v>
      </c>
      <c r="S305" s="202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207">
        <v>-43857</v>
      </c>
      <c r="F306" s="207">
        <v>-104819.1565</v>
      </c>
      <c r="G306" s="203">
        <v>-27753</v>
      </c>
      <c r="H306" s="202">
        <v>-66329.67</v>
      </c>
      <c r="I306" s="203">
        <v>0</v>
      </c>
      <c r="J306" s="202">
        <v>0</v>
      </c>
      <c r="K306" s="202">
        <v>0</v>
      </c>
      <c r="L306" s="202">
        <v>0</v>
      </c>
      <c r="M306" s="202">
        <v>0</v>
      </c>
      <c r="N306" s="202">
        <v>0</v>
      </c>
      <c r="O306" s="202">
        <v>0</v>
      </c>
      <c r="P306" s="202">
        <v>0</v>
      </c>
      <c r="Q306" s="202">
        <v>0</v>
      </c>
      <c r="R306" s="202">
        <v>0</v>
      </c>
      <c r="S306" s="202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207">
        <v>-570605</v>
      </c>
      <c r="F307" s="207">
        <v>-16348.83</v>
      </c>
      <c r="G307" s="203">
        <v>570605</v>
      </c>
      <c r="H307" s="202">
        <v>-95487.25</v>
      </c>
      <c r="I307" s="203">
        <v>0</v>
      </c>
      <c r="J307" s="202">
        <v>0</v>
      </c>
      <c r="K307" s="202">
        <v>0</v>
      </c>
      <c r="L307" s="202">
        <v>0</v>
      </c>
      <c r="M307" s="202">
        <v>0</v>
      </c>
      <c r="N307" s="202">
        <v>39422.54</v>
      </c>
      <c r="O307" s="202">
        <v>0</v>
      </c>
      <c r="P307" s="202">
        <v>0</v>
      </c>
      <c r="Q307" s="202">
        <v>0</v>
      </c>
      <c r="R307" s="202">
        <v>0</v>
      </c>
      <c r="S307" s="202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207">
        <v>0</v>
      </c>
      <c r="F308" s="207">
        <v>-1775499.69</v>
      </c>
      <c r="G308" s="203">
        <v>0</v>
      </c>
      <c r="H308" s="202">
        <v>1775499.69</v>
      </c>
      <c r="I308" s="203">
        <v>0</v>
      </c>
      <c r="J308" s="202">
        <v>0</v>
      </c>
      <c r="K308" s="202">
        <v>0</v>
      </c>
      <c r="L308" s="202">
        <v>0</v>
      </c>
      <c r="M308" s="202">
        <v>0</v>
      </c>
      <c r="N308" s="202">
        <v>0</v>
      </c>
      <c r="O308" s="202">
        <v>0</v>
      </c>
      <c r="P308" s="202">
        <v>0</v>
      </c>
      <c r="Q308" s="202">
        <v>0</v>
      </c>
      <c r="R308" s="202">
        <v>0</v>
      </c>
      <c r="S308" s="202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207">
        <v>0</v>
      </c>
      <c r="F309" s="207">
        <v>0</v>
      </c>
      <c r="G309" s="203">
        <v>0</v>
      </c>
      <c r="H309" s="202">
        <v>0</v>
      </c>
      <c r="I309" s="203">
        <v>0</v>
      </c>
      <c r="J309" s="202">
        <v>0</v>
      </c>
      <c r="K309" s="202">
        <v>0</v>
      </c>
      <c r="L309" s="202">
        <v>0</v>
      </c>
      <c r="M309" s="202">
        <v>0</v>
      </c>
      <c r="N309" s="202">
        <v>0</v>
      </c>
      <c r="O309" s="202">
        <v>0</v>
      </c>
      <c r="P309" s="202">
        <v>0</v>
      </c>
      <c r="Q309" s="202">
        <v>0</v>
      </c>
      <c r="R309" s="202">
        <v>0</v>
      </c>
      <c r="S309" s="202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207">
        <v>0</v>
      </c>
      <c r="F310" s="207">
        <v>0</v>
      </c>
      <c r="G310" s="203">
        <v>0</v>
      </c>
      <c r="H310" s="202">
        <v>0</v>
      </c>
      <c r="I310" s="203">
        <v>0</v>
      </c>
      <c r="J310" s="202">
        <v>0</v>
      </c>
      <c r="K310" s="202">
        <v>0</v>
      </c>
      <c r="L310" s="202">
        <v>0</v>
      </c>
      <c r="M310" s="202">
        <v>0</v>
      </c>
      <c r="N310" s="202">
        <v>0</v>
      </c>
      <c r="O310" s="202">
        <v>0</v>
      </c>
      <c r="P310" s="202">
        <v>0</v>
      </c>
      <c r="Q310" s="202">
        <v>0</v>
      </c>
      <c r="R310" s="202">
        <v>0</v>
      </c>
      <c r="S310" s="202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207">
        <v>0</v>
      </c>
      <c r="F311" s="207">
        <v>0</v>
      </c>
      <c r="G311" s="203">
        <v>0</v>
      </c>
      <c r="H311" s="202">
        <v>0</v>
      </c>
      <c r="I311" s="203">
        <v>0</v>
      </c>
      <c r="J311" s="202">
        <v>0</v>
      </c>
      <c r="K311" s="202">
        <v>0</v>
      </c>
      <c r="L311" s="202">
        <v>0</v>
      </c>
      <c r="M311" s="202">
        <v>0</v>
      </c>
      <c r="N311" s="202">
        <v>0</v>
      </c>
      <c r="O311" s="202">
        <v>0</v>
      </c>
      <c r="P311" s="202">
        <v>0</v>
      </c>
      <c r="Q311" s="202">
        <v>0</v>
      </c>
      <c r="R311" s="202">
        <v>0</v>
      </c>
      <c r="S311" s="202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207">
        <v>0</v>
      </c>
      <c r="F312" s="207">
        <v>0</v>
      </c>
      <c r="G312" s="203">
        <v>0</v>
      </c>
      <c r="H312" s="202">
        <v>0</v>
      </c>
      <c r="I312" s="203">
        <v>0</v>
      </c>
      <c r="J312" s="202">
        <v>0</v>
      </c>
      <c r="K312" s="202">
        <v>0</v>
      </c>
      <c r="L312" s="202">
        <v>0</v>
      </c>
      <c r="M312" s="202">
        <v>0</v>
      </c>
      <c r="N312" s="202">
        <v>0</v>
      </c>
      <c r="O312" s="202">
        <v>0</v>
      </c>
      <c r="P312" s="202">
        <v>0</v>
      </c>
      <c r="Q312" s="202">
        <v>0</v>
      </c>
      <c r="R312" s="202">
        <v>0</v>
      </c>
      <c r="S312" s="202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207">
        <v>0</v>
      </c>
      <c r="F313" s="207">
        <v>0</v>
      </c>
      <c r="G313" s="203">
        <v>0</v>
      </c>
      <c r="H313" s="202">
        <v>0</v>
      </c>
      <c r="I313" s="203">
        <v>0</v>
      </c>
      <c r="J313" s="202">
        <v>0</v>
      </c>
      <c r="K313" s="202">
        <v>0</v>
      </c>
      <c r="L313" s="202">
        <v>0</v>
      </c>
      <c r="M313" s="202">
        <v>0</v>
      </c>
      <c r="N313" s="202">
        <v>0</v>
      </c>
      <c r="O313" s="202">
        <v>0</v>
      </c>
      <c r="P313" s="202">
        <v>0</v>
      </c>
      <c r="Q313" s="202">
        <v>0</v>
      </c>
      <c r="R313" s="202">
        <v>0</v>
      </c>
      <c r="S313" s="202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207">
        <v>0</v>
      </c>
      <c r="F314" s="207">
        <v>0</v>
      </c>
      <c r="G314" s="203">
        <v>0</v>
      </c>
      <c r="H314" s="202">
        <v>0</v>
      </c>
      <c r="I314" s="203">
        <v>0</v>
      </c>
      <c r="J314" s="202">
        <v>0</v>
      </c>
      <c r="K314" s="202">
        <v>0</v>
      </c>
      <c r="L314" s="202">
        <v>0</v>
      </c>
      <c r="M314" s="202">
        <v>0</v>
      </c>
      <c r="N314" s="202">
        <v>0</v>
      </c>
      <c r="O314" s="202">
        <v>0</v>
      </c>
      <c r="P314" s="202">
        <v>0</v>
      </c>
      <c r="Q314" s="202">
        <v>0</v>
      </c>
      <c r="R314" s="202">
        <v>0</v>
      </c>
      <c r="S314" s="202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207">
        <v>0</v>
      </c>
      <c r="F315" s="207">
        <v>0</v>
      </c>
      <c r="G315" s="203">
        <v>0</v>
      </c>
      <c r="H315" s="202">
        <v>0</v>
      </c>
      <c r="I315" s="203">
        <v>0</v>
      </c>
      <c r="J315" s="202">
        <v>0</v>
      </c>
      <c r="K315" s="202">
        <v>0</v>
      </c>
      <c r="L315" s="202">
        <v>0</v>
      </c>
      <c r="M315" s="202">
        <v>0</v>
      </c>
      <c r="N315" s="202">
        <v>0</v>
      </c>
      <c r="O315" s="202">
        <v>0</v>
      </c>
      <c r="P315" s="202">
        <v>0</v>
      </c>
      <c r="Q315" s="202">
        <v>0</v>
      </c>
      <c r="R315" s="202">
        <v>0</v>
      </c>
      <c r="S315" s="202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207">
        <v>0</v>
      </c>
      <c r="F316" s="207">
        <v>0</v>
      </c>
      <c r="G316" s="203">
        <v>0</v>
      </c>
      <c r="H316" s="202">
        <v>0</v>
      </c>
      <c r="I316" s="203">
        <v>0</v>
      </c>
      <c r="J316" s="202">
        <v>0</v>
      </c>
      <c r="K316" s="202">
        <v>0</v>
      </c>
      <c r="L316" s="202">
        <v>0</v>
      </c>
      <c r="M316" s="202">
        <v>0</v>
      </c>
      <c r="N316" s="202">
        <v>0</v>
      </c>
      <c r="O316" s="202">
        <v>0</v>
      </c>
      <c r="P316" s="202">
        <v>0</v>
      </c>
      <c r="Q316" s="202">
        <v>0</v>
      </c>
      <c r="R316" s="202">
        <v>0</v>
      </c>
      <c r="S316" s="202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207">
        <v>0</v>
      </c>
      <c r="F317" s="207">
        <v>0</v>
      </c>
      <c r="G317" s="203">
        <v>0</v>
      </c>
      <c r="H317" s="202">
        <v>0</v>
      </c>
      <c r="I317" s="203">
        <v>0</v>
      </c>
      <c r="J317" s="202">
        <v>0</v>
      </c>
      <c r="K317" s="202">
        <v>0</v>
      </c>
      <c r="L317" s="202">
        <v>0</v>
      </c>
      <c r="M317" s="202">
        <v>0</v>
      </c>
      <c r="N317" s="202">
        <v>0</v>
      </c>
      <c r="O317" s="202">
        <v>0</v>
      </c>
      <c r="P317" s="202">
        <v>0</v>
      </c>
      <c r="Q317" s="202">
        <v>0</v>
      </c>
      <c r="R317" s="202">
        <v>0</v>
      </c>
      <c r="S317" s="202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207">
        <v>0</v>
      </c>
      <c r="F318" s="207">
        <v>-109.83</v>
      </c>
      <c r="G318" s="203">
        <v>0</v>
      </c>
      <c r="H318" s="202">
        <v>0</v>
      </c>
      <c r="I318" s="203">
        <v>0</v>
      </c>
      <c r="J318" s="202">
        <v>0</v>
      </c>
      <c r="K318" s="202">
        <v>0</v>
      </c>
      <c r="L318" s="202">
        <v>0</v>
      </c>
      <c r="M318" s="202">
        <v>0</v>
      </c>
      <c r="N318" s="202">
        <v>0</v>
      </c>
      <c r="O318" s="202">
        <v>0</v>
      </c>
      <c r="P318" s="202">
        <v>0</v>
      </c>
      <c r="Q318" s="202">
        <v>0</v>
      </c>
      <c r="R318" s="202">
        <v>0</v>
      </c>
      <c r="S318" s="202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207">
        <v>0</v>
      </c>
      <c r="F319" s="207">
        <v>0</v>
      </c>
      <c r="G319" s="203">
        <v>0</v>
      </c>
      <c r="H319" s="202">
        <v>0</v>
      </c>
      <c r="I319" s="203">
        <v>0</v>
      </c>
      <c r="J319" s="202">
        <v>0</v>
      </c>
      <c r="K319" s="202">
        <v>0</v>
      </c>
      <c r="L319" s="202">
        <v>0</v>
      </c>
      <c r="M319" s="202">
        <v>0</v>
      </c>
      <c r="N319" s="202">
        <v>0</v>
      </c>
      <c r="O319" s="202">
        <v>0</v>
      </c>
      <c r="P319" s="202">
        <v>0</v>
      </c>
      <c r="Q319" s="202">
        <v>0</v>
      </c>
      <c r="R319" s="202">
        <v>0</v>
      </c>
      <c r="S319" s="202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207">
        <v>0</v>
      </c>
      <c r="F320" s="207">
        <v>0</v>
      </c>
      <c r="G320" s="203">
        <v>0</v>
      </c>
      <c r="H320" s="202">
        <v>0</v>
      </c>
      <c r="I320" s="203">
        <v>0</v>
      </c>
      <c r="J320" s="202">
        <v>0</v>
      </c>
      <c r="K320" s="202">
        <v>0</v>
      </c>
      <c r="L320" s="202">
        <v>0</v>
      </c>
      <c r="M320" s="202">
        <v>0</v>
      </c>
      <c r="N320" s="202">
        <v>0</v>
      </c>
      <c r="O320" s="202">
        <v>0</v>
      </c>
      <c r="P320" s="202">
        <v>0</v>
      </c>
      <c r="Q320" s="202">
        <v>0</v>
      </c>
      <c r="R320" s="202">
        <v>0</v>
      </c>
      <c r="S320" s="202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207">
        <v>0</v>
      </c>
      <c r="F321" s="207">
        <v>0</v>
      </c>
      <c r="G321" s="203">
        <v>0</v>
      </c>
      <c r="H321" s="202">
        <v>0</v>
      </c>
      <c r="I321" s="203">
        <v>0</v>
      </c>
      <c r="J321" s="202">
        <v>0</v>
      </c>
      <c r="K321" s="202">
        <v>0</v>
      </c>
      <c r="L321" s="202">
        <v>0</v>
      </c>
      <c r="M321" s="202">
        <v>0</v>
      </c>
      <c r="N321" s="202">
        <v>0</v>
      </c>
      <c r="O321" s="202">
        <v>0</v>
      </c>
      <c r="P321" s="202">
        <v>0</v>
      </c>
      <c r="Q321" s="202">
        <v>0</v>
      </c>
      <c r="R321" s="202">
        <v>0</v>
      </c>
      <c r="S321" s="202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207">
        <v>0</v>
      </c>
      <c r="F322" s="207">
        <v>0</v>
      </c>
      <c r="G322" s="203">
        <v>0</v>
      </c>
      <c r="H322" s="202">
        <v>0</v>
      </c>
      <c r="I322" s="203">
        <v>0</v>
      </c>
      <c r="J322" s="202">
        <v>0</v>
      </c>
      <c r="K322" s="202">
        <v>0</v>
      </c>
      <c r="L322" s="202">
        <v>0</v>
      </c>
      <c r="M322" s="202">
        <v>0</v>
      </c>
      <c r="N322" s="202">
        <v>0</v>
      </c>
      <c r="O322" s="202">
        <v>0</v>
      </c>
      <c r="P322" s="202">
        <v>0</v>
      </c>
      <c r="Q322" s="202">
        <v>0</v>
      </c>
      <c r="R322" s="202">
        <v>0</v>
      </c>
      <c r="S322" s="202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207">
        <v>0</v>
      </c>
      <c r="F323" s="207">
        <v>0</v>
      </c>
      <c r="G323" s="203">
        <v>0</v>
      </c>
      <c r="H323" s="202">
        <v>0</v>
      </c>
      <c r="I323" s="203">
        <v>0</v>
      </c>
      <c r="J323" s="202">
        <v>0</v>
      </c>
      <c r="K323" s="202">
        <v>0</v>
      </c>
      <c r="L323" s="202">
        <v>0</v>
      </c>
      <c r="M323" s="202">
        <v>0</v>
      </c>
      <c r="N323" s="202">
        <v>0</v>
      </c>
      <c r="O323" s="202">
        <v>0</v>
      </c>
      <c r="P323" s="202">
        <v>0</v>
      </c>
      <c r="Q323" s="202">
        <v>0</v>
      </c>
      <c r="R323" s="202">
        <v>0</v>
      </c>
      <c r="S323" s="202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</row>
    <row r="324" spans="1:118" x14ac:dyDescent="0.25">
      <c r="A324" s="33" t="s">
        <v>140</v>
      </c>
      <c r="B324" s="33" t="s">
        <v>209</v>
      </c>
      <c r="C324" s="33">
        <v>1</v>
      </c>
      <c r="D324" s="33" t="s">
        <v>25</v>
      </c>
      <c r="E324" s="207">
        <v>13472429</v>
      </c>
      <c r="F324" s="207">
        <v>30285435.079999998</v>
      </c>
      <c r="G324" s="203">
        <v>162645</v>
      </c>
      <c r="H324" s="202">
        <v>648896.59</v>
      </c>
      <c r="I324" s="203">
        <v>0</v>
      </c>
      <c r="J324" s="202">
        <v>0</v>
      </c>
      <c r="K324" s="202">
        <v>5667</v>
      </c>
      <c r="L324" s="202">
        <v>12301.32</v>
      </c>
      <c r="M324" s="202">
        <v>0</v>
      </c>
      <c r="N324" s="202">
        <v>0</v>
      </c>
      <c r="O324" s="202">
        <v>0</v>
      </c>
      <c r="P324" s="202">
        <v>0</v>
      </c>
      <c r="Q324" s="202">
        <v>0</v>
      </c>
      <c r="R324" s="202">
        <v>0</v>
      </c>
      <c r="S324" s="202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</row>
    <row r="325" spans="1:118" x14ac:dyDescent="0.25">
      <c r="A325" s="33" t="s">
        <v>140</v>
      </c>
      <c r="B325" s="33" t="s">
        <v>209</v>
      </c>
      <c r="C325" s="33">
        <v>2</v>
      </c>
      <c r="D325" s="33" t="s">
        <v>26</v>
      </c>
      <c r="E325" s="207">
        <v>0</v>
      </c>
      <c r="F325" s="207">
        <v>0</v>
      </c>
      <c r="G325" s="203">
        <v>0</v>
      </c>
      <c r="H325" s="202">
        <v>0</v>
      </c>
      <c r="I325" s="203">
        <v>0</v>
      </c>
      <c r="J325" s="202">
        <v>0</v>
      </c>
      <c r="K325" s="202">
        <v>0</v>
      </c>
      <c r="L325" s="202">
        <v>0</v>
      </c>
      <c r="M325" s="202">
        <v>0</v>
      </c>
      <c r="N325" s="202">
        <v>0</v>
      </c>
      <c r="O325" s="202">
        <v>0</v>
      </c>
      <c r="P325" s="202">
        <v>0</v>
      </c>
      <c r="Q325" s="202">
        <v>0</v>
      </c>
      <c r="R325" s="202">
        <v>0</v>
      </c>
      <c r="S325" s="202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</row>
    <row r="326" spans="1:118" x14ac:dyDescent="0.25">
      <c r="A326" s="33" t="s">
        <v>140</v>
      </c>
      <c r="B326" s="33" t="s">
        <v>209</v>
      </c>
      <c r="C326" s="33">
        <v>3</v>
      </c>
      <c r="D326" s="33" t="s">
        <v>27</v>
      </c>
      <c r="E326" s="207">
        <v>22737066</v>
      </c>
      <c r="F326" s="207">
        <v>53455982</v>
      </c>
      <c r="G326" s="203">
        <v>-12823987</v>
      </c>
      <c r="H326" s="202">
        <v>-30729912</v>
      </c>
      <c r="I326" s="203">
        <v>0</v>
      </c>
      <c r="J326" s="202">
        <v>0</v>
      </c>
      <c r="K326" s="202">
        <v>0</v>
      </c>
      <c r="L326" s="202">
        <v>0</v>
      </c>
      <c r="M326" s="202">
        <v>0</v>
      </c>
      <c r="N326" s="202">
        <v>0</v>
      </c>
      <c r="O326" s="202">
        <v>0</v>
      </c>
      <c r="P326" s="202">
        <v>0</v>
      </c>
      <c r="Q326" s="202">
        <v>12823987</v>
      </c>
      <c r="R326" s="202">
        <v>30729912</v>
      </c>
      <c r="S326" s="202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</row>
    <row r="327" spans="1:118" x14ac:dyDescent="0.25">
      <c r="A327" s="33" t="s">
        <v>140</v>
      </c>
      <c r="B327" s="33" t="s">
        <v>209</v>
      </c>
      <c r="C327" s="33">
        <v>4</v>
      </c>
      <c r="D327" s="33" t="s">
        <v>28</v>
      </c>
      <c r="E327" s="207">
        <v>0</v>
      </c>
      <c r="F327" s="207">
        <v>0</v>
      </c>
      <c r="G327" s="203">
        <v>0</v>
      </c>
      <c r="H327" s="202">
        <v>0</v>
      </c>
      <c r="I327" s="203">
        <v>0</v>
      </c>
      <c r="J327" s="202">
        <v>0</v>
      </c>
      <c r="K327" s="202">
        <v>0</v>
      </c>
      <c r="L327" s="202">
        <v>0</v>
      </c>
      <c r="M327" s="202">
        <v>0</v>
      </c>
      <c r="N327" s="202">
        <v>0</v>
      </c>
      <c r="O327" s="202">
        <v>0</v>
      </c>
      <c r="P327" s="202">
        <v>0</v>
      </c>
      <c r="Q327" s="202">
        <v>0</v>
      </c>
      <c r="R327" s="202">
        <v>0</v>
      </c>
      <c r="S327" s="202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</row>
    <row r="328" spans="1:118" x14ac:dyDescent="0.25">
      <c r="A328" s="33" t="s">
        <v>140</v>
      </c>
      <c r="B328" s="33" t="s">
        <v>209</v>
      </c>
      <c r="C328" s="33">
        <v>5</v>
      </c>
      <c r="D328" s="33" t="s">
        <v>125</v>
      </c>
      <c r="E328" s="207">
        <v>0</v>
      </c>
      <c r="F328" s="207">
        <v>0</v>
      </c>
      <c r="G328" s="203">
        <v>0</v>
      </c>
      <c r="H328" s="202">
        <v>2887605</v>
      </c>
      <c r="I328" s="203">
        <v>0</v>
      </c>
      <c r="J328" s="202">
        <v>3</v>
      </c>
      <c r="K328" s="202">
        <v>0</v>
      </c>
      <c r="L328" s="202">
        <v>0</v>
      </c>
      <c r="M328" s="202">
        <v>0</v>
      </c>
      <c r="N328" s="202">
        <v>0</v>
      </c>
      <c r="O328" s="202">
        <v>0</v>
      </c>
      <c r="P328" s="202">
        <v>0</v>
      </c>
      <c r="Q328" s="202">
        <v>0</v>
      </c>
      <c r="R328" s="202">
        <v>0</v>
      </c>
      <c r="S328" s="202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</row>
    <row r="329" spans="1:118" x14ac:dyDescent="0.25">
      <c r="A329" s="33" t="s">
        <v>140</v>
      </c>
      <c r="B329" s="33" t="s">
        <v>209</v>
      </c>
      <c r="C329" s="33">
        <v>6</v>
      </c>
      <c r="D329" s="33" t="s">
        <v>25</v>
      </c>
      <c r="E329" s="207">
        <v>-11090985</v>
      </c>
      <c r="F329" s="207">
        <v>-24180240.18</v>
      </c>
      <c r="G329" s="203">
        <v>-209924</v>
      </c>
      <c r="H329" s="202">
        <v>-528097.4</v>
      </c>
      <c r="I329" s="203">
        <v>0</v>
      </c>
      <c r="J329" s="202">
        <v>7907.98</v>
      </c>
      <c r="K329" s="202">
        <v>-5667</v>
      </c>
      <c r="L329" s="202">
        <v>-0.22</v>
      </c>
      <c r="M329" s="202">
        <v>0</v>
      </c>
      <c r="N329" s="202">
        <v>0</v>
      </c>
      <c r="O329" s="202">
        <v>0</v>
      </c>
      <c r="P329" s="202">
        <v>0</v>
      </c>
      <c r="Q329" s="202">
        <v>0</v>
      </c>
      <c r="R329" s="202">
        <v>0</v>
      </c>
      <c r="S329" s="202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</row>
    <row r="330" spans="1:118" x14ac:dyDescent="0.25">
      <c r="A330" s="33" t="s">
        <v>140</v>
      </c>
      <c r="B330" s="33" t="s">
        <v>209</v>
      </c>
      <c r="C330" s="33">
        <v>7</v>
      </c>
      <c r="D330" s="33" t="s">
        <v>26</v>
      </c>
      <c r="E330" s="207">
        <v>0</v>
      </c>
      <c r="F330" s="207">
        <v>0</v>
      </c>
      <c r="G330" s="203">
        <v>0</v>
      </c>
      <c r="H330" s="202">
        <v>0</v>
      </c>
      <c r="I330" s="203">
        <v>0</v>
      </c>
      <c r="J330" s="202">
        <v>0</v>
      </c>
      <c r="K330" s="202">
        <v>0</v>
      </c>
      <c r="L330" s="202">
        <v>0</v>
      </c>
      <c r="M330" s="202">
        <v>0</v>
      </c>
      <c r="N330" s="202">
        <v>0</v>
      </c>
      <c r="O330" s="202">
        <v>0</v>
      </c>
      <c r="P330" s="202">
        <v>0</v>
      </c>
      <c r="Q330" s="202">
        <v>0</v>
      </c>
      <c r="R330" s="202">
        <v>0</v>
      </c>
      <c r="S330" s="202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</row>
    <row r="331" spans="1:118" x14ac:dyDescent="0.25">
      <c r="A331" s="33" t="s">
        <v>140</v>
      </c>
      <c r="B331" s="33" t="s">
        <v>209</v>
      </c>
      <c r="C331" s="33">
        <v>8</v>
      </c>
      <c r="D331" s="33" t="s">
        <v>27</v>
      </c>
      <c r="E331" s="207">
        <v>-25299406</v>
      </c>
      <c r="F331" s="207">
        <v>-58250230</v>
      </c>
      <c r="G331" s="203">
        <v>12764333</v>
      </c>
      <c r="H331" s="202">
        <v>30576317</v>
      </c>
      <c r="I331" s="203">
        <v>0</v>
      </c>
      <c r="J331" s="202">
        <v>0</v>
      </c>
      <c r="K331" s="202">
        <v>0</v>
      </c>
      <c r="L331" s="202">
        <v>0</v>
      </c>
      <c r="M331" s="202">
        <v>0</v>
      </c>
      <c r="N331" s="202">
        <v>0</v>
      </c>
      <c r="O331" s="202">
        <v>0</v>
      </c>
      <c r="P331" s="202">
        <v>0</v>
      </c>
      <c r="Q331" s="202">
        <v>-12764333</v>
      </c>
      <c r="R331" s="202">
        <v>-30576317</v>
      </c>
      <c r="S331" s="202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</row>
    <row r="332" spans="1:118" x14ac:dyDescent="0.25">
      <c r="A332" s="33" t="s">
        <v>140</v>
      </c>
      <c r="B332" s="33" t="s">
        <v>209</v>
      </c>
      <c r="C332" s="33">
        <v>9</v>
      </c>
      <c r="D332" s="33" t="s">
        <v>28</v>
      </c>
      <c r="E332" s="207">
        <v>0</v>
      </c>
      <c r="F332" s="207">
        <v>0</v>
      </c>
      <c r="G332" s="203">
        <v>0</v>
      </c>
      <c r="H332" s="202">
        <v>0</v>
      </c>
      <c r="I332" s="203">
        <v>0</v>
      </c>
      <c r="J332" s="202">
        <v>0</v>
      </c>
      <c r="K332" s="202">
        <v>0</v>
      </c>
      <c r="L332" s="202">
        <v>0</v>
      </c>
      <c r="M332" s="202">
        <v>0</v>
      </c>
      <c r="N332" s="202">
        <v>0</v>
      </c>
      <c r="O332" s="202">
        <v>0</v>
      </c>
      <c r="P332" s="202">
        <v>0</v>
      </c>
      <c r="Q332" s="202">
        <v>0</v>
      </c>
      <c r="R332" s="202">
        <v>0</v>
      </c>
      <c r="S332" s="202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</row>
    <row r="333" spans="1:118" x14ac:dyDescent="0.25">
      <c r="A333" s="33" t="s">
        <v>140</v>
      </c>
      <c r="B333" s="33" t="s">
        <v>209</v>
      </c>
      <c r="C333" s="33">
        <v>10</v>
      </c>
      <c r="D333" s="33" t="s">
        <v>32</v>
      </c>
      <c r="E333" s="207">
        <v>0</v>
      </c>
      <c r="F333" s="207">
        <v>0</v>
      </c>
      <c r="G333" s="203">
        <v>0</v>
      </c>
      <c r="H333" s="202">
        <v>0</v>
      </c>
      <c r="I333" s="203">
        <v>0</v>
      </c>
      <c r="J333" s="202">
        <v>0</v>
      </c>
      <c r="K333" s="202">
        <v>224609</v>
      </c>
      <c r="L333" s="202">
        <v>491219.88</v>
      </c>
      <c r="M333" s="202">
        <v>0</v>
      </c>
      <c r="N333" s="202">
        <v>0</v>
      </c>
      <c r="O333" s="202">
        <v>0</v>
      </c>
      <c r="P333" s="202">
        <v>0</v>
      </c>
      <c r="Q333" s="202">
        <v>0</v>
      </c>
      <c r="R333" s="202">
        <v>0</v>
      </c>
      <c r="S333" s="202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</row>
    <row r="334" spans="1:118" x14ac:dyDescent="0.25">
      <c r="A334" s="33" t="s">
        <v>140</v>
      </c>
      <c r="B334" s="33" t="s">
        <v>209</v>
      </c>
      <c r="C334" s="33">
        <v>11</v>
      </c>
      <c r="D334" s="33" t="s">
        <v>35</v>
      </c>
      <c r="E334" s="207">
        <v>0</v>
      </c>
      <c r="F334" s="207">
        <v>0</v>
      </c>
      <c r="G334" s="203">
        <v>0</v>
      </c>
      <c r="H334" s="202">
        <v>0</v>
      </c>
      <c r="I334" s="203">
        <v>0</v>
      </c>
      <c r="J334" s="202">
        <v>0</v>
      </c>
      <c r="K334" s="202">
        <v>0</v>
      </c>
      <c r="L334" s="202">
        <v>0</v>
      </c>
      <c r="M334" s="202">
        <v>0</v>
      </c>
      <c r="N334" s="202">
        <v>0</v>
      </c>
      <c r="O334" s="202">
        <v>0</v>
      </c>
      <c r="P334" s="202">
        <v>0</v>
      </c>
      <c r="Q334" s="202">
        <v>0</v>
      </c>
      <c r="R334" s="202">
        <v>0</v>
      </c>
      <c r="S334" s="202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</row>
    <row r="335" spans="1:118" x14ac:dyDescent="0.25">
      <c r="A335" s="33" t="s">
        <v>140</v>
      </c>
      <c r="B335" s="33" t="s">
        <v>209</v>
      </c>
      <c r="C335" s="33">
        <v>12</v>
      </c>
      <c r="D335" s="33" t="s">
        <v>36</v>
      </c>
      <c r="E335" s="207">
        <v>0</v>
      </c>
      <c r="F335" s="207">
        <v>0</v>
      </c>
      <c r="G335" s="203">
        <v>0</v>
      </c>
      <c r="H335" s="202">
        <v>0</v>
      </c>
      <c r="I335" s="203">
        <v>0</v>
      </c>
      <c r="J335" s="202">
        <v>0</v>
      </c>
      <c r="K335" s="202">
        <v>0</v>
      </c>
      <c r="L335" s="202">
        <v>0</v>
      </c>
      <c r="M335" s="202">
        <v>0</v>
      </c>
      <c r="N335" s="202">
        <v>0</v>
      </c>
      <c r="O335" s="202">
        <v>0</v>
      </c>
      <c r="P335" s="202">
        <v>0</v>
      </c>
      <c r="Q335" s="202">
        <v>0</v>
      </c>
      <c r="R335" s="202">
        <v>0</v>
      </c>
      <c r="S335" s="202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</row>
    <row r="336" spans="1:118" x14ac:dyDescent="0.25">
      <c r="A336" s="33" t="s">
        <v>140</v>
      </c>
      <c r="B336" s="33" t="s">
        <v>209</v>
      </c>
      <c r="C336" s="33">
        <v>13</v>
      </c>
      <c r="D336" s="33" t="s">
        <v>39</v>
      </c>
      <c r="E336" s="207">
        <v>0</v>
      </c>
      <c r="F336" s="207">
        <v>0</v>
      </c>
      <c r="G336" s="203">
        <v>0</v>
      </c>
      <c r="H336" s="202">
        <v>0</v>
      </c>
      <c r="I336" s="203">
        <v>0</v>
      </c>
      <c r="J336" s="202">
        <v>0</v>
      </c>
      <c r="K336" s="202">
        <v>0</v>
      </c>
      <c r="L336" s="202">
        <v>0</v>
      </c>
      <c r="M336" s="202">
        <v>0</v>
      </c>
      <c r="N336" s="202">
        <v>0</v>
      </c>
      <c r="O336" s="202">
        <v>0</v>
      </c>
      <c r="P336" s="202">
        <v>0</v>
      </c>
      <c r="Q336" s="202">
        <v>0</v>
      </c>
      <c r="R336" s="202">
        <v>0</v>
      </c>
      <c r="S336" s="202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</row>
    <row r="337" spans="1:118" x14ac:dyDescent="0.25">
      <c r="A337" s="33" t="s">
        <v>140</v>
      </c>
      <c r="B337" s="33" t="s">
        <v>209</v>
      </c>
      <c r="C337" s="33">
        <v>14</v>
      </c>
      <c r="D337" s="33" t="s">
        <v>40</v>
      </c>
      <c r="E337" s="207">
        <v>0</v>
      </c>
      <c r="F337" s="207">
        <v>0</v>
      </c>
      <c r="G337" s="203">
        <v>0</v>
      </c>
      <c r="H337" s="202">
        <v>0</v>
      </c>
      <c r="I337" s="203">
        <v>0</v>
      </c>
      <c r="J337" s="202">
        <v>0</v>
      </c>
      <c r="K337" s="202">
        <v>0</v>
      </c>
      <c r="L337" s="202">
        <v>0</v>
      </c>
      <c r="M337" s="202">
        <v>0</v>
      </c>
      <c r="N337" s="202">
        <v>0</v>
      </c>
      <c r="O337" s="202">
        <v>0</v>
      </c>
      <c r="P337" s="202">
        <v>0</v>
      </c>
      <c r="Q337" s="202">
        <v>0</v>
      </c>
      <c r="R337" s="202">
        <v>0</v>
      </c>
      <c r="S337" s="202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</row>
    <row r="338" spans="1:118" x14ac:dyDescent="0.25">
      <c r="A338" s="33" t="s">
        <v>140</v>
      </c>
      <c r="B338" s="33" t="s">
        <v>209</v>
      </c>
      <c r="C338" s="33">
        <v>15</v>
      </c>
      <c r="D338" s="33" t="s">
        <v>41</v>
      </c>
      <c r="E338" s="207">
        <v>0</v>
      </c>
      <c r="F338" s="207">
        <v>0</v>
      </c>
      <c r="G338" s="203">
        <v>0</v>
      </c>
      <c r="H338" s="202">
        <v>0</v>
      </c>
      <c r="I338" s="203">
        <v>0</v>
      </c>
      <c r="J338" s="202">
        <v>0</v>
      </c>
      <c r="K338" s="202">
        <v>0</v>
      </c>
      <c r="L338" s="202">
        <v>0</v>
      </c>
      <c r="M338" s="202">
        <v>0</v>
      </c>
      <c r="N338" s="202">
        <v>0</v>
      </c>
      <c r="O338" s="202">
        <v>0</v>
      </c>
      <c r="P338" s="202">
        <v>0</v>
      </c>
      <c r="Q338" s="202">
        <v>0</v>
      </c>
      <c r="R338" s="202">
        <v>0</v>
      </c>
      <c r="S338" s="202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</row>
    <row r="339" spans="1:118" x14ac:dyDescent="0.25">
      <c r="A339" s="33" t="s">
        <v>140</v>
      </c>
      <c r="B339" s="33" t="s">
        <v>209</v>
      </c>
      <c r="C339" s="33">
        <v>16</v>
      </c>
      <c r="D339" s="33" t="s">
        <v>42</v>
      </c>
      <c r="E339" s="207">
        <v>0</v>
      </c>
      <c r="F339" s="207">
        <v>0</v>
      </c>
      <c r="G339" s="203">
        <v>0</v>
      </c>
      <c r="H339" s="202">
        <v>0</v>
      </c>
      <c r="I339" s="203">
        <v>0</v>
      </c>
      <c r="J339" s="202">
        <v>0</v>
      </c>
      <c r="K339" s="202">
        <v>0</v>
      </c>
      <c r="L339" s="202">
        <v>0</v>
      </c>
      <c r="M339" s="202">
        <v>0</v>
      </c>
      <c r="N339" s="202">
        <v>0</v>
      </c>
      <c r="O339" s="202">
        <v>0</v>
      </c>
      <c r="P339" s="202">
        <v>0</v>
      </c>
      <c r="Q339" s="202">
        <v>0</v>
      </c>
      <c r="R339" s="202">
        <v>0</v>
      </c>
      <c r="S339" s="202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</row>
    <row r="340" spans="1:118" x14ac:dyDescent="0.25">
      <c r="A340" s="33" t="s">
        <v>140</v>
      </c>
      <c r="B340" s="33" t="s">
        <v>209</v>
      </c>
      <c r="C340" s="33">
        <v>17</v>
      </c>
      <c r="D340" s="33" t="s">
        <v>126</v>
      </c>
      <c r="E340" s="207">
        <v>0</v>
      </c>
      <c r="F340" s="207">
        <v>0</v>
      </c>
      <c r="G340" s="203">
        <v>0</v>
      </c>
      <c r="H340" s="202">
        <v>0</v>
      </c>
      <c r="I340" s="203">
        <v>0</v>
      </c>
      <c r="J340" s="202">
        <v>0</v>
      </c>
      <c r="K340" s="202">
        <v>0</v>
      </c>
      <c r="L340" s="202">
        <v>0</v>
      </c>
      <c r="M340" s="202">
        <v>0</v>
      </c>
      <c r="N340" s="202">
        <v>0</v>
      </c>
      <c r="O340" s="202">
        <v>0</v>
      </c>
      <c r="P340" s="202">
        <v>0</v>
      </c>
      <c r="Q340" s="202">
        <v>0</v>
      </c>
      <c r="R340" s="202">
        <v>0</v>
      </c>
      <c r="S340" s="202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</row>
    <row r="341" spans="1:118" s="204" customFormat="1" x14ac:dyDescent="0.25">
      <c r="A341" s="204" t="s">
        <v>140</v>
      </c>
      <c r="B341" s="204" t="s">
        <v>209</v>
      </c>
      <c r="C341" s="204">
        <v>18</v>
      </c>
      <c r="D341" s="204" t="s">
        <v>127</v>
      </c>
      <c r="E341" s="207">
        <v>0</v>
      </c>
      <c r="F341" s="207">
        <v>0</v>
      </c>
      <c r="G341" s="203">
        <v>0</v>
      </c>
      <c r="H341" s="203">
        <v>0</v>
      </c>
      <c r="I341" s="203">
        <v>0</v>
      </c>
      <c r="J341" s="203">
        <v>0</v>
      </c>
      <c r="K341" s="203">
        <v>0</v>
      </c>
      <c r="L341" s="203">
        <v>0</v>
      </c>
      <c r="M341" s="203">
        <v>0</v>
      </c>
      <c r="N341" s="203">
        <v>0</v>
      </c>
      <c r="O341" s="203">
        <v>0</v>
      </c>
      <c r="P341" s="203">
        <v>0</v>
      </c>
      <c r="Q341" s="203">
        <v>0</v>
      </c>
      <c r="R341" s="203">
        <v>0</v>
      </c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  <c r="AI341" s="203"/>
      <c r="AJ341" s="203"/>
      <c r="AK341" s="203"/>
      <c r="AL341" s="203"/>
      <c r="AM341" s="203"/>
      <c r="AN341" s="203"/>
      <c r="AO341" s="203"/>
      <c r="AP341" s="203"/>
      <c r="AQ341" s="203"/>
      <c r="AR341" s="203"/>
      <c r="AS341" s="203"/>
      <c r="AT341" s="203"/>
      <c r="AU341" s="203"/>
      <c r="AV341" s="203"/>
      <c r="AW341" s="203"/>
      <c r="AX341" s="203"/>
      <c r="AY341" s="203"/>
      <c r="AZ341" s="203"/>
      <c r="BA341" s="203"/>
      <c r="BB341" s="203"/>
      <c r="BC341" s="203"/>
      <c r="BD341" s="203"/>
      <c r="BE341" s="203"/>
      <c r="BF341" s="203"/>
      <c r="BG341" s="203"/>
      <c r="BH341" s="203"/>
      <c r="BI341" s="203"/>
      <c r="BJ341" s="203"/>
      <c r="BK341" s="203"/>
      <c r="BL341" s="203"/>
      <c r="BM341" s="203"/>
      <c r="BN341" s="203"/>
      <c r="BO341" s="203"/>
      <c r="BP341" s="203"/>
      <c r="BQ341" s="203"/>
      <c r="BR341" s="203"/>
      <c r="BS341" s="203"/>
      <c r="BT341" s="203"/>
      <c r="BU341" s="203"/>
      <c r="BV341" s="203"/>
      <c r="BW341" s="203"/>
      <c r="BX341" s="203"/>
      <c r="BY341" s="203"/>
      <c r="BZ341" s="203"/>
      <c r="CA341" s="203"/>
      <c r="CB341" s="203"/>
      <c r="CC341" s="203"/>
      <c r="CD341" s="203"/>
      <c r="CE341" s="203"/>
      <c r="CF341" s="203"/>
      <c r="CG341" s="203"/>
      <c r="CH341" s="203"/>
      <c r="CI341" s="203"/>
      <c r="CJ341" s="203"/>
      <c r="CK341" s="203"/>
      <c r="CL341" s="203"/>
      <c r="CM341" s="203"/>
      <c r="CN341" s="203"/>
      <c r="CO341" s="203"/>
      <c r="CP341" s="203"/>
      <c r="CQ341" s="203"/>
      <c r="CR341" s="203"/>
      <c r="CS341" s="203"/>
      <c r="CT341" s="203"/>
      <c r="CU341" s="203"/>
      <c r="CV341" s="203"/>
      <c r="CW341" s="203"/>
      <c r="CX341" s="203"/>
      <c r="CY341" s="203"/>
      <c r="CZ341" s="203"/>
      <c r="DA341" s="203"/>
      <c r="DB341" s="203"/>
      <c r="DC341" s="203"/>
      <c r="DD341" s="203"/>
      <c r="DE341" s="203"/>
      <c r="DF341" s="203"/>
      <c r="DG341" s="203"/>
      <c r="DH341" s="203"/>
      <c r="DI341" s="203"/>
      <c r="DJ341" s="203"/>
      <c r="DK341" s="203"/>
      <c r="DL341" s="203"/>
      <c r="DM341" s="203"/>
      <c r="DN341" s="203"/>
    </row>
    <row r="342" spans="1:118" x14ac:dyDescent="0.25">
      <c r="A342" s="33" t="s">
        <v>140</v>
      </c>
      <c r="B342" s="33" t="s">
        <v>209</v>
      </c>
      <c r="C342" s="33">
        <v>19</v>
      </c>
      <c r="D342" s="33" t="s">
        <v>47</v>
      </c>
      <c r="E342" s="207">
        <v>0</v>
      </c>
      <c r="F342" s="207">
        <v>0</v>
      </c>
      <c r="G342" s="203">
        <v>0</v>
      </c>
      <c r="H342" s="202">
        <v>0</v>
      </c>
      <c r="I342" s="203">
        <v>0</v>
      </c>
      <c r="J342" s="202">
        <v>0</v>
      </c>
      <c r="K342" s="202">
        <v>0</v>
      </c>
      <c r="L342" s="202">
        <v>0</v>
      </c>
      <c r="M342" s="202">
        <v>0</v>
      </c>
      <c r="N342" s="202">
        <v>0</v>
      </c>
      <c r="O342" s="202">
        <v>0</v>
      </c>
      <c r="P342" s="202">
        <v>0</v>
      </c>
      <c r="Q342" s="202">
        <v>0</v>
      </c>
      <c r="R342" s="202">
        <v>0</v>
      </c>
      <c r="S342" s="202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</row>
    <row r="343" spans="1:118" x14ac:dyDescent="0.25">
      <c r="A343" s="33" t="s">
        <v>140</v>
      </c>
      <c r="B343" s="33" t="s">
        <v>209</v>
      </c>
      <c r="C343" s="33">
        <v>20</v>
      </c>
      <c r="D343" s="33" t="s">
        <v>128</v>
      </c>
      <c r="E343" s="207">
        <v>0</v>
      </c>
      <c r="F343" s="207">
        <v>0</v>
      </c>
      <c r="G343" s="203">
        <v>0</v>
      </c>
      <c r="H343" s="202">
        <v>0</v>
      </c>
      <c r="I343" s="203">
        <v>0</v>
      </c>
      <c r="J343" s="202">
        <v>0</v>
      </c>
      <c r="K343" s="202">
        <v>0</v>
      </c>
      <c r="L343" s="202">
        <v>0</v>
      </c>
      <c r="M343" s="202">
        <v>0</v>
      </c>
      <c r="N343" s="202">
        <v>0</v>
      </c>
      <c r="O343" s="202">
        <v>0</v>
      </c>
      <c r="P343" s="202">
        <v>0</v>
      </c>
      <c r="Q343" s="202">
        <v>0</v>
      </c>
      <c r="R343" s="202">
        <v>0</v>
      </c>
      <c r="S343" s="202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</row>
    <row r="344" spans="1:118" x14ac:dyDescent="0.25">
      <c r="A344" s="33" t="s">
        <v>140</v>
      </c>
      <c r="B344" s="33" t="s">
        <v>209</v>
      </c>
      <c r="C344" s="33">
        <v>21</v>
      </c>
      <c r="D344" s="33" t="s">
        <v>129</v>
      </c>
      <c r="E344" s="207">
        <v>0</v>
      </c>
      <c r="F344" s="207">
        <v>0</v>
      </c>
      <c r="G344" s="203">
        <v>0</v>
      </c>
      <c r="H344" s="202">
        <v>0</v>
      </c>
      <c r="I344" s="203">
        <v>0</v>
      </c>
      <c r="J344" s="202">
        <v>0</v>
      </c>
      <c r="K344" s="202">
        <v>0</v>
      </c>
      <c r="L344" s="202">
        <v>0</v>
      </c>
      <c r="M344" s="202">
        <v>0</v>
      </c>
      <c r="N344" s="202">
        <v>0</v>
      </c>
      <c r="O344" s="202">
        <v>0</v>
      </c>
      <c r="P344" s="202">
        <v>0</v>
      </c>
      <c r="Q344" s="202">
        <v>0</v>
      </c>
      <c r="R344" s="202">
        <v>0</v>
      </c>
      <c r="S344" s="202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</row>
    <row r="345" spans="1:118" x14ac:dyDescent="0.25">
      <c r="A345" s="33" t="s">
        <v>140</v>
      </c>
      <c r="B345" s="33" t="s">
        <v>209</v>
      </c>
      <c r="C345" s="33">
        <v>22</v>
      </c>
      <c r="D345" s="33" t="s">
        <v>130</v>
      </c>
      <c r="E345" s="207">
        <v>180896</v>
      </c>
      <c r="F345" s="207">
        <v>395619.55200000003</v>
      </c>
      <c r="G345" s="203">
        <v>106933</v>
      </c>
      <c r="H345" s="202">
        <v>233862.47100000002</v>
      </c>
      <c r="I345" s="203">
        <v>0</v>
      </c>
      <c r="J345" s="202">
        <v>0</v>
      </c>
      <c r="K345" s="202">
        <v>-224609</v>
      </c>
      <c r="L345" s="202">
        <v>-491219.88299999997</v>
      </c>
      <c r="M345" s="202">
        <v>0</v>
      </c>
      <c r="N345" s="202">
        <v>0</v>
      </c>
      <c r="O345" s="202">
        <v>0</v>
      </c>
      <c r="P345" s="202">
        <v>0</v>
      </c>
      <c r="Q345" s="202">
        <v>-59654</v>
      </c>
      <c r="R345" s="202">
        <v>-130463.298</v>
      </c>
      <c r="S345" s="202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</row>
    <row r="346" spans="1:118" x14ac:dyDescent="0.25">
      <c r="A346" s="33" t="s">
        <v>140</v>
      </c>
      <c r="B346" s="33" t="s">
        <v>209</v>
      </c>
      <c r="C346" s="33">
        <v>23</v>
      </c>
      <c r="D346" s="33" t="s">
        <v>131</v>
      </c>
      <c r="E346" s="207">
        <v>0</v>
      </c>
      <c r="F346" s="207">
        <v>0</v>
      </c>
      <c r="G346" s="203">
        <v>0</v>
      </c>
      <c r="H346" s="202">
        <v>0</v>
      </c>
      <c r="I346" s="203">
        <v>0</v>
      </c>
      <c r="J346" s="202">
        <v>0</v>
      </c>
      <c r="K346" s="202">
        <v>-224609</v>
      </c>
      <c r="L346" s="202">
        <v>-491219.88</v>
      </c>
      <c r="M346" s="202">
        <v>0</v>
      </c>
      <c r="N346" s="202">
        <v>0</v>
      </c>
      <c r="O346" s="202">
        <v>0</v>
      </c>
      <c r="P346" s="202">
        <v>0</v>
      </c>
      <c r="Q346" s="202">
        <v>0</v>
      </c>
      <c r="R346" s="202">
        <v>0</v>
      </c>
      <c r="S346" s="202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</row>
    <row r="347" spans="1:118" x14ac:dyDescent="0.25">
      <c r="A347" s="33" t="s">
        <v>140</v>
      </c>
      <c r="B347" s="33" t="s">
        <v>209</v>
      </c>
      <c r="C347" s="33">
        <v>24</v>
      </c>
      <c r="D347" s="33" t="s">
        <v>55</v>
      </c>
      <c r="E347" s="207">
        <v>-6886328</v>
      </c>
      <c r="F347" s="207">
        <v>-107989.63</v>
      </c>
      <c r="G347" s="203">
        <v>-324291</v>
      </c>
      <c r="H347" s="202">
        <v>2759811.65</v>
      </c>
      <c r="I347" s="203">
        <v>0</v>
      </c>
      <c r="J347" s="202">
        <v>-2781534</v>
      </c>
      <c r="K347" s="202">
        <v>0</v>
      </c>
      <c r="L347" s="202">
        <v>0</v>
      </c>
      <c r="M347" s="202">
        <v>0</v>
      </c>
      <c r="N347" s="202">
        <v>0</v>
      </c>
      <c r="O347" s="202">
        <v>0</v>
      </c>
      <c r="P347" s="202">
        <v>0</v>
      </c>
      <c r="Q347" s="202">
        <v>0</v>
      </c>
      <c r="R347" s="202">
        <v>0</v>
      </c>
      <c r="S347" s="202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</row>
    <row r="348" spans="1:118" x14ac:dyDescent="0.25">
      <c r="A348" s="33" t="s">
        <v>140</v>
      </c>
      <c r="B348" s="33" t="s">
        <v>209</v>
      </c>
      <c r="C348" s="33">
        <v>25</v>
      </c>
      <c r="D348" s="33" t="s">
        <v>56</v>
      </c>
      <c r="E348" s="207">
        <v>0</v>
      </c>
      <c r="F348" s="207">
        <v>-2062533.76</v>
      </c>
      <c r="G348" s="203">
        <v>0</v>
      </c>
      <c r="H348" s="202">
        <v>-719001.24</v>
      </c>
      <c r="I348" s="203">
        <v>0</v>
      </c>
      <c r="J348" s="202">
        <v>0</v>
      </c>
      <c r="K348" s="202">
        <v>0</v>
      </c>
      <c r="L348" s="202">
        <v>0</v>
      </c>
      <c r="M348" s="202">
        <v>0</v>
      </c>
      <c r="N348" s="202">
        <v>0</v>
      </c>
      <c r="O348" s="202">
        <v>0</v>
      </c>
      <c r="P348" s="202">
        <v>0</v>
      </c>
      <c r="Q348" s="202">
        <v>0</v>
      </c>
      <c r="R348" s="202">
        <v>0</v>
      </c>
      <c r="S348" s="202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</row>
    <row r="349" spans="1:118" x14ac:dyDescent="0.25">
      <c r="A349" s="33" t="s">
        <v>140</v>
      </c>
      <c r="B349" s="33" t="s">
        <v>209</v>
      </c>
      <c r="C349" s="33">
        <v>26</v>
      </c>
      <c r="D349" s="33" t="s">
        <v>132</v>
      </c>
      <c r="E349" s="207">
        <v>0</v>
      </c>
      <c r="F349" s="207">
        <v>0</v>
      </c>
      <c r="G349" s="203">
        <v>0</v>
      </c>
      <c r="H349" s="202">
        <v>0</v>
      </c>
      <c r="I349" s="203">
        <v>0</v>
      </c>
      <c r="J349" s="202">
        <v>0</v>
      </c>
      <c r="K349" s="202">
        <v>0</v>
      </c>
      <c r="L349" s="202">
        <v>0</v>
      </c>
      <c r="M349" s="202">
        <v>0</v>
      </c>
      <c r="N349" s="202">
        <v>0</v>
      </c>
      <c r="O349" s="202">
        <v>0</v>
      </c>
      <c r="P349" s="202">
        <v>0</v>
      </c>
      <c r="Q349" s="202">
        <v>0</v>
      </c>
      <c r="R349" s="202">
        <v>0</v>
      </c>
      <c r="S349" s="202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</row>
    <row r="350" spans="1:118" x14ac:dyDescent="0.25">
      <c r="A350" s="33" t="s">
        <v>140</v>
      </c>
      <c r="B350" s="33" t="s">
        <v>209</v>
      </c>
      <c r="C350" s="33">
        <v>27</v>
      </c>
      <c r="D350" s="33" t="s">
        <v>133</v>
      </c>
      <c r="E350" s="207">
        <v>0</v>
      </c>
      <c r="F350" s="207">
        <v>0</v>
      </c>
      <c r="G350" s="203">
        <v>0</v>
      </c>
      <c r="H350" s="202">
        <v>0</v>
      </c>
      <c r="I350" s="203">
        <v>0</v>
      </c>
      <c r="J350" s="202">
        <v>0</v>
      </c>
      <c r="K350" s="202">
        <v>0</v>
      </c>
      <c r="L350" s="202">
        <v>0</v>
      </c>
      <c r="M350" s="202">
        <v>0</v>
      </c>
      <c r="N350" s="202">
        <v>0</v>
      </c>
      <c r="O350" s="202">
        <v>0</v>
      </c>
      <c r="P350" s="202">
        <v>0</v>
      </c>
      <c r="Q350" s="202">
        <v>0</v>
      </c>
      <c r="R350" s="202">
        <v>0</v>
      </c>
      <c r="S350" s="202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</row>
    <row r="351" spans="1:118" x14ac:dyDescent="0.25">
      <c r="A351" s="33" t="s">
        <v>140</v>
      </c>
      <c r="B351" s="33" t="s">
        <v>209</v>
      </c>
      <c r="C351" s="33">
        <v>28</v>
      </c>
      <c r="D351" s="33" t="s">
        <v>134</v>
      </c>
      <c r="E351" s="208">
        <v>0</v>
      </c>
      <c r="F351" s="208">
        <v>0</v>
      </c>
      <c r="G351" s="209">
        <v>0</v>
      </c>
      <c r="H351" s="210">
        <v>0</v>
      </c>
      <c r="I351" s="209">
        <v>0</v>
      </c>
      <c r="J351" s="210">
        <v>0</v>
      </c>
      <c r="K351" s="210">
        <v>0</v>
      </c>
      <c r="L351" s="202">
        <v>0</v>
      </c>
      <c r="M351" s="202">
        <v>0</v>
      </c>
      <c r="N351" s="202">
        <v>0</v>
      </c>
      <c r="O351" s="202">
        <v>0</v>
      </c>
      <c r="P351" s="202">
        <v>0</v>
      </c>
      <c r="Q351" s="202">
        <v>0</v>
      </c>
      <c r="R351" s="202">
        <v>0</v>
      </c>
      <c r="S351" s="202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</row>
    <row r="352" spans="1:118" x14ac:dyDescent="0.25">
      <c r="A352" s="33" t="s">
        <v>140</v>
      </c>
      <c r="B352" s="33" t="s">
        <v>209</v>
      </c>
      <c r="C352" s="33">
        <v>29</v>
      </c>
      <c r="D352" s="33" t="s">
        <v>135</v>
      </c>
      <c r="E352" s="207">
        <v>0</v>
      </c>
      <c r="F352" s="207">
        <v>0</v>
      </c>
      <c r="G352" s="203">
        <v>0</v>
      </c>
      <c r="H352" s="202">
        <v>0</v>
      </c>
      <c r="I352" s="203">
        <v>0</v>
      </c>
      <c r="J352" s="202">
        <v>0</v>
      </c>
      <c r="K352" s="202">
        <v>0</v>
      </c>
      <c r="L352" s="202">
        <v>0</v>
      </c>
      <c r="M352" s="202">
        <v>0</v>
      </c>
      <c r="N352" s="202">
        <v>0</v>
      </c>
      <c r="O352" s="202">
        <v>0</v>
      </c>
      <c r="P352" s="202">
        <v>0</v>
      </c>
      <c r="Q352" s="202">
        <v>0</v>
      </c>
      <c r="R352" s="202">
        <v>0</v>
      </c>
      <c r="S352" s="202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</row>
    <row r="353" spans="1:118" x14ac:dyDescent="0.25">
      <c r="A353" s="33" t="s">
        <v>140</v>
      </c>
      <c r="B353" s="33" t="s">
        <v>209</v>
      </c>
      <c r="C353" s="33">
        <v>30</v>
      </c>
      <c r="D353" s="33" t="s">
        <v>136</v>
      </c>
      <c r="E353" s="207">
        <v>0</v>
      </c>
      <c r="F353" s="207">
        <v>0</v>
      </c>
      <c r="G353" s="203">
        <v>0</v>
      </c>
      <c r="H353" s="202">
        <v>0</v>
      </c>
      <c r="I353" s="203">
        <v>0</v>
      </c>
      <c r="J353" s="202">
        <v>0</v>
      </c>
      <c r="K353" s="202">
        <v>0</v>
      </c>
      <c r="L353" s="202">
        <v>0</v>
      </c>
      <c r="M353" s="202">
        <v>0</v>
      </c>
      <c r="N353" s="202">
        <v>0</v>
      </c>
      <c r="O353" s="202">
        <v>0</v>
      </c>
      <c r="P353" s="202">
        <v>0</v>
      </c>
      <c r="Q353" s="202">
        <v>0</v>
      </c>
      <c r="R353" s="202">
        <v>0</v>
      </c>
      <c r="S353" s="202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</row>
    <row r="354" spans="1:118" x14ac:dyDescent="0.25">
      <c r="A354" s="33" t="s">
        <v>140</v>
      </c>
      <c r="B354" s="33" t="s">
        <v>209</v>
      </c>
      <c r="C354" s="33">
        <v>31</v>
      </c>
      <c r="D354" s="33" t="s">
        <v>137</v>
      </c>
      <c r="E354" s="207">
        <v>0</v>
      </c>
      <c r="F354" s="207">
        <v>0</v>
      </c>
      <c r="G354" s="203">
        <v>0</v>
      </c>
      <c r="H354" s="202">
        <v>0</v>
      </c>
      <c r="I354" s="203">
        <v>0</v>
      </c>
      <c r="J354" s="202">
        <v>0</v>
      </c>
      <c r="K354" s="202">
        <v>0</v>
      </c>
      <c r="L354" s="202">
        <v>0</v>
      </c>
      <c r="M354" s="202">
        <v>0</v>
      </c>
      <c r="N354" s="202">
        <v>0</v>
      </c>
      <c r="O354" s="202">
        <v>0</v>
      </c>
      <c r="P354" s="202">
        <v>0</v>
      </c>
      <c r="Q354" s="202">
        <v>0</v>
      </c>
      <c r="R354" s="202">
        <v>0</v>
      </c>
      <c r="S354" s="202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</row>
    <row r="355" spans="1:118" x14ac:dyDescent="0.25">
      <c r="A355" s="33" t="s">
        <v>140</v>
      </c>
      <c r="B355" s="33" t="s">
        <v>209</v>
      </c>
      <c r="C355" s="33">
        <v>32</v>
      </c>
      <c r="D355" s="33" t="s">
        <v>70</v>
      </c>
      <c r="E355" s="207">
        <v>0</v>
      </c>
      <c r="F355" s="207">
        <v>0</v>
      </c>
      <c r="G355" s="203">
        <v>0</v>
      </c>
      <c r="H355" s="202">
        <v>0</v>
      </c>
      <c r="I355" s="203">
        <v>0</v>
      </c>
      <c r="J355" s="202">
        <v>0</v>
      </c>
      <c r="K355" s="202">
        <v>0</v>
      </c>
      <c r="L355" s="202">
        <v>0</v>
      </c>
      <c r="M355" s="202">
        <v>0</v>
      </c>
      <c r="N355" s="202">
        <v>0</v>
      </c>
      <c r="O355" s="202">
        <v>0</v>
      </c>
      <c r="P355" s="202">
        <v>0</v>
      </c>
      <c r="Q355" s="202">
        <v>0</v>
      </c>
      <c r="R355" s="202">
        <v>0</v>
      </c>
      <c r="S355" s="202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</row>
    <row r="356" spans="1:118" x14ac:dyDescent="0.25">
      <c r="A356" s="33" t="s">
        <v>140</v>
      </c>
      <c r="B356" s="33" t="s">
        <v>209</v>
      </c>
      <c r="C356" s="33">
        <v>33</v>
      </c>
      <c r="D356" s="33" t="s">
        <v>71</v>
      </c>
      <c r="E356" s="207">
        <v>0</v>
      </c>
      <c r="F356" s="207">
        <v>0</v>
      </c>
      <c r="G356" s="203">
        <v>0</v>
      </c>
      <c r="H356" s="202">
        <v>0</v>
      </c>
      <c r="I356" s="203">
        <v>0</v>
      </c>
      <c r="J356" s="202">
        <v>0</v>
      </c>
      <c r="K356" s="202">
        <v>0</v>
      </c>
      <c r="L356" s="202">
        <v>0</v>
      </c>
      <c r="M356" s="202">
        <v>0</v>
      </c>
      <c r="N356" s="202">
        <v>0</v>
      </c>
      <c r="O356" s="202">
        <v>0</v>
      </c>
      <c r="P356" s="202">
        <v>0</v>
      </c>
      <c r="Q356" s="202">
        <v>0</v>
      </c>
      <c r="R356" s="202">
        <v>0</v>
      </c>
      <c r="S356" s="202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</row>
    <row r="357" spans="1:118" x14ac:dyDescent="0.25">
      <c r="A357" s="33" t="s">
        <v>140</v>
      </c>
      <c r="B357" s="33" t="s">
        <v>209</v>
      </c>
      <c r="C357" s="33">
        <v>34</v>
      </c>
      <c r="D357" s="33" t="s">
        <v>72</v>
      </c>
      <c r="E357" s="207">
        <v>0</v>
      </c>
      <c r="F357" s="207">
        <v>0</v>
      </c>
      <c r="G357" s="203">
        <v>0</v>
      </c>
      <c r="H357" s="202">
        <v>0</v>
      </c>
      <c r="I357" s="203">
        <v>0</v>
      </c>
      <c r="J357" s="202">
        <v>0</v>
      </c>
      <c r="K357" s="202">
        <v>0</v>
      </c>
      <c r="L357" s="202">
        <v>0</v>
      </c>
      <c r="M357" s="202">
        <v>0</v>
      </c>
      <c r="N357" s="202">
        <v>0</v>
      </c>
      <c r="O357" s="202">
        <v>0</v>
      </c>
      <c r="P357" s="202">
        <v>0</v>
      </c>
      <c r="Q357" s="202">
        <v>0</v>
      </c>
      <c r="R357" s="202">
        <v>0</v>
      </c>
      <c r="S357" s="202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</row>
    <row r="358" spans="1:118" x14ac:dyDescent="0.25">
      <c r="A358" s="33" t="s">
        <v>140</v>
      </c>
      <c r="B358" s="33" t="s">
        <v>209</v>
      </c>
      <c r="C358" s="33">
        <v>35</v>
      </c>
      <c r="D358" s="33" t="s">
        <v>73</v>
      </c>
      <c r="E358" s="207">
        <v>0</v>
      </c>
      <c r="F358" s="207">
        <v>0</v>
      </c>
      <c r="G358" s="203">
        <v>0</v>
      </c>
      <c r="H358" s="202">
        <v>0</v>
      </c>
      <c r="I358" s="203">
        <v>0</v>
      </c>
      <c r="J358" s="202">
        <v>0</v>
      </c>
      <c r="K358" s="202">
        <v>0</v>
      </c>
      <c r="L358" s="202">
        <v>0</v>
      </c>
      <c r="M358" s="202">
        <v>0</v>
      </c>
      <c r="N358" s="202">
        <v>0</v>
      </c>
      <c r="O358" s="202">
        <v>0</v>
      </c>
      <c r="P358" s="202">
        <v>0</v>
      </c>
      <c r="Q358" s="202">
        <v>0</v>
      </c>
      <c r="R358" s="202">
        <v>0</v>
      </c>
      <c r="S358" s="202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</row>
    <row r="359" spans="1:118" x14ac:dyDescent="0.25">
      <c r="A359" s="33" t="s">
        <v>140</v>
      </c>
      <c r="B359" s="33" t="s">
        <v>209</v>
      </c>
      <c r="C359" s="33">
        <v>36</v>
      </c>
      <c r="D359" s="33" t="s">
        <v>74</v>
      </c>
      <c r="E359" s="207">
        <v>0</v>
      </c>
      <c r="F359" s="207">
        <v>0</v>
      </c>
      <c r="G359" s="203">
        <v>0</v>
      </c>
      <c r="H359" s="202">
        <v>0</v>
      </c>
      <c r="I359" s="203">
        <v>0</v>
      </c>
      <c r="J359" s="202">
        <v>0</v>
      </c>
      <c r="K359" s="202">
        <v>0</v>
      </c>
      <c r="L359" s="202">
        <v>0</v>
      </c>
      <c r="M359" s="202">
        <v>0</v>
      </c>
      <c r="N359" s="202">
        <v>0</v>
      </c>
      <c r="O359" s="202">
        <v>0</v>
      </c>
      <c r="P359" s="202">
        <v>0</v>
      </c>
      <c r="Q359" s="202">
        <v>0</v>
      </c>
      <c r="R359" s="202">
        <v>0</v>
      </c>
      <c r="S359" s="202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</row>
    <row r="360" spans="1:118" x14ac:dyDescent="0.25">
      <c r="A360" s="33" t="s">
        <v>140</v>
      </c>
      <c r="B360" s="33" t="s">
        <v>209</v>
      </c>
      <c r="C360" s="33">
        <v>37</v>
      </c>
      <c r="D360" s="33" t="s">
        <v>75</v>
      </c>
      <c r="E360" s="207">
        <v>0</v>
      </c>
      <c r="F360" s="207">
        <v>0</v>
      </c>
      <c r="G360" s="203">
        <v>0</v>
      </c>
      <c r="H360" s="202">
        <v>0</v>
      </c>
      <c r="I360" s="203">
        <v>0</v>
      </c>
      <c r="J360" s="202">
        <v>0</v>
      </c>
      <c r="K360" s="202">
        <v>0</v>
      </c>
      <c r="L360" s="202">
        <v>0</v>
      </c>
      <c r="M360" s="202">
        <v>0</v>
      </c>
      <c r="N360" s="202">
        <v>0</v>
      </c>
      <c r="O360" s="202">
        <v>0</v>
      </c>
      <c r="P360" s="202">
        <v>0</v>
      </c>
      <c r="Q360" s="202">
        <v>0</v>
      </c>
      <c r="R360" s="202">
        <v>0</v>
      </c>
      <c r="S360" s="202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</row>
    <row r="361" spans="1:118" x14ac:dyDescent="0.25">
      <c r="A361" s="33" t="s">
        <v>140</v>
      </c>
      <c r="B361" s="33" t="s">
        <v>209</v>
      </c>
      <c r="C361" s="33">
        <v>38</v>
      </c>
      <c r="D361" s="33" t="s">
        <v>76</v>
      </c>
      <c r="E361" s="207">
        <v>0</v>
      </c>
      <c r="F361" s="207">
        <v>0</v>
      </c>
      <c r="G361" s="203">
        <v>0</v>
      </c>
      <c r="H361" s="202">
        <v>0</v>
      </c>
      <c r="I361" s="203">
        <v>0</v>
      </c>
      <c r="J361" s="202">
        <v>0</v>
      </c>
      <c r="K361" s="202">
        <v>0</v>
      </c>
      <c r="L361" s="202">
        <v>0</v>
      </c>
      <c r="M361" s="202">
        <v>0</v>
      </c>
      <c r="N361" s="202">
        <v>0</v>
      </c>
      <c r="O361" s="202">
        <v>0</v>
      </c>
      <c r="P361" s="202">
        <v>0</v>
      </c>
      <c r="Q361" s="202">
        <v>0</v>
      </c>
      <c r="R361" s="202">
        <v>0</v>
      </c>
      <c r="S361" s="202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</row>
    <row r="362" spans="1:118" x14ac:dyDescent="0.25">
      <c r="A362" s="33" t="s">
        <v>140</v>
      </c>
      <c r="B362" s="33" t="s">
        <v>209</v>
      </c>
      <c r="C362" s="33">
        <v>39</v>
      </c>
      <c r="D362" s="33" t="s">
        <v>77</v>
      </c>
      <c r="E362" s="207">
        <v>0</v>
      </c>
      <c r="F362" s="207">
        <v>0</v>
      </c>
      <c r="G362" s="203">
        <v>0</v>
      </c>
      <c r="H362" s="202">
        <v>0</v>
      </c>
      <c r="I362" s="203">
        <v>0</v>
      </c>
      <c r="J362" s="202">
        <v>0</v>
      </c>
      <c r="K362" s="202">
        <v>0</v>
      </c>
      <c r="L362" s="202">
        <v>0</v>
      </c>
      <c r="M362" s="202">
        <v>0</v>
      </c>
      <c r="N362" s="202">
        <v>0</v>
      </c>
      <c r="O362" s="202">
        <v>0</v>
      </c>
      <c r="P362" s="202">
        <v>0</v>
      </c>
      <c r="Q362" s="202">
        <v>0</v>
      </c>
      <c r="R362" s="202">
        <v>0</v>
      </c>
      <c r="S362" s="202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</row>
    <row r="363" spans="1:118" x14ac:dyDescent="0.25">
      <c r="A363" s="33" t="s">
        <v>140</v>
      </c>
      <c r="B363" s="33" t="s">
        <v>209</v>
      </c>
      <c r="C363" s="33">
        <v>40</v>
      </c>
      <c r="D363" s="33" t="s">
        <v>78</v>
      </c>
      <c r="E363" s="207">
        <v>0</v>
      </c>
      <c r="F363" s="207">
        <v>0</v>
      </c>
      <c r="G363" s="203">
        <v>0</v>
      </c>
      <c r="H363" s="202">
        <v>0</v>
      </c>
      <c r="I363" s="203">
        <v>0</v>
      </c>
      <c r="J363" s="202">
        <v>0</v>
      </c>
      <c r="K363" s="202">
        <v>0</v>
      </c>
      <c r="L363" s="202">
        <v>0</v>
      </c>
      <c r="M363" s="202">
        <v>0</v>
      </c>
      <c r="N363" s="202">
        <v>0</v>
      </c>
      <c r="O363" s="202">
        <v>0</v>
      </c>
      <c r="P363" s="202">
        <v>0</v>
      </c>
      <c r="Q363" s="202">
        <v>0</v>
      </c>
      <c r="R363" s="202">
        <v>0</v>
      </c>
      <c r="S363" s="202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207">
        <v>0</v>
      </c>
      <c r="F364" s="207">
        <v>0</v>
      </c>
      <c r="G364" s="203">
        <v>0</v>
      </c>
      <c r="H364" s="202">
        <v>0</v>
      </c>
      <c r="I364" s="203">
        <v>0</v>
      </c>
      <c r="J364" s="202">
        <v>0</v>
      </c>
      <c r="K364" s="202">
        <v>0</v>
      </c>
      <c r="L364" s="202">
        <v>0</v>
      </c>
      <c r="M364" s="202">
        <v>0</v>
      </c>
      <c r="N364" s="202">
        <v>0</v>
      </c>
      <c r="O364" s="202">
        <v>0</v>
      </c>
      <c r="P364" s="202">
        <v>0</v>
      </c>
      <c r="Q364" s="202">
        <v>0</v>
      </c>
      <c r="R364" s="202">
        <v>0</v>
      </c>
      <c r="S364" s="202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207">
        <v>0</v>
      </c>
      <c r="F365" s="207">
        <v>0</v>
      </c>
      <c r="G365" s="203">
        <v>0</v>
      </c>
      <c r="H365" s="202">
        <v>0</v>
      </c>
      <c r="I365" s="203">
        <v>0</v>
      </c>
      <c r="J365" s="202">
        <v>0</v>
      </c>
      <c r="K365" s="202">
        <v>0</v>
      </c>
      <c r="L365" s="202">
        <v>0</v>
      </c>
      <c r="M365" s="202">
        <v>0</v>
      </c>
      <c r="N365" s="202">
        <v>0</v>
      </c>
      <c r="O365" s="202">
        <v>0</v>
      </c>
      <c r="P365" s="202">
        <v>0</v>
      </c>
      <c r="Q365" s="202">
        <v>0</v>
      </c>
      <c r="R365" s="202">
        <v>0</v>
      </c>
      <c r="S365" s="202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207">
        <v>0</v>
      </c>
      <c r="F366" s="207">
        <v>0</v>
      </c>
      <c r="G366" s="203">
        <v>0</v>
      </c>
      <c r="H366" s="202">
        <v>0</v>
      </c>
      <c r="I366" s="203">
        <v>0</v>
      </c>
      <c r="J366" s="202">
        <v>0</v>
      </c>
      <c r="K366" s="202">
        <v>0</v>
      </c>
      <c r="L366" s="202">
        <v>0</v>
      </c>
      <c r="M366" s="202">
        <v>0</v>
      </c>
      <c r="N366" s="202">
        <v>0</v>
      </c>
      <c r="O366" s="202">
        <v>0</v>
      </c>
      <c r="P366" s="202">
        <v>0</v>
      </c>
      <c r="Q366" s="202">
        <v>0</v>
      </c>
      <c r="R366" s="202">
        <v>0</v>
      </c>
      <c r="S366" s="202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207">
        <v>0</v>
      </c>
      <c r="F367" s="207">
        <v>0</v>
      </c>
      <c r="G367" s="203">
        <v>0</v>
      </c>
      <c r="H367" s="202">
        <v>0</v>
      </c>
      <c r="I367" s="203">
        <v>0</v>
      </c>
      <c r="J367" s="202">
        <v>0</v>
      </c>
      <c r="K367" s="202">
        <v>0</v>
      </c>
      <c r="L367" s="202">
        <v>0</v>
      </c>
      <c r="M367" s="202">
        <v>0</v>
      </c>
      <c r="N367" s="202">
        <v>0</v>
      </c>
      <c r="O367" s="202">
        <v>0</v>
      </c>
      <c r="P367" s="202">
        <v>0</v>
      </c>
      <c r="Q367" s="202">
        <v>0</v>
      </c>
      <c r="R367" s="202">
        <v>0</v>
      </c>
      <c r="S367" s="202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207">
        <v>0</v>
      </c>
      <c r="F368" s="207">
        <v>0</v>
      </c>
      <c r="G368" s="203">
        <v>0</v>
      </c>
      <c r="H368" s="202">
        <v>0</v>
      </c>
      <c r="I368" s="203">
        <v>0</v>
      </c>
      <c r="J368" s="202">
        <v>0</v>
      </c>
      <c r="K368" s="202">
        <v>0</v>
      </c>
      <c r="L368" s="202">
        <v>0</v>
      </c>
      <c r="M368" s="202">
        <v>0</v>
      </c>
      <c r="N368" s="202">
        <v>0</v>
      </c>
      <c r="O368" s="202">
        <v>0</v>
      </c>
      <c r="P368" s="202">
        <v>0</v>
      </c>
      <c r="Q368" s="202">
        <v>0</v>
      </c>
      <c r="R368" s="202">
        <v>0</v>
      </c>
      <c r="S368" s="202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207">
        <v>0</v>
      </c>
      <c r="F369" s="207">
        <v>0</v>
      </c>
      <c r="G369" s="203">
        <v>0</v>
      </c>
      <c r="H369" s="202">
        <v>0</v>
      </c>
      <c r="I369" s="203">
        <v>0</v>
      </c>
      <c r="J369" s="202">
        <v>0</v>
      </c>
      <c r="K369" s="202">
        <v>0</v>
      </c>
      <c r="L369" s="202">
        <v>0</v>
      </c>
      <c r="M369" s="202">
        <v>0</v>
      </c>
      <c r="N369" s="202">
        <v>0</v>
      </c>
      <c r="O369" s="202">
        <v>0</v>
      </c>
      <c r="P369" s="202">
        <v>0</v>
      </c>
      <c r="Q369" s="202">
        <v>0</v>
      </c>
      <c r="R369" s="202">
        <v>0</v>
      </c>
      <c r="S369" s="202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207">
        <v>0</v>
      </c>
      <c r="F370" s="207">
        <v>0</v>
      </c>
      <c r="G370" s="203">
        <v>0</v>
      </c>
      <c r="H370" s="202">
        <v>0</v>
      </c>
      <c r="I370" s="203">
        <v>0</v>
      </c>
      <c r="J370" s="202">
        <v>0</v>
      </c>
      <c r="K370" s="202">
        <v>0</v>
      </c>
      <c r="L370" s="202">
        <v>0</v>
      </c>
      <c r="M370" s="202">
        <v>0</v>
      </c>
      <c r="N370" s="202">
        <v>0</v>
      </c>
      <c r="O370" s="202">
        <v>0</v>
      </c>
      <c r="P370" s="202">
        <v>0</v>
      </c>
      <c r="Q370" s="202">
        <v>0</v>
      </c>
      <c r="R370" s="202">
        <v>0</v>
      </c>
      <c r="S370" s="202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207">
        <v>0</v>
      </c>
      <c r="F371" s="207">
        <v>0</v>
      </c>
      <c r="G371" s="203">
        <v>0</v>
      </c>
      <c r="H371" s="202">
        <v>0</v>
      </c>
      <c r="I371" s="203">
        <v>0</v>
      </c>
      <c r="J371" s="202">
        <v>0</v>
      </c>
      <c r="K371" s="202">
        <v>0</v>
      </c>
      <c r="L371" s="202">
        <v>0</v>
      </c>
      <c r="M371" s="202">
        <v>0</v>
      </c>
      <c r="N371" s="202">
        <v>0</v>
      </c>
      <c r="O371" s="202">
        <v>0</v>
      </c>
      <c r="P371" s="202">
        <v>0</v>
      </c>
      <c r="Q371" s="202">
        <v>0</v>
      </c>
      <c r="R371" s="202">
        <v>0</v>
      </c>
      <c r="S371" s="202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207">
        <v>0</v>
      </c>
      <c r="F372" s="207">
        <v>0</v>
      </c>
      <c r="G372" s="203">
        <v>0</v>
      </c>
      <c r="H372" s="202">
        <v>0</v>
      </c>
      <c r="I372" s="203">
        <v>0</v>
      </c>
      <c r="J372" s="202">
        <v>0</v>
      </c>
      <c r="K372" s="202">
        <v>0</v>
      </c>
      <c r="L372" s="202">
        <v>0</v>
      </c>
      <c r="M372" s="202">
        <v>0</v>
      </c>
      <c r="N372" s="202">
        <v>0</v>
      </c>
      <c r="O372" s="202">
        <v>0</v>
      </c>
      <c r="P372" s="202">
        <v>0</v>
      </c>
      <c r="Q372" s="202">
        <v>0</v>
      </c>
      <c r="R372" s="202">
        <v>0</v>
      </c>
      <c r="S372" s="202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207">
        <v>0</v>
      </c>
      <c r="F373" s="207">
        <v>0</v>
      </c>
      <c r="G373" s="203">
        <v>0</v>
      </c>
      <c r="H373" s="202">
        <v>0</v>
      </c>
      <c r="I373" s="203">
        <v>0</v>
      </c>
      <c r="J373" s="202">
        <v>0</v>
      </c>
      <c r="K373" s="202">
        <v>0</v>
      </c>
      <c r="L373" s="202">
        <v>0</v>
      </c>
      <c r="M373" s="202">
        <v>0</v>
      </c>
      <c r="N373" s="202">
        <v>0</v>
      </c>
      <c r="O373" s="202">
        <v>0</v>
      </c>
      <c r="P373" s="202">
        <v>0</v>
      </c>
      <c r="Q373" s="202">
        <v>0</v>
      </c>
      <c r="R373" s="202">
        <v>0</v>
      </c>
      <c r="S373" s="202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207">
        <v>0</v>
      </c>
      <c r="F374" s="207">
        <v>0</v>
      </c>
      <c r="G374" s="203">
        <v>0</v>
      </c>
      <c r="H374" s="202">
        <v>0</v>
      </c>
      <c r="I374" s="203">
        <v>0</v>
      </c>
      <c r="J374" s="202">
        <v>0</v>
      </c>
      <c r="K374" s="202">
        <v>0</v>
      </c>
      <c r="L374" s="202">
        <v>0</v>
      </c>
      <c r="M374" s="202">
        <v>0</v>
      </c>
      <c r="N374" s="202">
        <v>0</v>
      </c>
      <c r="O374" s="202">
        <v>0</v>
      </c>
      <c r="P374" s="202">
        <v>0</v>
      </c>
      <c r="Q374" s="202">
        <v>0</v>
      </c>
      <c r="R374" s="202">
        <v>0</v>
      </c>
      <c r="S374" s="202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207">
        <v>0</v>
      </c>
      <c r="F375" s="207">
        <v>0</v>
      </c>
      <c r="G375" s="203">
        <v>0</v>
      </c>
      <c r="H375" s="202">
        <v>0</v>
      </c>
      <c r="I375" s="203">
        <v>0</v>
      </c>
      <c r="J375" s="202">
        <v>0</v>
      </c>
      <c r="K375" s="202">
        <v>0</v>
      </c>
      <c r="L375" s="202">
        <v>0</v>
      </c>
      <c r="M375" s="202">
        <v>0</v>
      </c>
      <c r="N375" s="202">
        <v>0</v>
      </c>
      <c r="O375" s="202">
        <v>0</v>
      </c>
      <c r="P375" s="202">
        <v>0</v>
      </c>
      <c r="Q375" s="202">
        <v>0</v>
      </c>
      <c r="R375" s="202">
        <v>0</v>
      </c>
      <c r="S375" s="202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207">
        <v>0</v>
      </c>
      <c r="F376" s="207">
        <v>0</v>
      </c>
      <c r="G376" s="203">
        <v>0</v>
      </c>
      <c r="H376" s="202">
        <v>0</v>
      </c>
      <c r="I376" s="203">
        <v>0</v>
      </c>
      <c r="J376" s="202">
        <v>0</v>
      </c>
      <c r="K376" s="202">
        <v>0</v>
      </c>
      <c r="L376" s="202">
        <v>0</v>
      </c>
      <c r="M376" s="202">
        <v>0</v>
      </c>
      <c r="N376" s="202">
        <v>0</v>
      </c>
      <c r="O376" s="202">
        <v>0</v>
      </c>
      <c r="P376" s="202">
        <v>0</v>
      </c>
      <c r="Q376" s="202">
        <v>0</v>
      </c>
      <c r="R376" s="202">
        <v>0</v>
      </c>
      <c r="S376" s="202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207">
        <v>0</v>
      </c>
      <c r="F377" s="207">
        <v>0</v>
      </c>
      <c r="G377" s="203">
        <v>0</v>
      </c>
      <c r="H377" s="202">
        <v>0</v>
      </c>
      <c r="I377" s="203">
        <v>0</v>
      </c>
      <c r="J377" s="202">
        <v>0</v>
      </c>
      <c r="K377" s="202">
        <v>0</v>
      </c>
      <c r="L377" s="202">
        <v>0</v>
      </c>
      <c r="M377" s="202">
        <v>0</v>
      </c>
      <c r="N377" s="202">
        <v>0</v>
      </c>
      <c r="O377" s="202">
        <v>0</v>
      </c>
      <c r="P377" s="202">
        <v>0</v>
      </c>
      <c r="Q377" s="202">
        <v>0</v>
      </c>
      <c r="R377" s="202">
        <v>0</v>
      </c>
      <c r="S377" s="202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207">
        <v>0</v>
      </c>
      <c r="F378" s="207">
        <v>0</v>
      </c>
      <c r="G378" s="203">
        <v>0</v>
      </c>
      <c r="H378" s="202">
        <v>0</v>
      </c>
      <c r="I378" s="203">
        <v>0</v>
      </c>
      <c r="J378" s="202">
        <v>0</v>
      </c>
      <c r="K378" s="202">
        <v>0</v>
      </c>
      <c r="L378" s="202">
        <v>0</v>
      </c>
      <c r="M378" s="202">
        <v>0</v>
      </c>
      <c r="N378" s="202">
        <v>0</v>
      </c>
      <c r="O378" s="202">
        <v>0</v>
      </c>
      <c r="P378" s="202">
        <v>0</v>
      </c>
      <c r="Q378" s="202">
        <v>0</v>
      </c>
      <c r="R378" s="202">
        <v>0</v>
      </c>
      <c r="S378" s="202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207">
        <v>0</v>
      </c>
      <c r="F379" s="207">
        <v>0</v>
      </c>
      <c r="G379" s="203">
        <v>0</v>
      </c>
      <c r="H379" s="202">
        <v>0</v>
      </c>
      <c r="I379" s="203">
        <v>0</v>
      </c>
      <c r="J379" s="202">
        <v>0</v>
      </c>
      <c r="K379" s="202">
        <v>0</v>
      </c>
      <c r="L379" s="202">
        <v>0</v>
      </c>
      <c r="M379" s="202">
        <v>0</v>
      </c>
      <c r="N379" s="202">
        <v>0</v>
      </c>
      <c r="O379" s="202">
        <v>0</v>
      </c>
      <c r="P379" s="202">
        <v>0</v>
      </c>
      <c r="Q379" s="202">
        <v>0</v>
      </c>
      <c r="R379" s="202">
        <v>0</v>
      </c>
      <c r="S379" s="202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207">
        <v>0</v>
      </c>
      <c r="F380" s="207">
        <v>0</v>
      </c>
      <c r="G380" s="203">
        <v>0</v>
      </c>
      <c r="H380" s="202">
        <v>0</v>
      </c>
      <c r="I380" s="203">
        <v>0</v>
      </c>
      <c r="J380" s="202">
        <v>0</v>
      </c>
      <c r="K380" s="202">
        <v>0</v>
      </c>
      <c r="L380" s="202">
        <v>0</v>
      </c>
      <c r="M380" s="202">
        <v>0</v>
      </c>
      <c r="N380" s="202">
        <v>0</v>
      </c>
      <c r="O380" s="202">
        <v>0</v>
      </c>
      <c r="P380" s="202">
        <v>0</v>
      </c>
      <c r="Q380" s="202">
        <v>0</v>
      </c>
      <c r="R380" s="202">
        <v>0</v>
      </c>
      <c r="S380" s="202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207">
        <v>0</v>
      </c>
      <c r="F381" s="207">
        <v>0</v>
      </c>
      <c r="G381" s="203">
        <v>0</v>
      </c>
      <c r="H381" s="202">
        <v>0</v>
      </c>
      <c r="I381" s="203">
        <v>0</v>
      </c>
      <c r="J381" s="202">
        <v>0</v>
      </c>
      <c r="K381" s="202">
        <v>0</v>
      </c>
      <c r="L381" s="202">
        <v>0</v>
      </c>
      <c r="M381" s="202">
        <v>0</v>
      </c>
      <c r="N381" s="202">
        <v>0</v>
      </c>
      <c r="O381" s="202">
        <v>0</v>
      </c>
      <c r="P381" s="202">
        <v>0</v>
      </c>
      <c r="Q381" s="202">
        <v>0</v>
      </c>
      <c r="R381" s="202">
        <v>0</v>
      </c>
      <c r="S381" s="202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207">
        <v>0</v>
      </c>
      <c r="F382" s="207">
        <v>0</v>
      </c>
      <c r="G382" s="203">
        <v>0</v>
      </c>
      <c r="H382" s="202">
        <v>0</v>
      </c>
      <c r="I382" s="203">
        <v>0</v>
      </c>
      <c r="J382" s="202">
        <v>0</v>
      </c>
      <c r="K382" s="202">
        <v>0</v>
      </c>
      <c r="L382" s="202">
        <v>0</v>
      </c>
      <c r="M382" s="202">
        <v>0</v>
      </c>
      <c r="N382" s="202">
        <v>0</v>
      </c>
      <c r="O382" s="202">
        <v>0</v>
      </c>
      <c r="P382" s="202">
        <v>0</v>
      </c>
      <c r="Q382" s="202">
        <v>0</v>
      </c>
      <c r="R382" s="202">
        <v>0</v>
      </c>
      <c r="S382" s="202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207">
        <v>0</v>
      </c>
      <c r="F383" s="207">
        <v>0</v>
      </c>
      <c r="G383" s="203">
        <v>0</v>
      </c>
      <c r="H383" s="202">
        <v>0</v>
      </c>
      <c r="I383" s="203">
        <v>0</v>
      </c>
      <c r="J383" s="202">
        <v>0</v>
      </c>
      <c r="K383" s="202">
        <v>0</v>
      </c>
      <c r="L383" s="202">
        <v>0</v>
      </c>
      <c r="M383" s="202">
        <v>0</v>
      </c>
      <c r="N383" s="202">
        <v>0</v>
      </c>
      <c r="O383" s="202">
        <v>0</v>
      </c>
      <c r="P383" s="202">
        <v>0</v>
      </c>
      <c r="Q383" s="202">
        <v>0</v>
      </c>
      <c r="R383" s="202">
        <v>0</v>
      </c>
      <c r="S383" s="202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207">
        <v>0</v>
      </c>
      <c r="F384" s="207">
        <v>0</v>
      </c>
      <c r="G384" s="203">
        <v>0</v>
      </c>
      <c r="H384" s="202">
        <v>0</v>
      </c>
      <c r="I384" s="203">
        <v>0</v>
      </c>
      <c r="J384" s="202">
        <v>0</v>
      </c>
      <c r="K384" s="202">
        <v>0</v>
      </c>
      <c r="L384" s="202">
        <v>0</v>
      </c>
      <c r="M384" s="202">
        <v>0</v>
      </c>
      <c r="N384" s="202">
        <v>0</v>
      </c>
      <c r="O384" s="202">
        <v>0</v>
      </c>
      <c r="P384" s="202">
        <v>0</v>
      </c>
      <c r="Q384" s="202">
        <v>0</v>
      </c>
      <c r="R384" s="202">
        <v>0</v>
      </c>
      <c r="S384" s="202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207">
        <v>0</v>
      </c>
      <c r="F385" s="207">
        <v>0</v>
      </c>
      <c r="G385" s="203">
        <v>0</v>
      </c>
      <c r="H385" s="202">
        <v>0</v>
      </c>
      <c r="I385" s="203">
        <v>0</v>
      </c>
      <c r="J385" s="202">
        <v>0</v>
      </c>
      <c r="K385" s="202">
        <v>0</v>
      </c>
      <c r="L385" s="202">
        <v>0</v>
      </c>
      <c r="M385" s="202">
        <v>0</v>
      </c>
      <c r="N385" s="202">
        <v>0</v>
      </c>
      <c r="O385" s="202">
        <v>0</v>
      </c>
      <c r="P385" s="202">
        <v>0</v>
      </c>
      <c r="Q385" s="202">
        <v>0</v>
      </c>
      <c r="R385" s="202">
        <v>0</v>
      </c>
      <c r="S385" s="202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207">
        <v>0</v>
      </c>
      <c r="F386" s="207">
        <v>0</v>
      </c>
      <c r="G386" s="203">
        <v>0</v>
      </c>
      <c r="H386" s="202">
        <v>0</v>
      </c>
      <c r="I386" s="203">
        <v>0</v>
      </c>
      <c r="J386" s="202">
        <v>0</v>
      </c>
      <c r="K386" s="202">
        <v>0</v>
      </c>
      <c r="L386" s="202">
        <v>0</v>
      </c>
      <c r="M386" s="202">
        <v>0</v>
      </c>
      <c r="N386" s="202">
        <v>0</v>
      </c>
      <c r="O386" s="202">
        <v>0</v>
      </c>
      <c r="P386" s="202">
        <v>0</v>
      </c>
      <c r="Q386" s="202">
        <v>0</v>
      </c>
      <c r="R386" s="202">
        <v>0</v>
      </c>
      <c r="S386" s="202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207">
        <v>0</v>
      </c>
      <c r="F387" s="207">
        <v>0</v>
      </c>
      <c r="G387" s="203">
        <v>0</v>
      </c>
      <c r="H387" s="202">
        <v>0</v>
      </c>
      <c r="I387" s="203">
        <v>0</v>
      </c>
      <c r="J387" s="202">
        <v>0</v>
      </c>
      <c r="K387" s="202">
        <v>0</v>
      </c>
      <c r="L387" s="202">
        <v>0</v>
      </c>
      <c r="M387" s="202">
        <v>0</v>
      </c>
      <c r="N387" s="202">
        <v>0</v>
      </c>
      <c r="O387" s="202">
        <v>0</v>
      </c>
      <c r="P387" s="202">
        <v>0</v>
      </c>
      <c r="Q387" s="202">
        <v>0</v>
      </c>
      <c r="R387" s="202">
        <v>0</v>
      </c>
      <c r="S387" s="202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207">
        <v>0</v>
      </c>
      <c r="F388" s="207">
        <v>0</v>
      </c>
      <c r="G388" s="203">
        <v>0</v>
      </c>
      <c r="H388" s="202">
        <v>0</v>
      </c>
      <c r="I388" s="203">
        <v>0</v>
      </c>
      <c r="J388" s="202">
        <v>0</v>
      </c>
      <c r="K388" s="202">
        <v>0</v>
      </c>
      <c r="L388" s="202">
        <v>0</v>
      </c>
      <c r="M388" s="202">
        <v>0</v>
      </c>
      <c r="N388" s="202">
        <v>0</v>
      </c>
      <c r="O388" s="202">
        <v>0</v>
      </c>
      <c r="P388" s="202">
        <v>0</v>
      </c>
      <c r="Q388" s="202">
        <v>0</v>
      </c>
      <c r="R388" s="202">
        <v>0</v>
      </c>
      <c r="S388" s="202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207">
        <v>0</v>
      </c>
      <c r="F389" s="207">
        <v>0</v>
      </c>
      <c r="G389" s="203">
        <v>0</v>
      </c>
      <c r="H389" s="202">
        <v>0</v>
      </c>
      <c r="I389" s="203">
        <v>0</v>
      </c>
      <c r="J389" s="202">
        <v>0</v>
      </c>
      <c r="K389" s="202">
        <v>0</v>
      </c>
      <c r="L389" s="202">
        <v>0</v>
      </c>
      <c r="M389" s="202">
        <v>0</v>
      </c>
      <c r="N389" s="202">
        <v>0</v>
      </c>
      <c r="O389" s="202">
        <v>0</v>
      </c>
      <c r="P389" s="202">
        <v>0</v>
      </c>
      <c r="Q389" s="202">
        <v>0</v>
      </c>
      <c r="R389" s="202">
        <v>0</v>
      </c>
      <c r="S389" s="202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207">
        <v>0</v>
      </c>
      <c r="F390" s="207">
        <v>0</v>
      </c>
      <c r="G390" s="203">
        <v>0</v>
      </c>
      <c r="H390" s="202">
        <v>0</v>
      </c>
      <c r="I390" s="203">
        <v>0</v>
      </c>
      <c r="J390" s="202">
        <v>0</v>
      </c>
      <c r="K390" s="202">
        <v>0</v>
      </c>
      <c r="L390" s="202">
        <v>0</v>
      </c>
      <c r="M390" s="202">
        <v>0</v>
      </c>
      <c r="N390" s="202">
        <v>0</v>
      </c>
      <c r="O390" s="202">
        <v>0</v>
      </c>
      <c r="P390" s="202">
        <v>0</v>
      </c>
      <c r="Q390" s="202">
        <v>0</v>
      </c>
      <c r="R390" s="202">
        <v>0</v>
      </c>
      <c r="S390" s="202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207">
        <v>0</v>
      </c>
      <c r="F391" s="207">
        <v>0</v>
      </c>
      <c r="G391" s="203">
        <v>0</v>
      </c>
      <c r="H391" s="202">
        <v>0</v>
      </c>
      <c r="I391" s="203">
        <v>0</v>
      </c>
      <c r="J391" s="202">
        <v>0</v>
      </c>
      <c r="K391" s="202">
        <v>0</v>
      </c>
      <c r="L391" s="202">
        <v>0</v>
      </c>
      <c r="M391" s="202">
        <v>0</v>
      </c>
      <c r="N391" s="202">
        <v>0</v>
      </c>
      <c r="O391" s="202">
        <v>0</v>
      </c>
      <c r="P391" s="202">
        <v>0</v>
      </c>
      <c r="Q391" s="202">
        <v>0</v>
      </c>
      <c r="R391" s="202">
        <v>0</v>
      </c>
      <c r="S391" s="202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207">
        <v>0</v>
      </c>
      <c r="F392" s="207">
        <v>0</v>
      </c>
      <c r="G392" s="203">
        <v>0</v>
      </c>
      <c r="H392" s="202">
        <v>0</v>
      </c>
      <c r="I392" s="203">
        <v>0</v>
      </c>
      <c r="J392" s="202">
        <v>0</v>
      </c>
      <c r="K392" s="202">
        <v>0</v>
      </c>
      <c r="L392" s="202">
        <v>0</v>
      </c>
      <c r="M392" s="202">
        <v>0</v>
      </c>
      <c r="N392" s="202">
        <v>0</v>
      </c>
      <c r="O392" s="202">
        <v>0</v>
      </c>
      <c r="P392" s="202">
        <v>0</v>
      </c>
      <c r="Q392" s="202">
        <v>0</v>
      </c>
      <c r="R392" s="202">
        <v>0</v>
      </c>
      <c r="S392" s="202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207">
        <v>0</v>
      </c>
      <c r="F393" s="207">
        <v>0</v>
      </c>
      <c r="G393" s="203">
        <v>0</v>
      </c>
      <c r="H393" s="202">
        <v>0</v>
      </c>
      <c r="I393" s="203">
        <v>0</v>
      </c>
      <c r="J393" s="202">
        <v>0</v>
      </c>
      <c r="K393" s="202">
        <v>0</v>
      </c>
      <c r="L393" s="202">
        <v>0</v>
      </c>
      <c r="M393" s="202">
        <v>0</v>
      </c>
      <c r="N393" s="202">
        <v>0</v>
      </c>
      <c r="O393" s="202">
        <v>0</v>
      </c>
      <c r="P393" s="202">
        <v>0</v>
      </c>
      <c r="Q393" s="202">
        <v>0</v>
      </c>
      <c r="R393" s="202">
        <v>0</v>
      </c>
      <c r="S393" s="202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207">
        <v>0</v>
      </c>
      <c r="F394" s="207">
        <v>0</v>
      </c>
      <c r="G394" s="203">
        <v>0</v>
      </c>
      <c r="H394" s="202">
        <v>0</v>
      </c>
      <c r="I394" s="203">
        <v>0</v>
      </c>
      <c r="J394" s="202">
        <v>0</v>
      </c>
      <c r="K394" s="202">
        <v>0</v>
      </c>
      <c r="L394" s="202">
        <v>0</v>
      </c>
      <c r="M394" s="202">
        <v>0</v>
      </c>
      <c r="N394" s="202">
        <v>0</v>
      </c>
      <c r="O394" s="202">
        <v>0</v>
      </c>
      <c r="P394" s="202">
        <v>0</v>
      </c>
      <c r="Q394" s="202">
        <v>0</v>
      </c>
      <c r="R394" s="202">
        <v>0</v>
      </c>
      <c r="S394" s="202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207">
        <v>0</v>
      </c>
      <c r="F395" s="207">
        <v>0</v>
      </c>
      <c r="G395" s="203">
        <v>0</v>
      </c>
      <c r="H395" s="202">
        <v>0</v>
      </c>
      <c r="I395" s="203">
        <v>0</v>
      </c>
      <c r="J395" s="202">
        <v>0</v>
      </c>
      <c r="K395" s="202">
        <v>0</v>
      </c>
      <c r="L395" s="202">
        <v>0</v>
      </c>
      <c r="M395" s="202">
        <v>0</v>
      </c>
      <c r="N395" s="202">
        <v>0</v>
      </c>
      <c r="O395" s="202">
        <v>0</v>
      </c>
      <c r="P395" s="202">
        <v>0</v>
      </c>
      <c r="Q395" s="202">
        <v>0</v>
      </c>
      <c r="R395" s="202">
        <v>0</v>
      </c>
      <c r="S395" s="202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207">
        <v>0</v>
      </c>
      <c r="F396" s="207">
        <v>0</v>
      </c>
      <c r="G396" s="203">
        <v>0</v>
      </c>
      <c r="H396" s="202">
        <v>0</v>
      </c>
      <c r="I396" s="203">
        <v>0</v>
      </c>
      <c r="J396" s="202">
        <v>0</v>
      </c>
      <c r="K396" s="202">
        <v>0</v>
      </c>
      <c r="L396" s="202">
        <v>0</v>
      </c>
      <c r="M396" s="202">
        <v>0</v>
      </c>
      <c r="N396" s="202">
        <v>0</v>
      </c>
      <c r="O396" s="202">
        <v>0</v>
      </c>
      <c r="P396" s="202">
        <v>0</v>
      </c>
      <c r="Q396" s="202">
        <v>0</v>
      </c>
      <c r="R396" s="202">
        <v>0</v>
      </c>
      <c r="S396" s="202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207">
        <v>0</v>
      </c>
      <c r="F397" s="207">
        <v>0</v>
      </c>
      <c r="G397" s="203">
        <v>0</v>
      </c>
      <c r="H397" s="202">
        <v>0</v>
      </c>
      <c r="I397" s="203">
        <v>0</v>
      </c>
      <c r="J397" s="202">
        <v>0</v>
      </c>
      <c r="K397" s="202">
        <v>0</v>
      </c>
      <c r="L397" s="202">
        <v>0</v>
      </c>
      <c r="M397" s="202">
        <v>0</v>
      </c>
      <c r="N397" s="202">
        <v>0</v>
      </c>
      <c r="O397" s="202">
        <v>0</v>
      </c>
      <c r="P397" s="202">
        <v>0</v>
      </c>
      <c r="Q397" s="202">
        <v>0</v>
      </c>
      <c r="R397" s="202">
        <v>0</v>
      </c>
      <c r="S397" s="202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207">
        <v>0</v>
      </c>
      <c r="F398" s="207">
        <v>0</v>
      </c>
      <c r="G398" s="203">
        <v>0</v>
      </c>
      <c r="H398" s="202">
        <v>0</v>
      </c>
      <c r="I398" s="203">
        <v>0</v>
      </c>
      <c r="J398" s="202">
        <v>0</v>
      </c>
      <c r="K398" s="202">
        <v>0</v>
      </c>
      <c r="L398" s="202">
        <v>0</v>
      </c>
      <c r="M398" s="202">
        <v>0</v>
      </c>
      <c r="N398" s="202">
        <v>0</v>
      </c>
      <c r="O398" s="202">
        <v>0</v>
      </c>
      <c r="P398" s="202">
        <v>0</v>
      </c>
      <c r="Q398" s="202">
        <v>0</v>
      </c>
      <c r="R398" s="202">
        <v>0</v>
      </c>
      <c r="S398" s="202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207">
        <v>0</v>
      </c>
      <c r="F399" s="207">
        <v>0</v>
      </c>
      <c r="G399" s="203">
        <v>0</v>
      </c>
      <c r="H399" s="202">
        <v>0</v>
      </c>
      <c r="I399" s="203">
        <v>0</v>
      </c>
      <c r="J399" s="202">
        <v>0</v>
      </c>
      <c r="K399" s="202">
        <v>0</v>
      </c>
      <c r="L399" s="202">
        <v>0</v>
      </c>
      <c r="M399" s="202">
        <v>0</v>
      </c>
      <c r="N399" s="202">
        <v>0</v>
      </c>
      <c r="O399" s="202">
        <v>0</v>
      </c>
      <c r="P399" s="202">
        <v>0</v>
      </c>
      <c r="Q399" s="202">
        <v>0</v>
      </c>
      <c r="R399" s="202">
        <v>0</v>
      </c>
      <c r="S399" s="202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207">
        <v>0</v>
      </c>
      <c r="F400" s="207">
        <v>0</v>
      </c>
      <c r="G400" s="203">
        <v>0</v>
      </c>
      <c r="H400" s="202">
        <v>0</v>
      </c>
      <c r="I400" s="203">
        <v>0</v>
      </c>
      <c r="J400" s="202">
        <v>0</v>
      </c>
      <c r="K400" s="202">
        <v>0</v>
      </c>
      <c r="L400" s="202">
        <v>0</v>
      </c>
      <c r="M400" s="202">
        <v>0</v>
      </c>
      <c r="N400" s="202">
        <v>0</v>
      </c>
      <c r="O400" s="202">
        <v>0</v>
      </c>
      <c r="P400" s="202">
        <v>0</v>
      </c>
      <c r="Q400" s="202">
        <v>0</v>
      </c>
      <c r="R400" s="202">
        <v>0</v>
      </c>
      <c r="S400" s="202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207">
        <v>0</v>
      </c>
      <c r="F401" s="207">
        <v>0</v>
      </c>
      <c r="G401" s="203">
        <v>0</v>
      </c>
      <c r="H401" s="202">
        <v>0</v>
      </c>
      <c r="I401" s="203">
        <v>0</v>
      </c>
      <c r="J401" s="202">
        <v>0</v>
      </c>
      <c r="K401" s="202">
        <v>0</v>
      </c>
      <c r="L401" s="202">
        <v>0</v>
      </c>
      <c r="M401" s="202">
        <v>0</v>
      </c>
      <c r="N401" s="202">
        <v>0</v>
      </c>
      <c r="O401" s="202">
        <v>0</v>
      </c>
      <c r="P401" s="202">
        <v>0</v>
      </c>
      <c r="Q401" s="202">
        <v>0</v>
      </c>
      <c r="R401" s="202">
        <v>0</v>
      </c>
      <c r="S401" s="202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207">
        <v>0</v>
      </c>
      <c r="F402" s="207">
        <v>0</v>
      </c>
      <c r="G402" s="203">
        <v>0</v>
      </c>
      <c r="H402" s="202">
        <v>0</v>
      </c>
      <c r="I402" s="203">
        <v>0</v>
      </c>
      <c r="J402" s="202">
        <v>0</v>
      </c>
      <c r="K402" s="202">
        <v>0</v>
      </c>
      <c r="L402" s="202">
        <v>0</v>
      </c>
      <c r="M402" s="202">
        <v>0</v>
      </c>
      <c r="N402" s="202">
        <v>0</v>
      </c>
      <c r="O402" s="202">
        <v>0</v>
      </c>
      <c r="P402" s="202">
        <v>0</v>
      </c>
      <c r="Q402" s="202">
        <v>0</v>
      </c>
      <c r="R402" s="202">
        <v>0</v>
      </c>
      <c r="S402" s="202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207">
        <v>0</v>
      </c>
      <c r="F403" s="207">
        <v>0</v>
      </c>
      <c r="G403" s="203">
        <v>0</v>
      </c>
      <c r="H403" s="202">
        <v>0</v>
      </c>
      <c r="I403" s="203">
        <v>0</v>
      </c>
      <c r="J403" s="202">
        <v>0</v>
      </c>
      <c r="K403" s="202">
        <v>0</v>
      </c>
      <c r="L403" s="202">
        <v>0</v>
      </c>
      <c r="M403" s="202">
        <v>0</v>
      </c>
      <c r="N403" s="202">
        <v>0</v>
      </c>
      <c r="O403" s="202">
        <v>0</v>
      </c>
      <c r="P403" s="202">
        <v>0</v>
      </c>
      <c r="Q403" s="202">
        <v>0</v>
      </c>
      <c r="R403" s="202">
        <v>0</v>
      </c>
      <c r="S403" s="202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207">
        <v>5376098</v>
      </c>
      <c r="F404" s="207">
        <v>14363329.58</v>
      </c>
      <c r="G404" s="203">
        <v>18283</v>
      </c>
      <c r="H404" s="202">
        <v>2304980.7400000002</v>
      </c>
      <c r="I404" s="203">
        <v>0</v>
      </c>
      <c r="J404" s="202">
        <v>0</v>
      </c>
      <c r="K404" s="202">
        <v>-19770</v>
      </c>
      <c r="L404" s="202">
        <v>-45826.86</v>
      </c>
      <c r="M404" s="202">
        <v>0</v>
      </c>
      <c r="N404" s="202">
        <v>0</v>
      </c>
      <c r="O404" s="202">
        <v>0</v>
      </c>
      <c r="P404" s="202">
        <v>271644</v>
      </c>
      <c r="Q404" s="202">
        <v>0</v>
      </c>
      <c r="R404" s="202">
        <v>0</v>
      </c>
      <c r="S404" s="202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207">
        <v>0</v>
      </c>
      <c r="F405" s="207">
        <v>0</v>
      </c>
      <c r="G405" s="203">
        <v>0</v>
      </c>
      <c r="H405" s="202">
        <v>0</v>
      </c>
      <c r="I405" s="203">
        <v>0</v>
      </c>
      <c r="J405" s="202">
        <v>0</v>
      </c>
      <c r="K405" s="202">
        <v>0</v>
      </c>
      <c r="L405" s="202">
        <v>0</v>
      </c>
      <c r="M405" s="202">
        <v>0</v>
      </c>
      <c r="N405" s="202">
        <v>0</v>
      </c>
      <c r="O405" s="202">
        <v>0</v>
      </c>
      <c r="P405" s="202">
        <v>0</v>
      </c>
      <c r="Q405" s="202">
        <v>0</v>
      </c>
      <c r="R405" s="202">
        <v>0</v>
      </c>
      <c r="S405" s="202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207">
        <v>4948714</v>
      </c>
      <c r="F406" s="207">
        <v>11845609</v>
      </c>
      <c r="G406" s="203">
        <v>-4806553</v>
      </c>
      <c r="H406" s="202">
        <v>-11490953</v>
      </c>
      <c r="I406" s="203">
        <v>88292</v>
      </c>
      <c r="J406" s="202">
        <v>222750</v>
      </c>
      <c r="K406" s="202">
        <v>0</v>
      </c>
      <c r="L406" s="202">
        <v>0</v>
      </c>
      <c r="M406" s="202">
        <v>0</v>
      </c>
      <c r="N406" s="202">
        <v>0</v>
      </c>
      <c r="O406" s="202">
        <v>0</v>
      </c>
      <c r="P406" s="202">
        <v>0</v>
      </c>
      <c r="Q406" s="202">
        <v>6268261</v>
      </c>
      <c r="R406" s="202">
        <v>14747953</v>
      </c>
      <c r="S406" s="202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207">
        <v>0</v>
      </c>
      <c r="F407" s="207">
        <v>0</v>
      </c>
      <c r="G407" s="203">
        <v>0</v>
      </c>
      <c r="H407" s="202">
        <v>0</v>
      </c>
      <c r="I407" s="203">
        <v>0</v>
      </c>
      <c r="J407" s="202">
        <v>0</v>
      </c>
      <c r="K407" s="202">
        <v>0</v>
      </c>
      <c r="L407" s="202">
        <v>0</v>
      </c>
      <c r="M407" s="202">
        <v>0</v>
      </c>
      <c r="N407" s="202">
        <v>0</v>
      </c>
      <c r="O407" s="202">
        <v>0</v>
      </c>
      <c r="P407" s="202">
        <v>0</v>
      </c>
      <c r="Q407" s="202">
        <v>0</v>
      </c>
      <c r="R407" s="202">
        <v>0</v>
      </c>
      <c r="S407" s="202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207">
        <v>0</v>
      </c>
      <c r="F408" s="207">
        <v>0</v>
      </c>
      <c r="G408" s="203">
        <v>0</v>
      </c>
      <c r="H408" s="202">
        <v>0</v>
      </c>
      <c r="I408" s="203">
        <v>0</v>
      </c>
      <c r="J408" s="202">
        <v>0</v>
      </c>
      <c r="K408" s="202">
        <v>0</v>
      </c>
      <c r="L408" s="202">
        <v>0</v>
      </c>
      <c r="M408" s="202">
        <v>0</v>
      </c>
      <c r="N408" s="202">
        <v>0</v>
      </c>
      <c r="O408" s="202">
        <v>0</v>
      </c>
      <c r="P408" s="202">
        <v>0</v>
      </c>
      <c r="Q408" s="202">
        <v>0</v>
      </c>
      <c r="R408" s="202">
        <v>0</v>
      </c>
      <c r="S408" s="202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207">
        <v>-900491</v>
      </c>
      <c r="F409" s="207">
        <v>-2557817.9900000002</v>
      </c>
      <c r="G409" s="203">
        <v>0</v>
      </c>
      <c r="H409" s="202">
        <v>185134.36</v>
      </c>
      <c r="I409" s="203">
        <v>0</v>
      </c>
      <c r="J409" s="202">
        <v>0</v>
      </c>
      <c r="K409" s="202">
        <v>0</v>
      </c>
      <c r="L409" s="202">
        <v>0</v>
      </c>
      <c r="M409" s="202">
        <v>-20091</v>
      </c>
      <c r="N409" s="202">
        <v>-47073.21</v>
      </c>
      <c r="O409" s="202">
        <v>20091</v>
      </c>
      <c r="P409" s="202">
        <v>46570.94</v>
      </c>
      <c r="Q409" s="202">
        <v>0</v>
      </c>
      <c r="R409" s="202">
        <v>631249.36</v>
      </c>
      <c r="S409" s="202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207">
        <v>0</v>
      </c>
      <c r="F410" s="207">
        <v>0</v>
      </c>
      <c r="G410" s="203">
        <v>0</v>
      </c>
      <c r="H410" s="202">
        <v>0</v>
      </c>
      <c r="I410" s="203">
        <v>0</v>
      </c>
      <c r="J410" s="202">
        <v>0</v>
      </c>
      <c r="K410" s="202">
        <v>0</v>
      </c>
      <c r="L410" s="202">
        <v>0</v>
      </c>
      <c r="M410" s="202">
        <v>0</v>
      </c>
      <c r="N410" s="202">
        <v>0</v>
      </c>
      <c r="O410" s="202">
        <v>0</v>
      </c>
      <c r="P410" s="202">
        <v>0</v>
      </c>
      <c r="Q410" s="202">
        <v>0</v>
      </c>
      <c r="R410" s="202">
        <v>0</v>
      </c>
      <c r="S410" s="202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207">
        <v>-9463410</v>
      </c>
      <c r="F411" s="207">
        <v>-21200562</v>
      </c>
      <c r="G411" s="203">
        <v>5977527</v>
      </c>
      <c r="H411" s="202">
        <v>13091624</v>
      </c>
      <c r="I411" s="203">
        <v>1540</v>
      </c>
      <c r="J411" s="202">
        <v>3192</v>
      </c>
      <c r="K411" s="202">
        <v>0</v>
      </c>
      <c r="L411" s="202">
        <v>0</v>
      </c>
      <c r="M411" s="202">
        <v>0</v>
      </c>
      <c r="N411" s="202">
        <v>0</v>
      </c>
      <c r="O411" s="202">
        <v>0</v>
      </c>
      <c r="P411" s="202">
        <v>0</v>
      </c>
      <c r="Q411" s="202">
        <v>-7529067</v>
      </c>
      <c r="R411" s="202">
        <v>-16625716</v>
      </c>
      <c r="S411" s="202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207">
        <v>0</v>
      </c>
      <c r="F412" s="207">
        <v>0</v>
      </c>
      <c r="G412" s="203">
        <v>0</v>
      </c>
      <c r="H412" s="202">
        <v>0</v>
      </c>
      <c r="I412" s="203">
        <v>0</v>
      </c>
      <c r="J412" s="202">
        <v>0</v>
      </c>
      <c r="K412" s="202">
        <v>0</v>
      </c>
      <c r="L412" s="202">
        <v>0</v>
      </c>
      <c r="M412" s="202">
        <v>0</v>
      </c>
      <c r="N412" s="202">
        <v>0</v>
      </c>
      <c r="O412" s="202">
        <v>0</v>
      </c>
      <c r="P412" s="202">
        <v>0</v>
      </c>
      <c r="Q412" s="202">
        <v>0</v>
      </c>
      <c r="R412" s="202">
        <v>0</v>
      </c>
      <c r="S412" s="202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207">
        <v>0</v>
      </c>
      <c r="F413" s="207">
        <v>0</v>
      </c>
      <c r="G413" s="203">
        <v>0</v>
      </c>
      <c r="H413" s="202">
        <v>0</v>
      </c>
      <c r="I413" s="203">
        <v>0</v>
      </c>
      <c r="J413" s="202">
        <v>0</v>
      </c>
      <c r="K413" s="202">
        <v>0</v>
      </c>
      <c r="L413" s="202">
        <v>0</v>
      </c>
      <c r="M413" s="202">
        <v>0</v>
      </c>
      <c r="N413" s="202">
        <v>0</v>
      </c>
      <c r="O413" s="202">
        <v>0</v>
      </c>
      <c r="P413" s="202">
        <v>0</v>
      </c>
      <c r="Q413" s="202">
        <v>0</v>
      </c>
      <c r="R413" s="202">
        <v>0</v>
      </c>
      <c r="S413" s="202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207">
        <v>0</v>
      </c>
      <c r="F414" s="207">
        <v>0</v>
      </c>
      <c r="G414" s="203">
        <v>0</v>
      </c>
      <c r="H414" s="202">
        <v>0</v>
      </c>
      <c r="I414" s="203">
        <v>0</v>
      </c>
      <c r="J414" s="202">
        <v>0</v>
      </c>
      <c r="K414" s="202">
        <v>0</v>
      </c>
      <c r="L414" s="202">
        <v>0</v>
      </c>
      <c r="M414" s="202">
        <v>0</v>
      </c>
      <c r="N414" s="202">
        <v>0</v>
      </c>
      <c r="O414" s="202">
        <v>0</v>
      </c>
      <c r="P414" s="202">
        <v>0</v>
      </c>
      <c r="Q414" s="202">
        <v>0</v>
      </c>
      <c r="R414" s="202">
        <v>0</v>
      </c>
      <c r="S414" s="202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207">
        <v>0</v>
      </c>
      <c r="F415" s="207">
        <v>0</v>
      </c>
      <c r="G415" s="203">
        <v>0</v>
      </c>
      <c r="H415" s="202">
        <v>0</v>
      </c>
      <c r="I415" s="203">
        <v>0</v>
      </c>
      <c r="J415" s="202">
        <v>0</v>
      </c>
      <c r="K415" s="202">
        <v>0</v>
      </c>
      <c r="L415" s="202">
        <v>0</v>
      </c>
      <c r="M415" s="202">
        <v>0</v>
      </c>
      <c r="N415" s="202">
        <v>0</v>
      </c>
      <c r="O415" s="202">
        <v>0</v>
      </c>
      <c r="P415" s="202">
        <v>0</v>
      </c>
      <c r="Q415" s="202">
        <v>0</v>
      </c>
      <c r="R415" s="202">
        <v>0</v>
      </c>
      <c r="S415" s="202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207">
        <v>0</v>
      </c>
      <c r="F416" s="207">
        <v>0</v>
      </c>
      <c r="G416" s="203">
        <v>0</v>
      </c>
      <c r="H416" s="202">
        <v>0</v>
      </c>
      <c r="I416" s="203">
        <v>0</v>
      </c>
      <c r="J416" s="202">
        <v>0</v>
      </c>
      <c r="K416" s="202">
        <v>0</v>
      </c>
      <c r="L416" s="202">
        <v>0</v>
      </c>
      <c r="M416" s="202">
        <v>0</v>
      </c>
      <c r="N416" s="202">
        <v>0</v>
      </c>
      <c r="O416" s="202">
        <v>0</v>
      </c>
      <c r="P416" s="202">
        <v>0</v>
      </c>
      <c r="Q416" s="202">
        <v>0</v>
      </c>
      <c r="R416" s="202">
        <v>0</v>
      </c>
      <c r="S416" s="202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207">
        <v>0</v>
      </c>
      <c r="F417" s="207">
        <v>0</v>
      </c>
      <c r="G417" s="203">
        <v>0</v>
      </c>
      <c r="H417" s="202">
        <v>0</v>
      </c>
      <c r="I417" s="203">
        <v>0</v>
      </c>
      <c r="J417" s="202">
        <v>0</v>
      </c>
      <c r="K417" s="202">
        <v>0</v>
      </c>
      <c r="L417" s="202">
        <v>0</v>
      </c>
      <c r="M417" s="202">
        <v>0</v>
      </c>
      <c r="N417" s="202">
        <v>0</v>
      </c>
      <c r="O417" s="202">
        <v>0</v>
      </c>
      <c r="P417" s="202">
        <v>0</v>
      </c>
      <c r="Q417" s="202">
        <v>0</v>
      </c>
      <c r="R417" s="202">
        <v>0</v>
      </c>
      <c r="S417" s="202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207">
        <v>0</v>
      </c>
      <c r="F418" s="207">
        <v>0</v>
      </c>
      <c r="G418" s="203">
        <v>0</v>
      </c>
      <c r="H418" s="202">
        <v>0</v>
      </c>
      <c r="I418" s="203">
        <v>0</v>
      </c>
      <c r="J418" s="202">
        <v>0</v>
      </c>
      <c r="K418" s="202">
        <v>0</v>
      </c>
      <c r="L418" s="202">
        <v>0</v>
      </c>
      <c r="M418" s="202">
        <v>0</v>
      </c>
      <c r="N418" s="202">
        <v>0</v>
      </c>
      <c r="O418" s="202">
        <v>0</v>
      </c>
      <c r="P418" s="202">
        <v>0</v>
      </c>
      <c r="Q418" s="202">
        <v>0</v>
      </c>
      <c r="R418" s="202">
        <v>0</v>
      </c>
      <c r="S418" s="202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207">
        <v>0</v>
      </c>
      <c r="F419" s="207">
        <v>0</v>
      </c>
      <c r="G419" s="203">
        <v>0</v>
      </c>
      <c r="H419" s="202">
        <v>0</v>
      </c>
      <c r="I419" s="203">
        <v>0</v>
      </c>
      <c r="J419" s="202">
        <v>0</v>
      </c>
      <c r="K419" s="202">
        <v>0</v>
      </c>
      <c r="L419" s="202">
        <v>0</v>
      </c>
      <c r="M419" s="202">
        <v>0</v>
      </c>
      <c r="N419" s="202">
        <v>0</v>
      </c>
      <c r="O419" s="202">
        <v>0</v>
      </c>
      <c r="P419" s="202">
        <v>0</v>
      </c>
      <c r="Q419" s="202">
        <v>0</v>
      </c>
      <c r="R419" s="202">
        <v>0</v>
      </c>
      <c r="S419" s="202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207">
        <v>0</v>
      </c>
      <c r="F420" s="207">
        <v>0</v>
      </c>
      <c r="G420" s="203">
        <v>0</v>
      </c>
      <c r="H420" s="202">
        <v>0</v>
      </c>
      <c r="I420" s="203">
        <v>0</v>
      </c>
      <c r="J420" s="202">
        <v>0</v>
      </c>
      <c r="K420" s="202">
        <v>0</v>
      </c>
      <c r="L420" s="202">
        <v>0</v>
      </c>
      <c r="M420" s="202">
        <v>0</v>
      </c>
      <c r="N420" s="202">
        <v>0</v>
      </c>
      <c r="O420" s="202">
        <v>0</v>
      </c>
      <c r="P420" s="202">
        <v>0</v>
      </c>
      <c r="Q420" s="202">
        <v>0</v>
      </c>
      <c r="R420" s="202">
        <v>0</v>
      </c>
      <c r="S420" s="202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207">
        <v>0</v>
      </c>
      <c r="F421" s="207">
        <v>0</v>
      </c>
      <c r="G421" s="203">
        <v>0</v>
      </c>
      <c r="H421" s="202">
        <v>0</v>
      </c>
      <c r="I421" s="203">
        <v>0</v>
      </c>
      <c r="J421" s="202">
        <v>0</v>
      </c>
      <c r="K421" s="202">
        <v>0</v>
      </c>
      <c r="L421" s="202">
        <v>0</v>
      </c>
      <c r="M421" s="202">
        <v>0</v>
      </c>
      <c r="N421" s="202">
        <v>0</v>
      </c>
      <c r="O421" s="202">
        <v>0</v>
      </c>
      <c r="P421" s="202">
        <v>0</v>
      </c>
      <c r="Q421" s="202">
        <v>0</v>
      </c>
      <c r="R421" s="202">
        <v>0</v>
      </c>
      <c r="S421" s="202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207">
        <v>0</v>
      </c>
      <c r="F422" s="207">
        <v>0</v>
      </c>
      <c r="G422" s="203">
        <v>0</v>
      </c>
      <c r="H422" s="202">
        <v>0</v>
      </c>
      <c r="I422" s="203">
        <v>0</v>
      </c>
      <c r="J422" s="202">
        <v>0</v>
      </c>
      <c r="K422" s="202">
        <v>0</v>
      </c>
      <c r="L422" s="202">
        <v>0</v>
      </c>
      <c r="M422" s="202">
        <v>0</v>
      </c>
      <c r="N422" s="202">
        <v>0</v>
      </c>
      <c r="O422" s="202">
        <v>0</v>
      </c>
      <c r="P422" s="202">
        <v>0</v>
      </c>
      <c r="Q422" s="202">
        <v>0</v>
      </c>
      <c r="R422" s="202">
        <v>0</v>
      </c>
      <c r="S422" s="202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207">
        <v>0</v>
      </c>
      <c r="F423" s="207">
        <v>0</v>
      </c>
      <c r="G423" s="203">
        <v>0</v>
      </c>
      <c r="H423" s="202">
        <v>0</v>
      </c>
      <c r="I423" s="203">
        <v>0</v>
      </c>
      <c r="J423" s="202">
        <v>0</v>
      </c>
      <c r="K423" s="202">
        <v>0</v>
      </c>
      <c r="L423" s="202">
        <v>0</v>
      </c>
      <c r="M423" s="202">
        <v>0</v>
      </c>
      <c r="N423" s="202">
        <v>0</v>
      </c>
      <c r="O423" s="202">
        <v>0</v>
      </c>
      <c r="P423" s="202">
        <v>0</v>
      </c>
      <c r="Q423" s="202">
        <v>0</v>
      </c>
      <c r="R423" s="202">
        <v>0</v>
      </c>
      <c r="S423" s="202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207">
        <v>0</v>
      </c>
      <c r="F424" s="207">
        <v>0</v>
      </c>
      <c r="G424" s="203">
        <v>0</v>
      </c>
      <c r="H424" s="202">
        <v>0</v>
      </c>
      <c r="I424" s="203">
        <v>0</v>
      </c>
      <c r="J424" s="202">
        <v>0</v>
      </c>
      <c r="K424" s="202">
        <v>0</v>
      </c>
      <c r="L424" s="202">
        <v>0</v>
      </c>
      <c r="M424" s="202">
        <v>0</v>
      </c>
      <c r="N424" s="202">
        <v>0</v>
      </c>
      <c r="O424" s="202">
        <v>0</v>
      </c>
      <c r="P424" s="202">
        <v>0</v>
      </c>
      <c r="Q424" s="202">
        <v>0</v>
      </c>
      <c r="R424" s="202">
        <v>0</v>
      </c>
      <c r="S424" s="202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207">
        <v>39089</v>
      </c>
      <c r="F425" s="207">
        <v>90608.301999999996</v>
      </c>
      <c r="G425" s="203">
        <v>-1189257</v>
      </c>
      <c r="H425" s="202">
        <v>-2756697.7260000003</v>
      </c>
      <c r="I425" s="203">
        <v>-89832</v>
      </c>
      <c r="J425" s="202">
        <v>-208230.576</v>
      </c>
      <c r="K425" s="202">
        <v>19770</v>
      </c>
      <c r="L425" s="202">
        <v>45826.86</v>
      </c>
      <c r="M425" s="202">
        <v>20091</v>
      </c>
      <c r="N425" s="202">
        <v>46570.938000000002</v>
      </c>
      <c r="O425" s="202">
        <v>-20091</v>
      </c>
      <c r="P425" s="202">
        <v>-46570.938000000002</v>
      </c>
      <c r="Q425" s="202">
        <v>1260806</v>
      </c>
      <c r="R425" s="202">
        <v>2922548.3080000002</v>
      </c>
      <c r="S425" s="202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207">
        <v>0</v>
      </c>
      <c r="F426" s="207">
        <v>0</v>
      </c>
      <c r="G426" s="203">
        <v>0</v>
      </c>
      <c r="H426" s="202">
        <v>0</v>
      </c>
      <c r="I426" s="203">
        <v>0</v>
      </c>
      <c r="J426" s="202">
        <v>0</v>
      </c>
      <c r="K426" s="202">
        <v>0</v>
      </c>
      <c r="L426" s="202">
        <v>0</v>
      </c>
      <c r="M426" s="202">
        <v>0</v>
      </c>
      <c r="N426" s="202">
        <v>0</v>
      </c>
      <c r="O426" s="202">
        <v>0</v>
      </c>
      <c r="P426" s="202">
        <v>0</v>
      </c>
      <c r="Q426" s="202">
        <v>0</v>
      </c>
      <c r="R426" s="202">
        <v>0</v>
      </c>
      <c r="S426" s="202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207">
        <v>0</v>
      </c>
      <c r="F427" s="207">
        <v>0</v>
      </c>
      <c r="G427" s="203">
        <v>0</v>
      </c>
      <c r="H427" s="202">
        <v>0</v>
      </c>
      <c r="I427" s="203">
        <v>0</v>
      </c>
      <c r="J427" s="202">
        <v>0</v>
      </c>
      <c r="K427" s="202">
        <v>0</v>
      </c>
      <c r="L427" s="202">
        <v>0</v>
      </c>
      <c r="M427" s="202">
        <v>0</v>
      </c>
      <c r="N427" s="202">
        <v>0</v>
      </c>
      <c r="O427" s="202">
        <v>0</v>
      </c>
      <c r="P427" s="202">
        <v>0</v>
      </c>
      <c r="Q427" s="202">
        <v>0</v>
      </c>
      <c r="R427" s="202">
        <v>-631249.36</v>
      </c>
      <c r="S427" s="202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207">
        <v>0</v>
      </c>
      <c r="F428" s="207">
        <v>0</v>
      </c>
      <c r="G428" s="203">
        <v>0</v>
      </c>
      <c r="H428" s="202">
        <v>0</v>
      </c>
      <c r="I428" s="203">
        <v>0</v>
      </c>
      <c r="J428" s="202">
        <v>0</v>
      </c>
      <c r="K428" s="202">
        <v>0</v>
      </c>
      <c r="L428" s="202">
        <v>0</v>
      </c>
      <c r="M428" s="202">
        <v>0</v>
      </c>
      <c r="N428" s="202">
        <v>0</v>
      </c>
      <c r="O428" s="202">
        <v>0</v>
      </c>
      <c r="P428" s="202">
        <v>0</v>
      </c>
      <c r="Q428" s="202">
        <v>0</v>
      </c>
      <c r="R428" s="202">
        <v>0</v>
      </c>
      <c r="S428" s="202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207">
        <v>0</v>
      </c>
      <c r="F429" s="207">
        <v>0</v>
      </c>
      <c r="G429" s="203">
        <v>0</v>
      </c>
      <c r="H429" s="202">
        <v>0</v>
      </c>
      <c r="I429" s="203">
        <v>0</v>
      </c>
      <c r="J429" s="202">
        <v>0</v>
      </c>
      <c r="K429" s="202">
        <v>0</v>
      </c>
      <c r="L429" s="202">
        <v>0</v>
      </c>
      <c r="M429" s="202">
        <v>0</v>
      </c>
      <c r="N429" s="202">
        <v>0</v>
      </c>
      <c r="O429" s="202">
        <v>0</v>
      </c>
      <c r="P429" s="202">
        <v>0</v>
      </c>
      <c r="Q429" s="202">
        <v>0</v>
      </c>
      <c r="R429" s="202">
        <v>0</v>
      </c>
      <c r="S429" s="202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207">
        <v>0</v>
      </c>
      <c r="F430" s="207">
        <v>0</v>
      </c>
      <c r="G430" s="203">
        <v>0</v>
      </c>
      <c r="H430" s="202">
        <v>0</v>
      </c>
      <c r="I430" s="203">
        <v>0</v>
      </c>
      <c r="J430" s="202">
        <v>0</v>
      </c>
      <c r="K430" s="202">
        <v>0</v>
      </c>
      <c r="L430" s="202">
        <v>0</v>
      </c>
      <c r="M430" s="202">
        <v>0</v>
      </c>
      <c r="N430" s="202">
        <v>0</v>
      </c>
      <c r="O430" s="202">
        <v>0</v>
      </c>
      <c r="P430" s="202">
        <v>0</v>
      </c>
      <c r="Q430" s="202">
        <v>0</v>
      </c>
      <c r="R430" s="202">
        <v>0</v>
      </c>
      <c r="S430" s="202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207">
        <v>0</v>
      </c>
      <c r="F431" s="207">
        <v>0</v>
      </c>
      <c r="G431" s="203">
        <v>0</v>
      </c>
      <c r="H431" s="202">
        <v>0</v>
      </c>
      <c r="I431" s="203">
        <v>0</v>
      </c>
      <c r="J431" s="202">
        <v>0</v>
      </c>
      <c r="K431" s="202">
        <v>0</v>
      </c>
      <c r="L431" s="202">
        <v>0</v>
      </c>
      <c r="M431" s="202">
        <v>0</v>
      </c>
      <c r="N431" s="202">
        <v>0</v>
      </c>
      <c r="O431" s="202">
        <v>0</v>
      </c>
      <c r="P431" s="202">
        <v>0</v>
      </c>
      <c r="Q431" s="202">
        <v>0</v>
      </c>
      <c r="R431" s="202">
        <v>0</v>
      </c>
      <c r="S431" s="202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207">
        <v>0</v>
      </c>
      <c r="F432" s="207">
        <v>0</v>
      </c>
      <c r="G432" s="203">
        <v>0</v>
      </c>
      <c r="H432" s="202">
        <v>0</v>
      </c>
      <c r="I432" s="203">
        <v>0</v>
      </c>
      <c r="J432" s="202">
        <v>0</v>
      </c>
      <c r="K432" s="202">
        <v>0</v>
      </c>
      <c r="L432" s="202">
        <v>0</v>
      </c>
      <c r="M432" s="202">
        <v>0</v>
      </c>
      <c r="N432" s="202">
        <v>0</v>
      </c>
      <c r="O432" s="202">
        <v>0</v>
      </c>
      <c r="P432" s="202">
        <v>0</v>
      </c>
      <c r="Q432" s="202">
        <v>0</v>
      </c>
      <c r="R432" s="202">
        <v>0</v>
      </c>
      <c r="S432" s="202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207">
        <v>0</v>
      </c>
      <c r="F433" s="207">
        <v>0</v>
      </c>
      <c r="G433" s="203">
        <v>0</v>
      </c>
      <c r="H433" s="202">
        <v>0</v>
      </c>
      <c r="I433" s="203">
        <v>0</v>
      </c>
      <c r="J433" s="202">
        <v>0</v>
      </c>
      <c r="K433" s="202">
        <v>0</v>
      </c>
      <c r="L433" s="202">
        <v>0</v>
      </c>
      <c r="M433" s="202">
        <v>0</v>
      </c>
      <c r="N433" s="202">
        <v>0</v>
      </c>
      <c r="O433" s="202">
        <v>0</v>
      </c>
      <c r="P433" s="202">
        <v>0</v>
      </c>
      <c r="Q433" s="202">
        <v>0</v>
      </c>
      <c r="R433" s="202">
        <v>0</v>
      </c>
      <c r="S433" s="202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207">
        <v>0</v>
      </c>
      <c r="F434" s="207">
        <v>0</v>
      </c>
      <c r="G434" s="203">
        <v>0</v>
      </c>
      <c r="H434" s="202">
        <v>0</v>
      </c>
      <c r="I434" s="203">
        <v>0</v>
      </c>
      <c r="J434" s="202">
        <v>0</v>
      </c>
      <c r="K434" s="202">
        <v>0</v>
      </c>
      <c r="L434" s="202">
        <v>0</v>
      </c>
      <c r="M434" s="202">
        <v>0</v>
      </c>
      <c r="N434" s="202">
        <v>0</v>
      </c>
      <c r="O434" s="202">
        <v>0</v>
      </c>
      <c r="P434" s="202">
        <v>0</v>
      </c>
      <c r="Q434" s="202">
        <v>0</v>
      </c>
      <c r="R434" s="202">
        <v>0</v>
      </c>
      <c r="S434" s="202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207">
        <v>0</v>
      </c>
      <c r="F435" s="207">
        <v>0</v>
      </c>
      <c r="G435" s="203">
        <v>0</v>
      </c>
      <c r="H435" s="202">
        <v>0</v>
      </c>
      <c r="I435" s="203">
        <v>0</v>
      </c>
      <c r="J435" s="202">
        <v>0</v>
      </c>
      <c r="K435" s="202">
        <v>0</v>
      </c>
      <c r="L435" s="202">
        <v>0</v>
      </c>
      <c r="M435" s="202">
        <v>0</v>
      </c>
      <c r="N435" s="202">
        <v>0</v>
      </c>
      <c r="O435" s="202">
        <v>0</v>
      </c>
      <c r="P435" s="202">
        <v>0</v>
      </c>
      <c r="Q435" s="202">
        <v>0</v>
      </c>
      <c r="R435" s="202">
        <v>0</v>
      </c>
      <c r="S435" s="202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207">
        <v>0</v>
      </c>
      <c r="F436" s="207">
        <v>0</v>
      </c>
      <c r="G436" s="203">
        <v>0</v>
      </c>
      <c r="H436" s="202">
        <v>0</v>
      </c>
      <c r="I436" s="203">
        <v>0</v>
      </c>
      <c r="J436" s="202">
        <v>0</v>
      </c>
      <c r="K436" s="202">
        <v>0</v>
      </c>
      <c r="L436" s="202">
        <v>0</v>
      </c>
      <c r="M436" s="202">
        <v>0</v>
      </c>
      <c r="N436" s="202">
        <v>0</v>
      </c>
      <c r="O436" s="202">
        <v>0</v>
      </c>
      <c r="P436" s="202">
        <v>0</v>
      </c>
      <c r="Q436" s="202">
        <v>0</v>
      </c>
      <c r="R436" s="202">
        <v>0</v>
      </c>
      <c r="S436" s="202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207">
        <v>0</v>
      </c>
      <c r="F437" s="207">
        <v>0</v>
      </c>
      <c r="G437" s="203">
        <v>0</v>
      </c>
      <c r="H437" s="202">
        <v>0</v>
      </c>
      <c r="I437" s="203">
        <v>0</v>
      </c>
      <c r="J437" s="202">
        <v>0</v>
      </c>
      <c r="K437" s="202">
        <v>0</v>
      </c>
      <c r="L437" s="202">
        <v>0</v>
      </c>
      <c r="M437" s="202">
        <v>0</v>
      </c>
      <c r="N437" s="202">
        <v>0</v>
      </c>
      <c r="O437" s="202">
        <v>0</v>
      </c>
      <c r="P437" s="202">
        <v>0</v>
      </c>
      <c r="Q437" s="202">
        <v>0</v>
      </c>
      <c r="R437" s="202">
        <v>0</v>
      </c>
      <c r="S437" s="202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207">
        <v>0</v>
      </c>
      <c r="F438" s="207">
        <v>0</v>
      </c>
      <c r="G438" s="203">
        <v>0</v>
      </c>
      <c r="H438" s="202">
        <v>0</v>
      </c>
      <c r="I438" s="203">
        <v>0</v>
      </c>
      <c r="J438" s="202">
        <v>0</v>
      </c>
      <c r="K438" s="202">
        <v>0</v>
      </c>
      <c r="L438" s="202">
        <v>0</v>
      </c>
      <c r="M438" s="202">
        <v>0</v>
      </c>
      <c r="N438" s="202">
        <v>0</v>
      </c>
      <c r="O438" s="202">
        <v>0</v>
      </c>
      <c r="P438" s="202">
        <v>0</v>
      </c>
      <c r="Q438" s="202">
        <v>0</v>
      </c>
      <c r="R438" s="202">
        <v>0</v>
      </c>
      <c r="S438" s="202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207">
        <v>0</v>
      </c>
      <c r="F439" s="207">
        <v>0</v>
      </c>
      <c r="G439" s="203">
        <v>0</v>
      </c>
      <c r="H439" s="202">
        <v>0</v>
      </c>
      <c r="I439" s="203">
        <v>0</v>
      </c>
      <c r="J439" s="202">
        <v>0</v>
      </c>
      <c r="K439" s="202">
        <v>0</v>
      </c>
      <c r="L439" s="202">
        <v>0</v>
      </c>
      <c r="M439" s="202">
        <v>0</v>
      </c>
      <c r="N439" s="202">
        <v>0</v>
      </c>
      <c r="O439" s="202">
        <v>0</v>
      </c>
      <c r="P439" s="202">
        <v>0</v>
      </c>
      <c r="Q439" s="202">
        <v>0</v>
      </c>
      <c r="R439" s="202">
        <v>0</v>
      </c>
      <c r="S439" s="202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207">
        <v>0</v>
      </c>
      <c r="F440" s="207">
        <v>0</v>
      </c>
      <c r="G440" s="203">
        <v>0</v>
      </c>
      <c r="H440" s="202">
        <v>0</v>
      </c>
      <c r="I440" s="203">
        <v>0</v>
      </c>
      <c r="J440" s="202">
        <v>0</v>
      </c>
      <c r="K440" s="202">
        <v>0</v>
      </c>
      <c r="L440" s="202">
        <v>0</v>
      </c>
      <c r="M440" s="202">
        <v>0</v>
      </c>
      <c r="N440" s="202">
        <v>0</v>
      </c>
      <c r="O440" s="202">
        <v>0</v>
      </c>
      <c r="P440" s="202">
        <v>0</v>
      </c>
      <c r="Q440" s="202">
        <v>0</v>
      </c>
      <c r="R440" s="202">
        <v>0</v>
      </c>
      <c r="S440" s="202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207">
        <v>0</v>
      </c>
      <c r="F441" s="207">
        <v>0</v>
      </c>
      <c r="G441" s="203">
        <v>0</v>
      </c>
      <c r="H441" s="202">
        <v>0</v>
      </c>
      <c r="I441" s="203">
        <v>0</v>
      </c>
      <c r="J441" s="202">
        <v>0</v>
      </c>
      <c r="K441" s="202">
        <v>0</v>
      </c>
      <c r="L441" s="202">
        <v>0</v>
      </c>
      <c r="M441" s="202">
        <v>0</v>
      </c>
      <c r="N441" s="202">
        <v>0</v>
      </c>
      <c r="O441" s="202">
        <v>0</v>
      </c>
      <c r="P441" s="202">
        <v>0</v>
      </c>
      <c r="Q441" s="202">
        <v>0</v>
      </c>
      <c r="R441" s="202">
        <v>0</v>
      </c>
      <c r="S441" s="202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207">
        <v>0</v>
      </c>
      <c r="F442" s="207">
        <v>0</v>
      </c>
      <c r="G442" s="203">
        <v>0</v>
      </c>
      <c r="H442" s="202">
        <v>0</v>
      </c>
      <c r="I442" s="203">
        <v>0</v>
      </c>
      <c r="J442" s="202">
        <v>0</v>
      </c>
      <c r="K442" s="202">
        <v>0</v>
      </c>
      <c r="L442" s="202">
        <v>0</v>
      </c>
      <c r="M442" s="202">
        <v>0</v>
      </c>
      <c r="N442" s="202">
        <v>0</v>
      </c>
      <c r="O442" s="202">
        <v>0</v>
      </c>
      <c r="P442" s="202">
        <v>0</v>
      </c>
      <c r="Q442" s="202">
        <v>0</v>
      </c>
      <c r="R442" s="202">
        <v>0</v>
      </c>
      <c r="S442" s="202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207">
        <v>0</v>
      </c>
      <c r="F443" s="207">
        <v>0</v>
      </c>
      <c r="G443" s="203">
        <v>0</v>
      </c>
      <c r="H443" s="202">
        <v>0</v>
      </c>
      <c r="I443" s="203">
        <v>0</v>
      </c>
      <c r="J443" s="202">
        <v>0</v>
      </c>
      <c r="K443" s="202">
        <v>0</v>
      </c>
      <c r="L443" s="202">
        <v>0</v>
      </c>
      <c r="M443" s="202">
        <v>0</v>
      </c>
      <c r="N443" s="202">
        <v>0</v>
      </c>
      <c r="O443" s="202">
        <v>0</v>
      </c>
      <c r="P443" s="202">
        <v>0</v>
      </c>
      <c r="Q443" s="202">
        <v>0</v>
      </c>
      <c r="R443" s="202">
        <v>0</v>
      </c>
      <c r="S443" s="202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207">
        <v>12082230</v>
      </c>
      <c r="F444" s="207">
        <v>31458989.379999999</v>
      </c>
      <c r="G444" s="203">
        <v>1290403</v>
      </c>
      <c r="H444" s="202">
        <v>3782323.86</v>
      </c>
      <c r="I444" s="203">
        <v>86962</v>
      </c>
      <c r="J444" s="202">
        <v>-15559.87</v>
      </c>
      <c r="K444" s="202">
        <v>231</v>
      </c>
      <c r="L444" s="202">
        <v>5619.97</v>
      </c>
      <c r="M444" s="202">
        <v>-28786</v>
      </c>
      <c r="N444" s="202">
        <v>-83176.44</v>
      </c>
      <c r="O444" s="202">
        <v>18235</v>
      </c>
      <c r="P444" s="202">
        <v>310405.86</v>
      </c>
      <c r="Q444" s="202">
        <v>49949</v>
      </c>
      <c r="R444" s="202">
        <v>135679.19</v>
      </c>
      <c r="S444" s="202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207">
        <v>0</v>
      </c>
      <c r="F445" s="207">
        <v>0</v>
      </c>
      <c r="G445" s="203">
        <v>0</v>
      </c>
      <c r="H445" s="202">
        <v>0</v>
      </c>
      <c r="I445" s="203">
        <v>0</v>
      </c>
      <c r="J445" s="202">
        <v>0</v>
      </c>
      <c r="K445" s="202">
        <v>0</v>
      </c>
      <c r="L445" s="202">
        <v>0</v>
      </c>
      <c r="M445" s="202">
        <v>0</v>
      </c>
      <c r="N445" s="202">
        <v>0</v>
      </c>
      <c r="O445" s="202">
        <v>0</v>
      </c>
      <c r="P445" s="202">
        <v>0</v>
      </c>
      <c r="Q445" s="202">
        <v>0</v>
      </c>
      <c r="R445" s="202">
        <v>0</v>
      </c>
      <c r="S445" s="202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207">
        <v>6454820</v>
      </c>
      <c r="F446" s="207">
        <v>14799252</v>
      </c>
      <c r="G446" s="203">
        <v>-5967083</v>
      </c>
      <c r="H446" s="202">
        <v>-13678734</v>
      </c>
      <c r="I446" s="203">
        <v>0</v>
      </c>
      <c r="J446" s="202">
        <v>0</v>
      </c>
      <c r="K446" s="202">
        <v>32274</v>
      </c>
      <c r="L446" s="202">
        <v>72679</v>
      </c>
      <c r="M446" s="202">
        <v>0</v>
      </c>
      <c r="N446" s="202">
        <v>0</v>
      </c>
      <c r="O446" s="202">
        <v>0</v>
      </c>
      <c r="P446" s="202">
        <v>0</v>
      </c>
      <c r="Q446" s="202">
        <v>5439893</v>
      </c>
      <c r="R446" s="202">
        <v>12470519</v>
      </c>
      <c r="S446" s="202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207">
        <v>0</v>
      </c>
      <c r="F447" s="207">
        <v>0</v>
      </c>
      <c r="G447" s="203">
        <v>0</v>
      </c>
      <c r="H447" s="202">
        <v>0</v>
      </c>
      <c r="I447" s="203">
        <v>0</v>
      </c>
      <c r="J447" s="202">
        <v>0</v>
      </c>
      <c r="K447" s="202">
        <v>0</v>
      </c>
      <c r="L447" s="202">
        <v>0</v>
      </c>
      <c r="M447" s="202">
        <v>0</v>
      </c>
      <c r="N447" s="202">
        <v>0</v>
      </c>
      <c r="O447" s="202">
        <v>0</v>
      </c>
      <c r="P447" s="202">
        <v>0</v>
      </c>
      <c r="Q447" s="202">
        <v>0</v>
      </c>
      <c r="R447" s="202">
        <v>0</v>
      </c>
      <c r="S447" s="202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207">
        <v>0</v>
      </c>
      <c r="F448" s="207">
        <v>0</v>
      </c>
      <c r="G448" s="203">
        <v>0</v>
      </c>
      <c r="H448" s="202">
        <v>0</v>
      </c>
      <c r="I448" s="203">
        <v>0</v>
      </c>
      <c r="J448" s="202">
        <v>0</v>
      </c>
      <c r="K448" s="202">
        <v>0</v>
      </c>
      <c r="L448" s="202">
        <v>0</v>
      </c>
      <c r="M448" s="202">
        <v>0</v>
      </c>
      <c r="N448" s="202">
        <v>0</v>
      </c>
      <c r="O448" s="202">
        <v>0</v>
      </c>
      <c r="P448" s="202">
        <v>0</v>
      </c>
      <c r="Q448" s="202">
        <v>0</v>
      </c>
      <c r="R448" s="202">
        <v>0</v>
      </c>
      <c r="S448" s="202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207">
        <v>-545017</v>
      </c>
      <c r="F449" s="207">
        <v>-1188595.31</v>
      </c>
      <c r="G449" s="203">
        <v>-331370</v>
      </c>
      <c r="H449" s="202">
        <v>424645.98</v>
      </c>
      <c r="I449" s="203">
        <v>518976</v>
      </c>
      <c r="J449" s="202">
        <v>1054843.8700000001</v>
      </c>
      <c r="K449" s="202">
        <v>-725976</v>
      </c>
      <c r="L449" s="202">
        <v>-1535643.87</v>
      </c>
      <c r="M449" s="202">
        <v>518976</v>
      </c>
      <c r="N449" s="202">
        <v>1062343.8700000001</v>
      </c>
      <c r="O449" s="202">
        <v>0</v>
      </c>
      <c r="P449" s="202">
        <v>-1062343.8700000001</v>
      </c>
      <c r="Q449" s="202">
        <v>0</v>
      </c>
      <c r="R449" s="202">
        <v>0</v>
      </c>
      <c r="S449" s="202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207">
        <v>0</v>
      </c>
      <c r="F450" s="207">
        <v>0</v>
      </c>
      <c r="G450" s="203">
        <v>0</v>
      </c>
      <c r="H450" s="202">
        <v>0</v>
      </c>
      <c r="I450" s="203">
        <v>0</v>
      </c>
      <c r="J450" s="202">
        <v>0</v>
      </c>
      <c r="K450" s="202">
        <v>0</v>
      </c>
      <c r="L450" s="202">
        <v>0</v>
      </c>
      <c r="M450" s="202">
        <v>0</v>
      </c>
      <c r="N450" s="202">
        <v>0</v>
      </c>
      <c r="O450" s="202">
        <v>0</v>
      </c>
      <c r="P450" s="202">
        <v>0</v>
      </c>
      <c r="Q450" s="202">
        <v>0</v>
      </c>
      <c r="R450" s="202">
        <v>0</v>
      </c>
      <c r="S450" s="202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207">
        <v>-5979904</v>
      </c>
      <c r="F451" s="207">
        <v>-13705316</v>
      </c>
      <c r="G451" s="203">
        <v>5959267</v>
      </c>
      <c r="H451" s="202">
        <v>13662391</v>
      </c>
      <c r="I451" s="203">
        <v>0</v>
      </c>
      <c r="J451" s="202">
        <v>0</v>
      </c>
      <c r="K451" s="202">
        <v>0</v>
      </c>
      <c r="L451" s="202">
        <v>0</v>
      </c>
      <c r="M451" s="202">
        <v>0</v>
      </c>
      <c r="N451" s="202">
        <v>0</v>
      </c>
      <c r="O451" s="202">
        <v>0</v>
      </c>
      <c r="P451" s="202">
        <v>0</v>
      </c>
      <c r="Q451" s="202">
        <v>-5939267</v>
      </c>
      <c r="R451" s="202">
        <v>-13620791</v>
      </c>
      <c r="S451" s="202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207">
        <v>0</v>
      </c>
      <c r="F452" s="207">
        <v>0</v>
      </c>
      <c r="G452" s="203">
        <v>0</v>
      </c>
      <c r="H452" s="202">
        <v>0</v>
      </c>
      <c r="I452" s="203">
        <v>0</v>
      </c>
      <c r="J452" s="202">
        <v>0</v>
      </c>
      <c r="K452" s="202">
        <v>0</v>
      </c>
      <c r="L452" s="202">
        <v>0</v>
      </c>
      <c r="M452" s="202">
        <v>0</v>
      </c>
      <c r="N452" s="202">
        <v>0</v>
      </c>
      <c r="O452" s="202">
        <v>0</v>
      </c>
      <c r="P452" s="202">
        <v>0</v>
      </c>
      <c r="Q452" s="202">
        <v>0</v>
      </c>
      <c r="R452" s="202">
        <v>0</v>
      </c>
      <c r="S452" s="202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207">
        <v>4340</v>
      </c>
      <c r="F453" s="207">
        <v>8883.98</v>
      </c>
      <c r="G453" s="203">
        <v>422</v>
      </c>
      <c r="H453" s="202">
        <v>863.83399999999995</v>
      </c>
      <c r="I453" s="203">
        <v>15</v>
      </c>
      <c r="J453" s="202">
        <v>30.704999999999998</v>
      </c>
      <c r="K453" s="202">
        <v>0</v>
      </c>
      <c r="L453" s="202">
        <v>0</v>
      </c>
      <c r="M453" s="202">
        <v>0</v>
      </c>
      <c r="N453" s="202">
        <v>0</v>
      </c>
      <c r="O453" s="202">
        <v>0</v>
      </c>
      <c r="P453" s="202">
        <v>0</v>
      </c>
      <c r="Q453" s="202">
        <v>0</v>
      </c>
      <c r="R453" s="202">
        <v>0</v>
      </c>
      <c r="S453" s="202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207">
        <v>2986570</v>
      </c>
      <c r="F454" s="207">
        <v>6816749.0700000003</v>
      </c>
      <c r="G454" s="203">
        <v>0</v>
      </c>
      <c r="H454" s="202">
        <v>1019.39</v>
      </c>
      <c r="I454" s="203">
        <v>13001</v>
      </c>
      <c r="J454" s="202">
        <v>34972.14</v>
      </c>
      <c r="K454" s="202">
        <v>-24</v>
      </c>
      <c r="L454" s="202">
        <v>-54.78</v>
      </c>
      <c r="M454" s="202">
        <v>0</v>
      </c>
      <c r="N454" s="202">
        <v>0</v>
      </c>
      <c r="O454" s="202">
        <v>0</v>
      </c>
      <c r="P454" s="202">
        <v>0</v>
      </c>
      <c r="Q454" s="202">
        <v>0</v>
      </c>
      <c r="R454" s="202">
        <v>0</v>
      </c>
      <c r="S454" s="202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207">
        <v>-7129577</v>
      </c>
      <c r="F455" s="207">
        <v>-15857794.720000001</v>
      </c>
      <c r="G455" s="203">
        <v>-8556978</v>
      </c>
      <c r="H455" s="202">
        <v>-20077892.350000001</v>
      </c>
      <c r="I455" s="203">
        <v>-303649</v>
      </c>
      <c r="J455" s="202">
        <v>-716308.93</v>
      </c>
      <c r="K455" s="202">
        <v>160661</v>
      </c>
      <c r="L455" s="202">
        <v>379786.4</v>
      </c>
      <c r="M455" s="202">
        <v>30385</v>
      </c>
      <c r="N455" s="202">
        <v>71262.47</v>
      </c>
      <c r="O455" s="202">
        <v>-18275</v>
      </c>
      <c r="P455" s="202">
        <v>-44669.440000000002</v>
      </c>
      <c r="Q455" s="202">
        <v>-24897</v>
      </c>
      <c r="R455" s="202">
        <v>-46682.59</v>
      </c>
      <c r="S455" s="202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207">
        <v>-7927979</v>
      </c>
      <c r="F456" s="207">
        <v>-16228573.013</v>
      </c>
      <c r="G456" s="203">
        <v>8242254</v>
      </c>
      <c r="H456" s="202">
        <v>16871893.938000001</v>
      </c>
      <c r="I456" s="203">
        <v>-315305</v>
      </c>
      <c r="J456" s="202">
        <v>-645429.33499999996</v>
      </c>
      <c r="K456" s="202">
        <v>-202</v>
      </c>
      <c r="L456" s="202">
        <v>-413.49400000000003</v>
      </c>
      <c r="M456" s="202">
        <v>-1599</v>
      </c>
      <c r="N456" s="202">
        <v>-3273.1529999999998</v>
      </c>
      <c r="O456" s="202">
        <v>40</v>
      </c>
      <c r="P456" s="202">
        <v>81.88</v>
      </c>
      <c r="Q456" s="202">
        <v>43</v>
      </c>
      <c r="R456" s="202">
        <v>88.021000000000001</v>
      </c>
      <c r="S456" s="202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207">
        <v>0</v>
      </c>
      <c r="F457" s="207">
        <v>0</v>
      </c>
      <c r="G457" s="203">
        <v>0</v>
      </c>
      <c r="H457" s="202">
        <v>0</v>
      </c>
      <c r="I457" s="203">
        <v>0</v>
      </c>
      <c r="J457" s="202">
        <v>0</v>
      </c>
      <c r="K457" s="202">
        <v>0</v>
      </c>
      <c r="L457" s="202">
        <v>0</v>
      </c>
      <c r="M457" s="202">
        <v>0</v>
      </c>
      <c r="N457" s="202">
        <v>0</v>
      </c>
      <c r="O457" s="202">
        <v>0</v>
      </c>
      <c r="P457" s="202">
        <v>0</v>
      </c>
      <c r="Q457" s="202">
        <v>0</v>
      </c>
      <c r="R457" s="202">
        <v>0</v>
      </c>
      <c r="S457" s="202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207">
        <v>0</v>
      </c>
      <c r="F458" s="207">
        <v>0</v>
      </c>
      <c r="G458" s="203">
        <v>0</v>
      </c>
      <c r="H458" s="202">
        <v>0</v>
      </c>
      <c r="I458" s="203">
        <v>0</v>
      </c>
      <c r="J458" s="202">
        <v>0</v>
      </c>
      <c r="K458" s="202">
        <v>0</v>
      </c>
      <c r="L458" s="202">
        <v>0</v>
      </c>
      <c r="M458" s="202">
        <v>0</v>
      </c>
      <c r="N458" s="202">
        <v>0</v>
      </c>
      <c r="O458" s="202">
        <v>0</v>
      </c>
      <c r="P458" s="202">
        <v>0</v>
      </c>
      <c r="Q458" s="202">
        <v>0</v>
      </c>
      <c r="R458" s="202">
        <v>0</v>
      </c>
      <c r="S458" s="202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207">
        <v>0</v>
      </c>
      <c r="F459" s="207">
        <v>0</v>
      </c>
      <c r="G459" s="203">
        <v>0</v>
      </c>
      <c r="H459" s="202">
        <v>0</v>
      </c>
      <c r="I459" s="203">
        <v>0</v>
      </c>
      <c r="J459" s="202">
        <v>0</v>
      </c>
      <c r="K459" s="202">
        <v>0</v>
      </c>
      <c r="L459" s="202">
        <v>0</v>
      </c>
      <c r="M459" s="202">
        <v>0</v>
      </c>
      <c r="N459" s="202">
        <v>0</v>
      </c>
      <c r="O459" s="202">
        <v>0</v>
      </c>
      <c r="P459" s="202">
        <v>0</v>
      </c>
      <c r="Q459" s="202">
        <v>0</v>
      </c>
      <c r="R459" s="202">
        <v>0</v>
      </c>
      <c r="S459" s="202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207">
        <v>0</v>
      </c>
      <c r="F460" s="207">
        <v>0</v>
      </c>
      <c r="G460" s="203">
        <v>0</v>
      </c>
      <c r="H460" s="202">
        <v>0</v>
      </c>
      <c r="I460" s="203">
        <v>0</v>
      </c>
      <c r="J460" s="202">
        <v>0</v>
      </c>
      <c r="K460" s="202">
        <v>0</v>
      </c>
      <c r="L460" s="202">
        <v>0</v>
      </c>
      <c r="M460" s="202">
        <v>0</v>
      </c>
      <c r="N460" s="202">
        <v>0</v>
      </c>
      <c r="O460" s="202">
        <v>0</v>
      </c>
      <c r="P460" s="202">
        <v>0</v>
      </c>
      <c r="Q460" s="202">
        <v>0</v>
      </c>
      <c r="R460" s="202">
        <v>0</v>
      </c>
      <c r="S460" s="202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207">
        <v>-63000</v>
      </c>
      <c r="F461" s="207">
        <v>-136177.82999999999</v>
      </c>
      <c r="G461" s="203">
        <v>-518976</v>
      </c>
      <c r="H461" s="202">
        <v>-2337060.29</v>
      </c>
      <c r="I461" s="203">
        <v>0</v>
      </c>
      <c r="J461" s="202">
        <v>0</v>
      </c>
      <c r="K461" s="202">
        <v>14060</v>
      </c>
      <c r="L461" s="202">
        <v>63312.18</v>
      </c>
      <c r="M461" s="202">
        <v>0</v>
      </c>
      <c r="N461" s="202">
        <v>0</v>
      </c>
      <c r="O461" s="202">
        <v>0</v>
      </c>
      <c r="P461" s="202">
        <v>1079711.55</v>
      </c>
      <c r="Q461" s="202">
        <v>0</v>
      </c>
      <c r="R461" s="202">
        <v>0</v>
      </c>
      <c r="S461" s="202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207">
        <v>0</v>
      </c>
      <c r="F462" s="207">
        <v>0</v>
      </c>
      <c r="G462" s="203">
        <v>0</v>
      </c>
      <c r="H462" s="202">
        <v>0</v>
      </c>
      <c r="I462" s="203">
        <v>0</v>
      </c>
      <c r="J462" s="202">
        <v>0</v>
      </c>
      <c r="K462" s="202">
        <v>0</v>
      </c>
      <c r="L462" s="202">
        <v>0</v>
      </c>
      <c r="M462" s="202">
        <v>0</v>
      </c>
      <c r="N462" s="202">
        <v>0</v>
      </c>
      <c r="O462" s="202">
        <v>0</v>
      </c>
      <c r="P462" s="202">
        <v>0</v>
      </c>
      <c r="Q462" s="202">
        <v>0</v>
      </c>
      <c r="R462" s="202">
        <v>0</v>
      </c>
      <c r="S462" s="202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207">
        <v>0</v>
      </c>
      <c r="F463" s="207">
        <v>0</v>
      </c>
      <c r="G463" s="203">
        <v>0</v>
      </c>
      <c r="H463" s="202">
        <v>0</v>
      </c>
      <c r="I463" s="203">
        <v>0</v>
      </c>
      <c r="J463" s="202">
        <v>0</v>
      </c>
      <c r="K463" s="202">
        <v>0</v>
      </c>
      <c r="L463" s="202">
        <v>0</v>
      </c>
      <c r="M463" s="202">
        <v>0</v>
      </c>
      <c r="N463" s="202">
        <v>0</v>
      </c>
      <c r="O463" s="202">
        <v>0</v>
      </c>
      <c r="P463" s="202">
        <v>0</v>
      </c>
      <c r="Q463" s="202">
        <v>0</v>
      </c>
      <c r="R463" s="202">
        <v>0</v>
      </c>
      <c r="S463" s="202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207">
        <v>0</v>
      </c>
      <c r="F464" s="207">
        <v>0</v>
      </c>
      <c r="G464" s="203">
        <v>0</v>
      </c>
      <c r="H464" s="202">
        <v>0</v>
      </c>
      <c r="I464" s="203">
        <v>0</v>
      </c>
      <c r="J464" s="202">
        <v>0</v>
      </c>
      <c r="K464" s="202">
        <v>0</v>
      </c>
      <c r="L464" s="202">
        <v>0</v>
      </c>
      <c r="M464" s="202">
        <v>0</v>
      </c>
      <c r="N464" s="202">
        <v>0</v>
      </c>
      <c r="O464" s="202">
        <v>0</v>
      </c>
      <c r="P464" s="202">
        <v>0</v>
      </c>
      <c r="Q464" s="202">
        <v>0</v>
      </c>
      <c r="R464" s="202">
        <v>0</v>
      </c>
      <c r="S464" s="202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207">
        <v>117517</v>
      </c>
      <c r="F465" s="207">
        <v>240557.299</v>
      </c>
      <c r="G465" s="203">
        <v>-117939</v>
      </c>
      <c r="H465" s="202">
        <v>-241421.133</v>
      </c>
      <c r="I465" s="203">
        <v>0</v>
      </c>
      <c r="J465" s="202">
        <v>0</v>
      </c>
      <c r="K465" s="202">
        <v>518976</v>
      </c>
      <c r="L465" s="202">
        <v>1062343.872</v>
      </c>
      <c r="M465" s="202">
        <v>-518976</v>
      </c>
      <c r="N465" s="202">
        <v>-1062343.872</v>
      </c>
      <c r="O465" s="202">
        <v>0</v>
      </c>
      <c r="P465" s="202">
        <v>0</v>
      </c>
      <c r="Q465" s="202">
        <v>474279</v>
      </c>
      <c r="R465" s="202">
        <v>970849.11300000001</v>
      </c>
      <c r="S465" s="202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207">
        <v>-4340</v>
      </c>
      <c r="F466" s="207">
        <v>-8883.98</v>
      </c>
      <c r="G466" s="203">
        <v>-422</v>
      </c>
      <c r="H466" s="202">
        <v>-863.83399999999995</v>
      </c>
      <c r="I466" s="203">
        <v>-15</v>
      </c>
      <c r="J466" s="202">
        <v>-30.704999999999998</v>
      </c>
      <c r="K466" s="202">
        <v>0</v>
      </c>
      <c r="L466" s="202">
        <v>0</v>
      </c>
      <c r="M466" s="202">
        <v>0</v>
      </c>
      <c r="N466" s="202">
        <v>0</v>
      </c>
      <c r="O466" s="202">
        <v>0</v>
      </c>
      <c r="P466" s="202">
        <v>0</v>
      </c>
      <c r="Q466" s="202">
        <v>0</v>
      </c>
      <c r="R466" s="202">
        <v>0</v>
      </c>
      <c r="S466" s="202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207">
        <v>-5510075</v>
      </c>
      <c r="F467" s="207">
        <v>-262685.17</v>
      </c>
      <c r="G467" s="203">
        <v>-9142471</v>
      </c>
      <c r="H467" s="202">
        <v>-262850.27</v>
      </c>
      <c r="I467" s="203">
        <v>-98996</v>
      </c>
      <c r="J467" s="202">
        <v>2845.21</v>
      </c>
      <c r="K467" s="202">
        <v>24</v>
      </c>
      <c r="L467" s="202">
        <v>-5005.51</v>
      </c>
      <c r="M467" s="202">
        <v>30385</v>
      </c>
      <c r="N467" s="202">
        <v>7470.81</v>
      </c>
      <c r="O467" s="202">
        <v>-18469</v>
      </c>
      <c r="P467" s="202">
        <v>-1454.31</v>
      </c>
      <c r="Q467" s="202">
        <v>0</v>
      </c>
      <c r="R467" s="202">
        <v>3.73</v>
      </c>
      <c r="S467" s="202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207">
        <v>0</v>
      </c>
      <c r="F468" s="207">
        <v>-236984</v>
      </c>
      <c r="G468" s="203">
        <v>0</v>
      </c>
      <c r="H468" s="202">
        <v>92916</v>
      </c>
      <c r="I468" s="203">
        <v>0</v>
      </c>
      <c r="J468" s="202">
        <v>0</v>
      </c>
      <c r="K468" s="202">
        <v>0</v>
      </c>
      <c r="L468" s="202">
        <v>768</v>
      </c>
      <c r="M468" s="202">
        <v>0</v>
      </c>
      <c r="N468" s="202">
        <v>0</v>
      </c>
      <c r="O468" s="202">
        <v>0</v>
      </c>
      <c r="P468" s="202">
        <v>0</v>
      </c>
      <c r="Q468" s="202">
        <v>0</v>
      </c>
      <c r="R468" s="202">
        <v>0</v>
      </c>
      <c r="S468" s="202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207">
        <v>0</v>
      </c>
      <c r="F469" s="207">
        <v>0</v>
      </c>
      <c r="G469" s="203">
        <v>0</v>
      </c>
      <c r="H469" s="202">
        <v>0</v>
      </c>
      <c r="I469" s="203">
        <v>0</v>
      </c>
      <c r="J469" s="202">
        <v>0</v>
      </c>
      <c r="K469" s="202">
        <v>0</v>
      </c>
      <c r="L469" s="202">
        <v>0</v>
      </c>
      <c r="M469" s="202">
        <v>0</v>
      </c>
      <c r="N469" s="202">
        <v>0</v>
      </c>
      <c r="O469" s="202">
        <v>0</v>
      </c>
      <c r="P469" s="202">
        <v>0</v>
      </c>
      <c r="Q469" s="202">
        <v>0</v>
      </c>
      <c r="R469" s="202">
        <v>0</v>
      </c>
      <c r="S469" s="202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207">
        <v>0</v>
      </c>
      <c r="F470" s="207">
        <v>0</v>
      </c>
      <c r="G470" s="203">
        <v>0</v>
      </c>
      <c r="H470" s="202">
        <v>0</v>
      </c>
      <c r="I470" s="203">
        <v>0</v>
      </c>
      <c r="J470" s="202">
        <v>0</v>
      </c>
      <c r="K470" s="202">
        <v>0</v>
      </c>
      <c r="L470" s="202">
        <v>0</v>
      </c>
      <c r="M470" s="202">
        <v>0</v>
      </c>
      <c r="N470" s="202">
        <v>0</v>
      </c>
      <c r="O470" s="202">
        <v>0</v>
      </c>
      <c r="P470" s="202">
        <v>0</v>
      </c>
      <c r="Q470" s="202">
        <v>0</v>
      </c>
      <c r="R470" s="202">
        <v>0</v>
      </c>
      <c r="S470" s="202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207">
        <v>0</v>
      </c>
      <c r="F471" s="207">
        <v>-10000</v>
      </c>
      <c r="G471" s="203">
        <v>0</v>
      </c>
      <c r="H471" s="202">
        <v>-1870.69</v>
      </c>
      <c r="I471" s="203">
        <v>0</v>
      </c>
      <c r="J471" s="202">
        <v>0</v>
      </c>
      <c r="K471" s="202">
        <v>0</v>
      </c>
      <c r="L471" s="202">
        <v>0</v>
      </c>
      <c r="M471" s="202">
        <v>0</v>
      </c>
      <c r="N471" s="202">
        <v>0</v>
      </c>
      <c r="O471" s="202">
        <v>0</v>
      </c>
      <c r="P471" s="202">
        <v>0.23</v>
      </c>
      <c r="Q471" s="202">
        <v>0</v>
      </c>
      <c r="R471" s="202">
        <v>-21771.88</v>
      </c>
      <c r="S471" s="202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207">
        <v>0</v>
      </c>
      <c r="F472" s="207">
        <v>0</v>
      </c>
      <c r="G472" s="203">
        <v>0</v>
      </c>
      <c r="H472" s="202">
        <v>0</v>
      </c>
      <c r="I472" s="203">
        <v>0</v>
      </c>
      <c r="J472" s="202">
        <v>0</v>
      </c>
      <c r="K472" s="202">
        <v>0</v>
      </c>
      <c r="L472" s="202">
        <v>0</v>
      </c>
      <c r="M472" s="202">
        <v>0</v>
      </c>
      <c r="N472" s="202">
        <v>0</v>
      </c>
      <c r="O472" s="202">
        <v>0</v>
      </c>
      <c r="P472" s="202">
        <v>0</v>
      </c>
      <c r="Q472" s="202">
        <v>0</v>
      </c>
      <c r="R472" s="202">
        <v>0</v>
      </c>
      <c r="S472" s="202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207">
        <v>0</v>
      </c>
      <c r="F473" s="207">
        <v>0</v>
      </c>
      <c r="G473" s="203">
        <v>0</v>
      </c>
      <c r="H473" s="202">
        <v>0</v>
      </c>
      <c r="I473" s="203">
        <v>0</v>
      </c>
      <c r="J473" s="202">
        <v>0</v>
      </c>
      <c r="K473" s="202">
        <v>0</v>
      </c>
      <c r="L473" s="202">
        <v>0</v>
      </c>
      <c r="M473" s="202">
        <v>0</v>
      </c>
      <c r="N473" s="202">
        <v>0</v>
      </c>
      <c r="O473" s="202">
        <v>0</v>
      </c>
      <c r="P473" s="202">
        <v>0</v>
      </c>
      <c r="Q473" s="202">
        <v>0</v>
      </c>
      <c r="R473" s="202">
        <v>0</v>
      </c>
      <c r="S473" s="202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207">
        <v>0</v>
      </c>
      <c r="F474" s="207">
        <v>0</v>
      </c>
      <c r="G474" s="203">
        <v>0</v>
      </c>
      <c r="H474" s="202">
        <v>0</v>
      </c>
      <c r="I474" s="203">
        <v>0</v>
      </c>
      <c r="J474" s="202">
        <v>0</v>
      </c>
      <c r="K474" s="202">
        <v>0</v>
      </c>
      <c r="L474" s="202">
        <v>0</v>
      </c>
      <c r="M474" s="202">
        <v>0</v>
      </c>
      <c r="N474" s="202">
        <v>0</v>
      </c>
      <c r="O474" s="202">
        <v>0</v>
      </c>
      <c r="P474" s="202">
        <v>0</v>
      </c>
      <c r="Q474" s="202">
        <v>0</v>
      </c>
      <c r="R474" s="202">
        <v>0</v>
      </c>
      <c r="S474" s="202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207">
        <v>0</v>
      </c>
      <c r="F475" s="207">
        <v>0</v>
      </c>
      <c r="G475" s="203">
        <v>0</v>
      </c>
      <c r="H475" s="202">
        <v>0</v>
      </c>
      <c r="I475" s="203">
        <v>0</v>
      </c>
      <c r="J475" s="202">
        <v>0</v>
      </c>
      <c r="K475" s="202">
        <v>0</v>
      </c>
      <c r="L475" s="202">
        <v>0</v>
      </c>
      <c r="M475" s="202">
        <v>0</v>
      </c>
      <c r="N475" s="202">
        <v>0</v>
      </c>
      <c r="O475" s="202">
        <v>0</v>
      </c>
      <c r="P475" s="202">
        <v>0</v>
      </c>
      <c r="Q475" s="202">
        <v>0</v>
      </c>
      <c r="R475" s="202">
        <v>0</v>
      </c>
      <c r="S475" s="202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207">
        <v>0</v>
      </c>
      <c r="F476" s="207">
        <v>0</v>
      </c>
      <c r="G476" s="203">
        <v>0</v>
      </c>
      <c r="H476" s="202">
        <v>0</v>
      </c>
      <c r="I476" s="203">
        <v>0</v>
      </c>
      <c r="J476" s="202">
        <v>0</v>
      </c>
      <c r="K476" s="202">
        <v>0</v>
      </c>
      <c r="L476" s="202">
        <v>0</v>
      </c>
      <c r="M476" s="202">
        <v>0</v>
      </c>
      <c r="N476" s="202">
        <v>0</v>
      </c>
      <c r="O476" s="202">
        <v>0</v>
      </c>
      <c r="P476" s="202">
        <v>0</v>
      </c>
      <c r="Q476" s="202">
        <v>0</v>
      </c>
      <c r="R476" s="202">
        <v>0</v>
      </c>
      <c r="S476" s="202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207">
        <v>0</v>
      </c>
      <c r="F477" s="207">
        <v>0</v>
      </c>
      <c r="G477" s="203">
        <v>0</v>
      </c>
      <c r="H477" s="202">
        <v>0</v>
      </c>
      <c r="I477" s="203">
        <v>0</v>
      </c>
      <c r="J477" s="202">
        <v>0</v>
      </c>
      <c r="K477" s="202">
        <v>0</v>
      </c>
      <c r="L477" s="202">
        <v>0</v>
      </c>
      <c r="M477" s="202">
        <v>0</v>
      </c>
      <c r="N477" s="202">
        <v>0</v>
      </c>
      <c r="O477" s="202">
        <v>0</v>
      </c>
      <c r="P477" s="202">
        <v>0</v>
      </c>
      <c r="Q477" s="202">
        <v>0</v>
      </c>
      <c r="R477" s="202">
        <v>0</v>
      </c>
      <c r="S477" s="202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207">
        <v>0</v>
      </c>
      <c r="F478" s="207">
        <v>-837.52</v>
      </c>
      <c r="G478" s="203">
        <v>0</v>
      </c>
      <c r="H478" s="202">
        <v>-37.5</v>
      </c>
      <c r="I478" s="203">
        <v>0</v>
      </c>
      <c r="J478" s="202">
        <v>0</v>
      </c>
      <c r="K478" s="202">
        <v>0</v>
      </c>
      <c r="L478" s="202">
        <v>0</v>
      </c>
      <c r="M478" s="202">
        <v>0</v>
      </c>
      <c r="N478" s="202">
        <v>0</v>
      </c>
      <c r="O478" s="202">
        <v>0</v>
      </c>
      <c r="P478" s="202">
        <v>0</v>
      </c>
      <c r="Q478" s="202">
        <v>0</v>
      </c>
      <c r="R478" s="202">
        <v>0</v>
      </c>
      <c r="S478" s="202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207">
        <v>0</v>
      </c>
      <c r="F479" s="207">
        <v>0</v>
      </c>
      <c r="G479" s="203">
        <v>0</v>
      </c>
      <c r="H479" s="202">
        <v>0</v>
      </c>
      <c r="I479" s="203">
        <v>0</v>
      </c>
      <c r="J479" s="202">
        <v>0</v>
      </c>
      <c r="K479" s="202">
        <v>0</v>
      </c>
      <c r="L479" s="202">
        <v>0</v>
      </c>
      <c r="M479" s="202">
        <v>0</v>
      </c>
      <c r="N479" s="202">
        <v>0</v>
      </c>
      <c r="O479" s="202">
        <v>0</v>
      </c>
      <c r="P479" s="202">
        <v>0</v>
      </c>
      <c r="Q479" s="202">
        <v>0</v>
      </c>
      <c r="R479" s="202">
        <v>0</v>
      </c>
      <c r="S479" s="202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207">
        <v>0</v>
      </c>
      <c r="F480" s="207">
        <v>0</v>
      </c>
      <c r="G480" s="203">
        <v>0</v>
      </c>
      <c r="H480" s="202">
        <v>0</v>
      </c>
      <c r="I480" s="203">
        <v>0</v>
      </c>
      <c r="J480" s="202">
        <v>0</v>
      </c>
      <c r="K480" s="202">
        <v>0</v>
      </c>
      <c r="L480" s="202">
        <v>0</v>
      </c>
      <c r="M480" s="202">
        <v>0</v>
      </c>
      <c r="N480" s="202">
        <v>0</v>
      </c>
      <c r="O480" s="202">
        <v>0</v>
      </c>
      <c r="P480" s="202">
        <v>0</v>
      </c>
      <c r="Q480" s="202">
        <v>0</v>
      </c>
      <c r="R480" s="202">
        <v>0</v>
      </c>
      <c r="S480" s="202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207">
        <v>0</v>
      </c>
      <c r="F481" s="207">
        <v>0</v>
      </c>
      <c r="G481" s="203">
        <v>0</v>
      </c>
      <c r="H481" s="202">
        <v>0</v>
      </c>
      <c r="I481" s="203">
        <v>0</v>
      </c>
      <c r="J481" s="202">
        <v>0</v>
      </c>
      <c r="K481" s="202">
        <v>0</v>
      </c>
      <c r="L481" s="202">
        <v>0</v>
      </c>
      <c r="M481" s="202">
        <v>0</v>
      </c>
      <c r="N481" s="202">
        <v>0</v>
      </c>
      <c r="O481" s="202">
        <v>0</v>
      </c>
      <c r="P481" s="202">
        <v>0</v>
      </c>
      <c r="Q481" s="202">
        <v>0</v>
      </c>
      <c r="R481" s="202">
        <v>0</v>
      </c>
      <c r="S481" s="202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207">
        <v>0</v>
      </c>
      <c r="F482" s="207">
        <v>0</v>
      </c>
      <c r="G482" s="203">
        <v>0</v>
      </c>
      <c r="H482" s="202">
        <v>0</v>
      </c>
      <c r="I482" s="203">
        <v>0</v>
      </c>
      <c r="J482" s="202">
        <v>0</v>
      </c>
      <c r="K482" s="202">
        <v>0</v>
      </c>
      <c r="L482" s="202">
        <v>0</v>
      </c>
      <c r="M482" s="202">
        <v>0</v>
      </c>
      <c r="N482" s="202">
        <v>0</v>
      </c>
      <c r="O482" s="202">
        <v>0</v>
      </c>
      <c r="P482" s="202">
        <v>0</v>
      </c>
      <c r="Q482" s="202">
        <v>0</v>
      </c>
      <c r="R482" s="202">
        <v>0</v>
      </c>
      <c r="S482" s="202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207">
        <v>0</v>
      </c>
      <c r="F483" s="207">
        <v>-1000000</v>
      </c>
      <c r="G483" s="203">
        <v>0</v>
      </c>
      <c r="H483" s="202">
        <v>0</v>
      </c>
      <c r="I483" s="203">
        <v>0</v>
      </c>
      <c r="J483" s="202">
        <v>0</v>
      </c>
      <c r="K483" s="202">
        <v>0</v>
      </c>
      <c r="L483" s="202">
        <v>0</v>
      </c>
      <c r="M483" s="202">
        <v>0</v>
      </c>
      <c r="N483" s="202">
        <v>0</v>
      </c>
      <c r="O483" s="202">
        <v>0</v>
      </c>
      <c r="P483" s="202">
        <v>0</v>
      </c>
      <c r="Q483" s="202">
        <v>0</v>
      </c>
      <c r="R483" s="202">
        <v>0</v>
      </c>
      <c r="S483" s="202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207">
        <v>29114081</v>
      </c>
      <c r="F484" s="207">
        <v>61786088.170000002</v>
      </c>
      <c r="G484" s="203">
        <v>-147378</v>
      </c>
      <c r="H484" s="202">
        <v>116107.66</v>
      </c>
      <c r="I484" s="203">
        <v>-193034</v>
      </c>
      <c r="J484" s="202">
        <v>-502681.52</v>
      </c>
      <c r="K484" s="202">
        <v>44868</v>
      </c>
      <c r="L484" s="202">
        <v>2239037.69</v>
      </c>
      <c r="M484" s="202">
        <v>3860</v>
      </c>
      <c r="N484" s="202">
        <v>-2132771.9700000002</v>
      </c>
      <c r="O484" s="202">
        <v>-2000</v>
      </c>
      <c r="P484" s="202">
        <v>-4750</v>
      </c>
      <c r="Q484" s="202">
        <v>0</v>
      </c>
      <c r="R484" s="202">
        <v>-668783.35</v>
      </c>
      <c r="S484" s="202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207">
        <v>0</v>
      </c>
      <c r="F485" s="207">
        <v>0</v>
      </c>
      <c r="G485" s="203">
        <v>0</v>
      </c>
      <c r="H485" s="202">
        <v>0</v>
      </c>
      <c r="I485" s="203">
        <v>0</v>
      </c>
      <c r="J485" s="202">
        <v>0</v>
      </c>
      <c r="K485" s="202">
        <v>0</v>
      </c>
      <c r="L485" s="202">
        <v>0</v>
      </c>
      <c r="M485" s="202">
        <v>0</v>
      </c>
      <c r="N485" s="202">
        <v>0</v>
      </c>
      <c r="O485" s="202">
        <v>0</v>
      </c>
      <c r="P485" s="202">
        <v>0</v>
      </c>
      <c r="Q485" s="202">
        <v>0</v>
      </c>
      <c r="R485" s="202">
        <v>0</v>
      </c>
      <c r="S485" s="202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207">
        <v>11024128</v>
      </c>
      <c r="F486" s="207">
        <v>25880757</v>
      </c>
      <c r="G486" s="203">
        <v>-11024128</v>
      </c>
      <c r="H486" s="202">
        <v>-25880757</v>
      </c>
      <c r="I486" s="203">
        <v>0</v>
      </c>
      <c r="J486" s="202">
        <v>0</v>
      </c>
      <c r="K486" s="202">
        <v>0</v>
      </c>
      <c r="L486" s="202">
        <v>0</v>
      </c>
      <c r="M486" s="202">
        <v>0</v>
      </c>
      <c r="N486" s="202">
        <v>0</v>
      </c>
      <c r="O486" s="202">
        <v>0</v>
      </c>
      <c r="P486" s="202">
        <v>0</v>
      </c>
      <c r="Q486" s="202">
        <v>11024128</v>
      </c>
      <c r="R486" s="202">
        <v>25880757</v>
      </c>
      <c r="S486" s="202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207">
        <v>0</v>
      </c>
      <c r="F487" s="207">
        <v>0</v>
      </c>
      <c r="G487" s="203">
        <v>0</v>
      </c>
      <c r="H487" s="202">
        <v>0</v>
      </c>
      <c r="I487" s="203">
        <v>0</v>
      </c>
      <c r="J487" s="202">
        <v>0</v>
      </c>
      <c r="K487" s="202">
        <v>0</v>
      </c>
      <c r="L487" s="202">
        <v>0</v>
      </c>
      <c r="M487" s="202">
        <v>0</v>
      </c>
      <c r="N487" s="202">
        <v>0</v>
      </c>
      <c r="O487" s="202">
        <v>0</v>
      </c>
      <c r="P487" s="202">
        <v>0</v>
      </c>
      <c r="Q487" s="202">
        <v>0</v>
      </c>
      <c r="R487" s="202">
        <v>0</v>
      </c>
      <c r="S487" s="202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207">
        <v>0</v>
      </c>
      <c r="F488" s="207">
        <v>13175</v>
      </c>
      <c r="G488" s="203">
        <v>0</v>
      </c>
      <c r="H488" s="202">
        <v>668783</v>
      </c>
      <c r="I488" s="203">
        <v>0</v>
      </c>
      <c r="J488" s="202">
        <v>0</v>
      </c>
      <c r="K488" s="202">
        <v>0</v>
      </c>
      <c r="L488" s="202">
        <v>480322.04</v>
      </c>
      <c r="M488" s="202">
        <v>0</v>
      </c>
      <c r="N488" s="202">
        <v>0</v>
      </c>
      <c r="O488" s="202">
        <v>0</v>
      </c>
      <c r="P488" s="202">
        <v>0</v>
      </c>
      <c r="Q488" s="202">
        <v>0</v>
      </c>
      <c r="R488" s="202">
        <v>0</v>
      </c>
      <c r="S488" s="202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207">
        <v>-28552843</v>
      </c>
      <c r="F489" s="207">
        <v>-62174715.879999995</v>
      </c>
      <c r="G489" s="203">
        <v>-646484</v>
      </c>
      <c r="H489" s="202">
        <v>-1524611.75</v>
      </c>
      <c r="I489" s="203">
        <v>193034</v>
      </c>
      <c r="J489" s="202">
        <v>473319.16</v>
      </c>
      <c r="K489" s="202">
        <v>0</v>
      </c>
      <c r="L489" s="202">
        <v>0</v>
      </c>
      <c r="M489" s="202">
        <v>0</v>
      </c>
      <c r="N489" s="202">
        <v>0</v>
      </c>
      <c r="O489" s="202">
        <v>0</v>
      </c>
      <c r="P489" s="202">
        <v>0</v>
      </c>
      <c r="Q489" s="202">
        <v>0</v>
      </c>
      <c r="R489" s="202">
        <v>0</v>
      </c>
      <c r="S489" s="202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207">
        <v>0</v>
      </c>
      <c r="F490" s="207">
        <v>0</v>
      </c>
      <c r="G490" s="203">
        <v>0</v>
      </c>
      <c r="H490" s="202">
        <v>0</v>
      </c>
      <c r="I490" s="203">
        <v>0</v>
      </c>
      <c r="J490" s="202">
        <v>0</v>
      </c>
      <c r="K490" s="202">
        <v>0</v>
      </c>
      <c r="L490" s="202">
        <v>0</v>
      </c>
      <c r="M490" s="202">
        <v>0</v>
      </c>
      <c r="N490" s="202">
        <v>0</v>
      </c>
      <c r="O490" s="202">
        <v>0</v>
      </c>
      <c r="P490" s="202">
        <v>0</v>
      </c>
      <c r="Q490" s="202">
        <v>0</v>
      </c>
      <c r="R490" s="202">
        <v>0</v>
      </c>
      <c r="S490" s="202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207">
        <v>-11024128</v>
      </c>
      <c r="F491" s="207">
        <v>-25880757</v>
      </c>
      <c r="G491" s="203">
        <v>11024128</v>
      </c>
      <c r="H491" s="202">
        <v>25880757</v>
      </c>
      <c r="I491" s="203">
        <v>0</v>
      </c>
      <c r="J491" s="202">
        <v>0</v>
      </c>
      <c r="K491" s="202">
        <v>0</v>
      </c>
      <c r="L491" s="202">
        <v>0</v>
      </c>
      <c r="M491" s="202">
        <v>0</v>
      </c>
      <c r="N491" s="202">
        <v>0</v>
      </c>
      <c r="O491" s="202">
        <v>0</v>
      </c>
      <c r="P491" s="202">
        <v>0</v>
      </c>
      <c r="Q491" s="202">
        <v>-11024128</v>
      </c>
      <c r="R491" s="202">
        <v>-25880757</v>
      </c>
      <c r="S491" s="202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207">
        <v>0</v>
      </c>
      <c r="F492" s="207">
        <v>0</v>
      </c>
      <c r="G492" s="203">
        <v>0</v>
      </c>
      <c r="H492" s="202">
        <v>0</v>
      </c>
      <c r="I492" s="203">
        <v>0</v>
      </c>
      <c r="J492" s="202">
        <v>0</v>
      </c>
      <c r="K492" s="202">
        <v>0</v>
      </c>
      <c r="L492" s="202">
        <v>0</v>
      </c>
      <c r="M492" s="202">
        <v>0</v>
      </c>
      <c r="N492" s="202">
        <v>0</v>
      </c>
      <c r="O492" s="202">
        <v>0</v>
      </c>
      <c r="P492" s="202">
        <v>0</v>
      </c>
      <c r="Q492" s="202">
        <v>0</v>
      </c>
      <c r="R492" s="202">
        <v>0</v>
      </c>
      <c r="S492" s="202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207">
        <v>341622</v>
      </c>
      <c r="F493" s="207">
        <v>721505.66399999999</v>
      </c>
      <c r="G493" s="203">
        <v>727</v>
      </c>
      <c r="H493" s="202">
        <v>1535.424</v>
      </c>
      <c r="I493" s="203">
        <v>0</v>
      </c>
      <c r="J493" s="202">
        <v>0</v>
      </c>
      <c r="K493" s="202">
        <v>-2</v>
      </c>
      <c r="L493" s="202">
        <v>-4.2240000000000002</v>
      </c>
      <c r="M493" s="202">
        <v>0</v>
      </c>
      <c r="N493" s="202">
        <v>0</v>
      </c>
      <c r="O493" s="202">
        <v>0</v>
      </c>
      <c r="P493" s="202">
        <v>0</v>
      </c>
      <c r="Q493" s="202">
        <v>0</v>
      </c>
      <c r="R493" s="202">
        <v>0</v>
      </c>
      <c r="S493" s="202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207">
        <v>186260</v>
      </c>
      <c r="F494" s="207">
        <v>421770.2</v>
      </c>
      <c r="G494" s="203">
        <v>0</v>
      </c>
      <c r="H494" s="202">
        <v>0</v>
      </c>
      <c r="I494" s="203">
        <v>0</v>
      </c>
      <c r="J494" s="202">
        <v>0</v>
      </c>
      <c r="K494" s="202">
        <v>0</v>
      </c>
      <c r="L494" s="202">
        <v>0</v>
      </c>
      <c r="M494" s="202">
        <v>0</v>
      </c>
      <c r="N494" s="202">
        <v>0</v>
      </c>
      <c r="O494" s="202">
        <v>0</v>
      </c>
      <c r="P494" s="202">
        <v>0</v>
      </c>
      <c r="Q494" s="202">
        <v>0</v>
      </c>
      <c r="R494" s="202">
        <v>0</v>
      </c>
      <c r="S494" s="202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207">
        <v>-73000</v>
      </c>
      <c r="F495" s="207">
        <v>-178940</v>
      </c>
      <c r="G495" s="203">
        <v>0</v>
      </c>
      <c r="H495" s="202">
        <v>0</v>
      </c>
      <c r="I495" s="203">
        <v>0</v>
      </c>
      <c r="J495" s="202">
        <v>0</v>
      </c>
      <c r="K495" s="202">
        <v>0</v>
      </c>
      <c r="L495" s="202">
        <v>0</v>
      </c>
      <c r="M495" s="202">
        <v>0</v>
      </c>
      <c r="N495" s="202">
        <v>0</v>
      </c>
      <c r="O495" s="202">
        <v>0</v>
      </c>
      <c r="P495" s="202">
        <v>0</v>
      </c>
      <c r="Q495" s="202">
        <v>0</v>
      </c>
      <c r="R495" s="202">
        <v>0</v>
      </c>
      <c r="S495" s="202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207">
        <v>-24394</v>
      </c>
      <c r="F496" s="207">
        <v>-51520.127999999997</v>
      </c>
      <c r="G496" s="203">
        <v>-27263</v>
      </c>
      <c r="H496" s="202">
        <v>-57579.455999999998</v>
      </c>
      <c r="I496" s="203">
        <v>8835</v>
      </c>
      <c r="J496" s="202">
        <v>18659.52</v>
      </c>
      <c r="K496" s="202">
        <v>-38086</v>
      </c>
      <c r="L496" s="202">
        <v>-80437.631999999998</v>
      </c>
      <c r="M496" s="202">
        <v>-3860</v>
      </c>
      <c r="N496" s="202">
        <v>-8152.32</v>
      </c>
      <c r="O496" s="202">
        <v>4</v>
      </c>
      <c r="P496" s="202">
        <v>8.4480000000000004</v>
      </c>
      <c r="Q496" s="202">
        <v>0</v>
      </c>
      <c r="R496" s="202">
        <v>0</v>
      </c>
      <c r="S496" s="202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207">
        <v>0</v>
      </c>
      <c r="F497" s="207">
        <v>0</v>
      </c>
      <c r="G497" s="203">
        <v>-238</v>
      </c>
      <c r="H497" s="202">
        <v>9889.7800000000007</v>
      </c>
      <c r="I497" s="203">
        <v>-31337</v>
      </c>
      <c r="J497" s="202">
        <v>-6.75</v>
      </c>
      <c r="K497" s="202">
        <v>-9</v>
      </c>
      <c r="L497" s="202">
        <v>-18.36</v>
      </c>
      <c r="M497" s="202">
        <v>0</v>
      </c>
      <c r="N497" s="202">
        <v>0</v>
      </c>
      <c r="O497" s="202">
        <v>-4</v>
      </c>
      <c r="P497" s="202">
        <v>-27384.17</v>
      </c>
      <c r="Q497" s="202">
        <v>0</v>
      </c>
      <c r="R497" s="202">
        <v>0</v>
      </c>
      <c r="S497" s="202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207">
        <v>0</v>
      </c>
      <c r="F498" s="207">
        <v>0</v>
      </c>
      <c r="G498" s="203">
        <v>6560</v>
      </c>
      <c r="H498" s="202">
        <v>14392.64</v>
      </c>
      <c r="I498" s="203">
        <v>31338</v>
      </c>
      <c r="J498" s="202">
        <v>9</v>
      </c>
      <c r="K498" s="202">
        <v>5380</v>
      </c>
      <c r="L498" s="202">
        <v>36.72</v>
      </c>
      <c r="M498" s="202">
        <v>0</v>
      </c>
      <c r="N498" s="202">
        <v>0</v>
      </c>
      <c r="O498" s="202">
        <v>0</v>
      </c>
      <c r="P498" s="202">
        <v>0</v>
      </c>
      <c r="Q498" s="202">
        <v>0</v>
      </c>
      <c r="R498" s="202">
        <v>0</v>
      </c>
      <c r="S498" s="202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207">
        <v>0</v>
      </c>
      <c r="F499" s="207">
        <v>0</v>
      </c>
      <c r="G499" s="203">
        <v>0</v>
      </c>
      <c r="H499" s="202">
        <v>0</v>
      </c>
      <c r="I499" s="203">
        <v>0</v>
      </c>
      <c r="J499" s="202">
        <v>0</v>
      </c>
      <c r="K499" s="202">
        <v>0</v>
      </c>
      <c r="L499" s="202">
        <v>0</v>
      </c>
      <c r="M499" s="202">
        <v>0</v>
      </c>
      <c r="N499" s="202">
        <v>0</v>
      </c>
      <c r="O499" s="202">
        <v>0</v>
      </c>
      <c r="P499" s="202">
        <v>0</v>
      </c>
      <c r="Q499" s="202">
        <v>0</v>
      </c>
      <c r="R499" s="202">
        <v>0</v>
      </c>
      <c r="S499" s="202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207">
        <v>0</v>
      </c>
      <c r="F500" s="207">
        <v>0</v>
      </c>
      <c r="G500" s="203">
        <v>0</v>
      </c>
      <c r="H500" s="202">
        <v>0</v>
      </c>
      <c r="I500" s="203">
        <v>51</v>
      </c>
      <c r="J500" s="202">
        <v>107.71</v>
      </c>
      <c r="K500" s="202">
        <v>0</v>
      </c>
      <c r="L500" s="202">
        <v>0</v>
      </c>
      <c r="M500" s="202">
        <v>0</v>
      </c>
      <c r="N500" s="202">
        <v>0</v>
      </c>
      <c r="O500" s="202">
        <v>0</v>
      </c>
      <c r="P500" s="202">
        <v>0</v>
      </c>
      <c r="Q500" s="202">
        <v>1</v>
      </c>
      <c r="R500" s="202">
        <v>2.11</v>
      </c>
      <c r="S500" s="202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207">
        <v>-159</v>
      </c>
      <c r="F501" s="207">
        <v>-356.16</v>
      </c>
      <c r="G501" s="203">
        <v>-150183</v>
      </c>
      <c r="H501" s="202">
        <v>-265816.11</v>
      </c>
      <c r="I501" s="203">
        <v>0</v>
      </c>
      <c r="J501" s="202">
        <v>-168026.65</v>
      </c>
      <c r="K501" s="202">
        <v>8653</v>
      </c>
      <c r="L501" s="202">
        <v>24989.86</v>
      </c>
      <c r="M501" s="202">
        <v>-9344</v>
      </c>
      <c r="N501" s="202">
        <v>-26987.48</v>
      </c>
      <c r="O501" s="202">
        <v>0</v>
      </c>
      <c r="P501" s="202">
        <v>0</v>
      </c>
      <c r="Q501" s="202">
        <v>0</v>
      </c>
      <c r="R501" s="202">
        <v>0</v>
      </c>
      <c r="S501" s="202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207">
        <v>0</v>
      </c>
      <c r="F502" s="207">
        <v>0</v>
      </c>
      <c r="G502" s="203">
        <v>0</v>
      </c>
      <c r="H502" s="202">
        <v>0</v>
      </c>
      <c r="I502" s="203">
        <v>0</v>
      </c>
      <c r="J502" s="202">
        <v>0</v>
      </c>
      <c r="K502" s="202">
        <v>0</v>
      </c>
      <c r="L502" s="202">
        <v>0</v>
      </c>
      <c r="M502" s="202">
        <v>0</v>
      </c>
      <c r="N502" s="202">
        <v>0</v>
      </c>
      <c r="O502" s="202">
        <v>0</v>
      </c>
      <c r="P502" s="202">
        <v>0</v>
      </c>
      <c r="Q502" s="202">
        <v>0</v>
      </c>
      <c r="R502" s="202">
        <v>0</v>
      </c>
      <c r="S502" s="202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207">
        <v>0</v>
      </c>
      <c r="F503" s="207">
        <v>0</v>
      </c>
      <c r="G503" s="203">
        <v>0</v>
      </c>
      <c r="H503" s="202">
        <v>0</v>
      </c>
      <c r="I503" s="203">
        <v>0</v>
      </c>
      <c r="J503" s="202">
        <v>0</v>
      </c>
      <c r="K503" s="202">
        <v>0</v>
      </c>
      <c r="L503" s="202">
        <v>0</v>
      </c>
      <c r="M503" s="202">
        <v>0</v>
      </c>
      <c r="N503" s="202">
        <v>0</v>
      </c>
      <c r="O503" s="202">
        <v>0</v>
      </c>
      <c r="P503" s="202">
        <v>0</v>
      </c>
      <c r="Q503" s="202">
        <v>0</v>
      </c>
      <c r="R503" s="202">
        <v>0</v>
      </c>
      <c r="S503" s="202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207">
        <v>0</v>
      </c>
      <c r="F504" s="207">
        <v>0</v>
      </c>
      <c r="G504" s="203">
        <v>0</v>
      </c>
      <c r="H504" s="202">
        <v>0</v>
      </c>
      <c r="I504" s="203">
        <v>0</v>
      </c>
      <c r="J504" s="202">
        <v>0</v>
      </c>
      <c r="K504" s="202">
        <v>0</v>
      </c>
      <c r="L504" s="202">
        <v>0</v>
      </c>
      <c r="M504" s="202">
        <v>0</v>
      </c>
      <c r="N504" s="202">
        <v>0</v>
      </c>
      <c r="O504" s="202">
        <v>0</v>
      </c>
      <c r="P504" s="202">
        <v>0</v>
      </c>
      <c r="Q504" s="202">
        <v>0</v>
      </c>
      <c r="R504" s="202">
        <v>0</v>
      </c>
      <c r="S504" s="202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207">
        <v>-991567</v>
      </c>
      <c r="F505" s="207">
        <v>-2094189.504</v>
      </c>
      <c r="G505" s="203">
        <v>964259</v>
      </c>
      <c r="H505" s="202">
        <v>2036515.0079999999</v>
      </c>
      <c r="I505" s="203">
        <v>-8887</v>
      </c>
      <c r="J505" s="202">
        <v>-18769.344000000001</v>
      </c>
      <c r="K505" s="202">
        <v>-20804</v>
      </c>
      <c r="L505" s="202">
        <v>-43938.048000000003</v>
      </c>
      <c r="M505" s="202">
        <v>9344</v>
      </c>
      <c r="N505" s="202">
        <v>19734.527999999998</v>
      </c>
      <c r="O505" s="202">
        <v>2000</v>
      </c>
      <c r="P505" s="202">
        <v>4224</v>
      </c>
      <c r="Q505" s="202">
        <v>-1</v>
      </c>
      <c r="R505" s="202">
        <v>-2.1120000000000001</v>
      </c>
      <c r="S505" s="202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207">
        <v>-341622</v>
      </c>
      <c r="F506" s="207">
        <v>-721505.66399999999</v>
      </c>
      <c r="G506" s="203">
        <v>-727</v>
      </c>
      <c r="H506" s="202">
        <v>-1535.424</v>
      </c>
      <c r="I506" s="203">
        <v>0</v>
      </c>
      <c r="J506" s="202">
        <v>0</v>
      </c>
      <c r="K506" s="202">
        <v>2</v>
      </c>
      <c r="L506" s="202">
        <v>4.2240000000000002</v>
      </c>
      <c r="M506" s="202">
        <v>0</v>
      </c>
      <c r="N506" s="202">
        <v>0</v>
      </c>
      <c r="O506" s="202">
        <v>0</v>
      </c>
      <c r="P506" s="202">
        <v>0</v>
      </c>
      <c r="Q506" s="202">
        <v>0</v>
      </c>
      <c r="R506" s="202">
        <v>0</v>
      </c>
      <c r="S506" s="202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207">
        <v>-14772322</v>
      </c>
      <c r="F507" s="207">
        <v>-106641.1</v>
      </c>
      <c r="G507" s="203">
        <v>1503358</v>
      </c>
      <c r="H507" s="202">
        <v>-65334.43</v>
      </c>
      <c r="I507" s="203">
        <v>-3260987</v>
      </c>
      <c r="J507" s="202">
        <v>-2339.59</v>
      </c>
      <c r="K507" s="202">
        <v>-403286</v>
      </c>
      <c r="L507" s="202">
        <v>-3787.79</v>
      </c>
      <c r="M507" s="202">
        <v>0</v>
      </c>
      <c r="N507" s="202">
        <v>-709.81</v>
      </c>
      <c r="O507" s="202">
        <v>13289</v>
      </c>
      <c r="P507" s="202">
        <v>948.77</v>
      </c>
      <c r="Q507" s="202">
        <v>43427</v>
      </c>
      <c r="R507" s="202">
        <v>668871.37</v>
      </c>
      <c r="S507" s="202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207">
        <v>0</v>
      </c>
      <c r="F508" s="207">
        <v>-2292955.69</v>
      </c>
      <c r="G508" s="203">
        <v>0</v>
      </c>
      <c r="H508" s="202">
        <v>6046.44</v>
      </c>
      <c r="I508" s="203">
        <v>0</v>
      </c>
      <c r="J508" s="202">
        <v>-86565.16</v>
      </c>
      <c r="K508" s="202">
        <v>0</v>
      </c>
      <c r="L508" s="202">
        <v>22955.439999999999</v>
      </c>
      <c r="M508" s="202">
        <v>0</v>
      </c>
      <c r="N508" s="202">
        <v>90103.9</v>
      </c>
      <c r="O508" s="202">
        <v>0</v>
      </c>
      <c r="P508" s="202">
        <v>0</v>
      </c>
      <c r="Q508" s="202">
        <v>0</v>
      </c>
      <c r="R508" s="202">
        <v>-0.5</v>
      </c>
      <c r="S508" s="202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207">
        <v>0</v>
      </c>
      <c r="F509" s="207">
        <v>0</v>
      </c>
      <c r="G509" s="203">
        <v>0</v>
      </c>
      <c r="H509" s="202">
        <v>0</v>
      </c>
      <c r="I509" s="203">
        <v>0</v>
      </c>
      <c r="J509" s="202">
        <v>0</v>
      </c>
      <c r="K509" s="202">
        <v>0</v>
      </c>
      <c r="L509" s="202">
        <v>0</v>
      </c>
      <c r="M509" s="202">
        <v>0</v>
      </c>
      <c r="N509" s="202">
        <v>0</v>
      </c>
      <c r="O509" s="202">
        <v>0</v>
      </c>
      <c r="P509" s="202">
        <v>0</v>
      </c>
      <c r="Q509" s="202">
        <v>0</v>
      </c>
      <c r="R509" s="202">
        <v>0</v>
      </c>
      <c r="S509" s="202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207">
        <v>0</v>
      </c>
      <c r="F510" s="207">
        <v>0</v>
      </c>
      <c r="G510" s="203">
        <v>0</v>
      </c>
      <c r="H510" s="202">
        <v>0</v>
      </c>
      <c r="I510" s="203">
        <v>0</v>
      </c>
      <c r="J510" s="202">
        <v>0</v>
      </c>
      <c r="K510" s="202">
        <v>0</v>
      </c>
      <c r="L510" s="202">
        <v>0</v>
      </c>
      <c r="M510" s="202">
        <v>0</v>
      </c>
      <c r="N510" s="202">
        <v>0</v>
      </c>
      <c r="O510" s="202">
        <v>0</v>
      </c>
      <c r="P510" s="202">
        <v>0</v>
      </c>
      <c r="Q510" s="202">
        <v>0</v>
      </c>
      <c r="R510" s="202">
        <v>0</v>
      </c>
      <c r="S510" s="202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207">
        <v>0</v>
      </c>
      <c r="F511" s="207">
        <v>0</v>
      </c>
      <c r="G511" s="203">
        <v>0</v>
      </c>
      <c r="H511" s="202">
        <v>0</v>
      </c>
      <c r="I511" s="203">
        <v>0</v>
      </c>
      <c r="J511" s="202">
        <v>0</v>
      </c>
      <c r="K511" s="202">
        <v>0</v>
      </c>
      <c r="L511" s="202">
        <v>0</v>
      </c>
      <c r="M511" s="202">
        <v>0</v>
      </c>
      <c r="N511" s="202">
        <v>0</v>
      </c>
      <c r="O511" s="202">
        <v>0</v>
      </c>
      <c r="P511" s="202">
        <v>0</v>
      </c>
      <c r="Q511" s="202">
        <v>0</v>
      </c>
      <c r="R511" s="202">
        <v>0</v>
      </c>
      <c r="S511" s="202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207">
        <v>0</v>
      </c>
      <c r="F512" s="207">
        <v>0</v>
      </c>
      <c r="G512" s="203">
        <v>0</v>
      </c>
      <c r="H512" s="202">
        <v>0</v>
      </c>
      <c r="I512" s="203">
        <v>0</v>
      </c>
      <c r="J512" s="202">
        <v>0</v>
      </c>
      <c r="K512" s="202">
        <v>0</v>
      </c>
      <c r="L512" s="202">
        <v>0</v>
      </c>
      <c r="M512" s="202">
        <v>0</v>
      </c>
      <c r="N512" s="202">
        <v>0</v>
      </c>
      <c r="O512" s="202">
        <v>0</v>
      </c>
      <c r="P512" s="202">
        <v>0</v>
      </c>
      <c r="Q512" s="202">
        <v>0</v>
      </c>
      <c r="R512" s="202">
        <v>0</v>
      </c>
      <c r="S512" s="202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207">
        <v>0</v>
      </c>
      <c r="F513" s="207">
        <v>0</v>
      </c>
      <c r="G513" s="203">
        <v>0</v>
      </c>
      <c r="H513" s="202">
        <v>0</v>
      </c>
      <c r="I513" s="203">
        <v>0</v>
      </c>
      <c r="J513" s="202">
        <v>0</v>
      </c>
      <c r="K513" s="202">
        <v>0</v>
      </c>
      <c r="L513" s="202">
        <v>0</v>
      </c>
      <c r="M513" s="202">
        <v>0</v>
      </c>
      <c r="N513" s="202">
        <v>0</v>
      </c>
      <c r="O513" s="202">
        <v>0</v>
      </c>
      <c r="P513" s="202">
        <v>0</v>
      </c>
      <c r="Q513" s="202">
        <v>0</v>
      </c>
      <c r="R513" s="202">
        <v>0</v>
      </c>
      <c r="S513" s="202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207">
        <v>0</v>
      </c>
      <c r="F514" s="207">
        <v>0</v>
      </c>
      <c r="G514" s="203">
        <v>0</v>
      </c>
      <c r="H514" s="202">
        <v>0</v>
      </c>
      <c r="I514" s="203">
        <v>0</v>
      </c>
      <c r="J514" s="202">
        <v>0</v>
      </c>
      <c r="K514" s="202">
        <v>0</v>
      </c>
      <c r="L514" s="202">
        <v>0</v>
      </c>
      <c r="M514" s="202">
        <v>0</v>
      </c>
      <c r="N514" s="202">
        <v>0</v>
      </c>
      <c r="O514" s="202">
        <v>0</v>
      </c>
      <c r="P514" s="202">
        <v>0</v>
      </c>
      <c r="Q514" s="202">
        <v>0</v>
      </c>
      <c r="R514" s="202">
        <v>0</v>
      </c>
      <c r="S514" s="202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207">
        <v>0</v>
      </c>
      <c r="F515" s="207">
        <v>0</v>
      </c>
      <c r="G515" s="203">
        <v>0</v>
      </c>
      <c r="H515" s="202">
        <v>0</v>
      </c>
      <c r="I515" s="203">
        <v>0</v>
      </c>
      <c r="J515" s="202">
        <v>0</v>
      </c>
      <c r="K515" s="202">
        <v>0</v>
      </c>
      <c r="L515" s="202">
        <v>0</v>
      </c>
      <c r="M515" s="202">
        <v>0</v>
      </c>
      <c r="N515" s="202">
        <v>0</v>
      </c>
      <c r="O515" s="202">
        <v>0</v>
      </c>
      <c r="P515" s="202">
        <v>0</v>
      </c>
      <c r="Q515" s="202">
        <v>0</v>
      </c>
      <c r="R515" s="202">
        <v>0</v>
      </c>
      <c r="S515" s="202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207">
        <v>0</v>
      </c>
      <c r="F516" s="207">
        <v>0</v>
      </c>
      <c r="G516" s="203">
        <v>0</v>
      </c>
      <c r="H516" s="202">
        <v>0</v>
      </c>
      <c r="I516" s="203">
        <v>0</v>
      </c>
      <c r="J516" s="202">
        <v>0</v>
      </c>
      <c r="K516" s="202">
        <v>0</v>
      </c>
      <c r="L516" s="202">
        <v>0</v>
      </c>
      <c r="M516" s="202">
        <v>0</v>
      </c>
      <c r="N516" s="202">
        <v>0</v>
      </c>
      <c r="O516" s="202">
        <v>0</v>
      </c>
      <c r="P516" s="202">
        <v>0</v>
      </c>
      <c r="Q516" s="202">
        <v>0</v>
      </c>
      <c r="R516" s="202">
        <v>0</v>
      </c>
      <c r="S516" s="202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207">
        <v>0</v>
      </c>
      <c r="F517" s="207">
        <v>0</v>
      </c>
      <c r="G517" s="203">
        <v>0</v>
      </c>
      <c r="H517" s="202">
        <v>0</v>
      </c>
      <c r="I517" s="203">
        <v>0</v>
      </c>
      <c r="J517" s="202">
        <v>0</v>
      </c>
      <c r="K517" s="202">
        <v>0</v>
      </c>
      <c r="L517" s="202">
        <v>0</v>
      </c>
      <c r="M517" s="202">
        <v>0</v>
      </c>
      <c r="N517" s="202">
        <v>0</v>
      </c>
      <c r="O517" s="202">
        <v>0</v>
      </c>
      <c r="P517" s="202">
        <v>0</v>
      </c>
      <c r="Q517" s="202">
        <v>0</v>
      </c>
      <c r="R517" s="202">
        <v>0</v>
      </c>
      <c r="S517" s="202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207">
        <v>0</v>
      </c>
      <c r="F518" s="207">
        <v>-18952.080000000002</v>
      </c>
      <c r="G518" s="203">
        <v>0</v>
      </c>
      <c r="H518" s="202">
        <v>-1079.4000000000001</v>
      </c>
      <c r="I518" s="203">
        <v>0</v>
      </c>
      <c r="J518" s="202">
        <v>0</v>
      </c>
      <c r="K518" s="202">
        <v>0</v>
      </c>
      <c r="L518" s="202">
        <v>0</v>
      </c>
      <c r="M518" s="202">
        <v>0</v>
      </c>
      <c r="N518" s="202">
        <v>0</v>
      </c>
      <c r="O518" s="202">
        <v>0</v>
      </c>
      <c r="P518" s="202">
        <v>0</v>
      </c>
      <c r="Q518" s="202">
        <v>0</v>
      </c>
      <c r="R518" s="202">
        <v>0</v>
      </c>
      <c r="S518" s="202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207">
        <v>0</v>
      </c>
      <c r="F519" s="207">
        <v>0</v>
      </c>
      <c r="G519" s="203">
        <v>0</v>
      </c>
      <c r="H519" s="202">
        <v>0</v>
      </c>
      <c r="I519" s="203">
        <v>0</v>
      </c>
      <c r="J519" s="202">
        <v>0</v>
      </c>
      <c r="K519" s="202">
        <v>0</v>
      </c>
      <c r="L519" s="202">
        <v>0</v>
      </c>
      <c r="M519" s="202">
        <v>0</v>
      </c>
      <c r="N519" s="202">
        <v>0</v>
      </c>
      <c r="O519" s="202">
        <v>0</v>
      </c>
      <c r="P519" s="202">
        <v>0</v>
      </c>
      <c r="Q519" s="202">
        <v>0</v>
      </c>
      <c r="R519" s="202">
        <v>0</v>
      </c>
      <c r="S519" s="202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207">
        <v>0</v>
      </c>
      <c r="F520" s="207">
        <v>0</v>
      </c>
      <c r="G520" s="203">
        <v>0</v>
      </c>
      <c r="H520" s="202">
        <v>0</v>
      </c>
      <c r="I520" s="203">
        <v>0</v>
      </c>
      <c r="J520" s="202">
        <v>0</v>
      </c>
      <c r="K520" s="202">
        <v>0</v>
      </c>
      <c r="L520" s="202">
        <v>0</v>
      </c>
      <c r="M520" s="202">
        <v>0</v>
      </c>
      <c r="N520" s="202">
        <v>0</v>
      </c>
      <c r="O520" s="202">
        <v>0</v>
      </c>
      <c r="P520" s="202">
        <v>0</v>
      </c>
      <c r="Q520" s="202">
        <v>0</v>
      </c>
      <c r="R520" s="202">
        <v>0</v>
      </c>
      <c r="S520" s="202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207">
        <v>0</v>
      </c>
      <c r="F521" s="207">
        <v>0</v>
      </c>
      <c r="G521" s="203">
        <v>0</v>
      </c>
      <c r="H521" s="202">
        <v>0</v>
      </c>
      <c r="I521" s="203">
        <v>0</v>
      </c>
      <c r="J521" s="202">
        <v>0</v>
      </c>
      <c r="K521" s="202">
        <v>0</v>
      </c>
      <c r="L521" s="202">
        <v>0</v>
      </c>
      <c r="M521" s="202">
        <v>0</v>
      </c>
      <c r="N521" s="202">
        <v>0</v>
      </c>
      <c r="O521" s="202">
        <v>0</v>
      </c>
      <c r="P521" s="202">
        <v>0</v>
      </c>
      <c r="Q521" s="202">
        <v>0</v>
      </c>
      <c r="R521" s="202">
        <v>0</v>
      </c>
      <c r="S521" s="202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207">
        <v>0</v>
      </c>
      <c r="F522" s="207">
        <v>0</v>
      </c>
      <c r="G522" s="203">
        <v>0</v>
      </c>
      <c r="H522" s="202">
        <v>0</v>
      </c>
      <c r="I522" s="203">
        <v>0</v>
      </c>
      <c r="J522" s="202">
        <v>0</v>
      </c>
      <c r="K522" s="202">
        <v>0</v>
      </c>
      <c r="L522" s="202">
        <v>0</v>
      </c>
      <c r="M522" s="202">
        <v>0</v>
      </c>
      <c r="N522" s="202">
        <v>0</v>
      </c>
      <c r="O522" s="202">
        <v>0</v>
      </c>
      <c r="P522" s="202">
        <v>0</v>
      </c>
      <c r="Q522" s="202">
        <v>0</v>
      </c>
      <c r="R522" s="202">
        <v>0</v>
      </c>
      <c r="S522" s="202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207">
        <v>0</v>
      </c>
      <c r="F523" s="207">
        <v>61463.86</v>
      </c>
      <c r="G523" s="203">
        <v>0</v>
      </c>
      <c r="H523" s="202">
        <v>-2417</v>
      </c>
      <c r="I523" s="203">
        <v>0</v>
      </c>
      <c r="J523" s="202">
        <v>0</v>
      </c>
      <c r="K523" s="202">
        <v>0</v>
      </c>
      <c r="L523" s="202">
        <v>0</v>
      </c>
      <c r="M523" s="202">
        <v>0</v>
      </c>
      <c r="N523" s="202">
        <v>0</v>
      </c>
      <c r="O523" s="202">
        <v>0</v>
      </c>
      <c r="P523" s="202">
        <v>0</v>
      </c>
      <c r="Q523" s="202">
        <v>0</v>
      </c>
      <c r="R523" s="202">
        <v>0</v>
      </c>
      <c r="S523" s="202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207">
        <v>0</v>
      </c>
      <c r="F524" s="207">
        <v>0</v>
      </c>
      <c r="G524" s="203">
        <v>0</v>
      </c>
      <c r="H524" s="202">
        <v>0</v>
      </c>
      <c r="I524" s="203">
        <v>0</v>
      </c>
      <c r="J524" s="202">
        <v>0</v>
      </c>
      <c r="K524" s="202">
        <v>0</v>
      </c>
      <c r="L524" s="202">
        <v>0</v>
      </c>
      <c r="M524" s="202">
        <v>0</v>
      </c>
      <c r="N524" s="202">
        <v>0</v>
      </c>
      <c r="O524" s="202">
        <v>0</v>
      </c>
      <c r="P524" s="202">
        <v>0</v>
      </c>
      <c r="Q524" s="202">
        <v>0</v>
      </c>
      <c r="R524" s="202">
        <v>0</v>
      </c>
      <c r="S524" s="202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207">
        <v>0</v>
      </c>
      <c r="F525" s="207">
        <v>0</v>
      </c>
      <c r="G525" s="203">
        <v>0</v>
      </c>
      <c r="H525" s="202">
        <v>0</v>
      </c>
      <c r="I525" s="203">
        <v>0</v>
      </c>
      <c r="J525" s="202">
        <v>0</v>
      </c>
      <c r="K525" s="202">
        <v>0</v>
      </c>
      <c r="L525" s="202">
        <v>0</v>
      </c>
      <c r="M525" s="202">
        <v>0</v>
      </c>
      <c r="N525" s="202">
        <v>0</v>
      </c>
      <c r="O525" s="202">
        <v>0</v>
      </c>
      <c r="P525" s="202">
        <v>0</v>
      </c>
      <c r="Q525" s="202">
        <v>0</v>
      </c>
      <c r="R525" s="202">
        <v>0</v>
      </c>
      <c r="S525" s="202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207">
        <v>0</v>
      </c>
      <c r="F526" s="207">
        <v>0</v>
      </c>
      <c r="G526" s="203">
        <v>0</v>
      </c>
      <c r="H526" s="202">
        <v>0</v>
      </c>
      <c r="I526" s="203">
        <v>0</v>
      </c>
      <c r="J526" s="202">
        <v>0</v>
      </c>
      <c r="K526" s="202">
        <v>0</v>
      </c>
      <c r="L526" s="202">
        <v>0</v>
      </c>
      <c r="M526" s="202">
        <v>0</v>
      </c>
      <c r="N526" s="202">
        <v>0</v>
      </c>
      <c r="O526" s="202">
        <v>0</v>
      </c>
      <c r="P526" s="202">
        <v>0</v>
      </c>
      <c r="Q526" s="202">
        <v>0</v>
      </c>
      <c r="R526" s="202">
        <v>0</v>
      </c>
      <c r="S526" s="202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207">
        <v>0</v>
      </c>
      <c r="F527" s="207">
        <v>0</v>
      </c>
      <c r="G527" s="203">
        <v>0</v>
      </c>
      <c r="H527" s="202">
        <v>0</v>
      </c>
      <c r="I527" s="203">
        <v>0</v>
      </c>
      <c r="J527" s="202">
        <v>0</v>
      </c>
      <c r="K527" s="202">
        <v>0</v>
      </c>
      <c r="L527" s="202">
        <v>0</v>
      </c>
      <c r="M527" s="202">
        <v>0</v>
      </c>
      <c r="N527" s="202">
        <v>0</v>
      </c>
      <c r="O527" s="202">
        <v>0</v>
      </c>
      <c r="P527" s="202">
        <v>0</v>
      </c>
      <c r="Q527" s="202">
        <v>0</v>
      </c>
      <c r="R527" s="202">
        <v>0</v>
      </c>
      <c r="S527" s="202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207">
        <v>0</v>
      </c>
      <c r="F528" s="207">
        <v>0</v>
      </c>
      <c r="G528" s="203">
        <v>0</v>
      </c>
      <c r="H528" s="202">
        <v>0</v>
      </c>
      <c r="I528" s="203">
        <v>0</v>
      </c>
      <c r="J528" s="202">
        <v>0</v>
      </c>
      <c r="K528" s="202">
        <v>0</v>
      </c>
      <c r="L528" s="202">
        <v>0</v>
      </c>
      <c r="M528" s="202">
        <v>0</v>
      </c>
      <c r="N528" s="202">
        <v>0</v>
      </c>
      <c r="O528" s="202">
        <v>0</v>
      </c>
      <c r="P528" s="202">
        <v>0</v>
      </c>
      <c r="Q528" s="202">
        <v>0</v>
      </c>
      <c r="R528" s="202">
        <v>0</v>
      </c>
      <c r="S528" s="202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207">
        <v>0</v>
      </c>
      <c r="F529" s="207">
        <v>0</v>
      </c>
      <c r="G529" s="203">
        <v>0</v>
      </c>
      <c r="H529" s="202">
        <v>0</v>
      </c>
      <c r="I529" s="203">
        <v>0</v>
      </c>
      <c r="J529" s="202">
        <v>0</v>
      </c>
      <c r="K529" s="202">
        <v>0</v>
      </c>
      <c r="L529" s="202">
        <v>0</v>
      </c>
      <c r="M529" s="202">
        <v>0</v>
      </c>
      <c r="N529" s="202">
        <v>0</v>
      </c>
      <c r="O529" s="202">
        <v>0</v>
      </c>
      <c r="P529" s="202">
        <v>0</v>
      </c>
      <c r="Q529" s="202">
        <v>0</v>
      </c>
      <c r="R529" s="202">
        <v>0</v>
      </c>
      <c r="S529" s="202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207">
        <v>0</v>
      </c>
      <c r="F530" s="207">
        <v>0</v>
      </c>
      <c r="G530" s="203">
        <v>0</v>
      </c>
      <c r="H530" s="202">
        <v>0</v>
      </c>
      <c r="I530" s="203">
        <v>0</v>
      </c>
      <c r="J530" s="202">
        <v>0</v>
      </c>
      <c r="K530" s="202">
        <v>0</v>
      </c>
      <c r="L530" s="202">
        <v>0</v>
      </c>
      <c r="M530" s="202">
        <v>0</v>
      </c>
      <c r="N530" s="202">
        <v>0</v>
      </c>
      <c r="O530" s="202">
        <v>0</v>
      </c>
      <c r="P530" s="202">
        <v>0</v>
      </c>
      <c r="Q530" s="202">
        <v>0</v>
      </c>
      <c r="R530" s="202">
        <v>0</v>
      </c>
      <c r="S530" s="202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207">
        <v>0</v>
      </c>
      <c r="F531" s="207">
        <v>0</v>
      </c>
      <c r="G531" s="203">
        <v>0</v>
      </c>
      <c r="H531" s="202">
        <v>0</v>
      </c>
      <c r="I531" s="203">
        <v>0</v>
      </c>
      <c r="J531" s="202">
        <v>0</v>
      </c>
      <c r="K531" s="202">
        <v>0</v>
      </c>
      <c r="L531" s="202">
        <v>0</v>
      </c>
      <c r="M531" s="202">
        <v>0</v>
      </c>
      <c r="N531" s="202">
        <v>0</v>
      </c>
      <c r="O531" s="202">
        <v>0</v>
      </c>
      <c r="P531" s="202">
        <v>0</v>
      </c>
      <c r="Q531" s="202">
        <v>0</v>
      </c>
      <c r="R531" s="202">
        <v>0</v>
      </c>
      <c r="S531" s="202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207">
        <v>0</v>
      </c>
      <c r="F532" s="207">
        <v>0</v>
      </c>
      <c r="G532" s="203">
        <v>0</v>
      </c>
      <c r="H532" s="202">
        <v>0</v>
      </c>
      <c r="I532" s="203">
        <v>0</v>
      </c>
      <c r="J532" s="202">
        <v>0</v>
      </c>
      <c r="K532" s="202">
        <v>0</v>
      </c>
      <c r="L532" s="202">
        <v>0</v>
      </c>
      <c r="M532" s="202">
        <v>0</v>
      </c>
      <c r="N532" s="202">
        <v>0</v>
      </c>
      <c r="O532" s="202">
        <v>0</v>
      </c>
      <c r="P532" s="202">
        <v>0</v>
      </c>
      <c r="Q532" s="202">
        <v>0</v>
      </c>
      <c r="R532" s="202">
        <v>0</v>
      </c>
      <c r="S532" s="202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207">
        <v>0</v>
      </c>
      <c r="F533" s="207">
        <v>0</v>
      </c>
      <c r="G533" s="203">
        <v>0</v>
      </c>
      <c r="H533" s="202">
        <v>0</v>
      </c>
      <c r="I533" s="203">
        <v>0</v>
      </c>
      <c r="J533" s="202">
        <v>0</v>
      </c>
      <c r="K533" s="202">
        <v>0</v>
      </c>
      <c r="L533" s="202">
        <v>0</v>
      </c>
      <c r="M533" s="202">
        <v>0</v>
      </c>
      <c r="N533" s="202">
        <v>0</v>
      </c>
      <c r="O533" s="202">
        <v>0</v>
      </c>
      <c r="P533" s="202">
        <v>0</v>
      </c>
      <c r="Q533" s="202">
        <v>0</v>
      </c>
      <c r="R533" s="202">
        <v>0</v>
      </c>
      <c r="S533" s="202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207">
        <v>0</v>
      </c>
      <c r="F534" s="207">
        <v>0</v>
      </c>
      <c r="G534" s="203">
        <v>0</v>
      </c>
      <c r="H534" s="202">
        <v>0</v>
      </c>
      <c r="I534" s="203">
        <v>0</v>
      </c>
      <c r="J534" s="202">
        <v>0</v>
      </c>
      <c r="K534" s="202">
        <v>0</v>
      </c>
      <c r="L534" s="202">
        <v>0</v>
      </c>
      <c r="M534" s="202">
        <v>0</v>
      </c>
      <c r="N534" s="202">
        <v>0</v>
      </c>
      <c r="O534" s="202">
        <v>0</v>
      </c>
      <c r="P534" s="202">
        <v>0</v>
      </c>
      <c r="Q534" s="202">
        <v>0</v>
      </c>
      <c r="R534" s="202">
        <v>0</v>
      </c>
      <c r="S534" s="202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207">
        <v>0</v>
      </c>
      <c r="F535" s="207">
        <v>0</v>
      </c>
      <c r="G535" s="203">
        <v>0</v>
      </c>
      <c r="H535" s="202">
        <v>0</v>
      </c>
      <c r="I535" s="203">
        <v>0</v>
      </c>
      <c r="J535" s="202">
        <v>0</v>
      </c>
      <c r="K535" s="202">
        <v>0</v>
      </c>
      <c r="L535" s="202">
        <v>0</v>
      </c>
      <c r="M535" s="202">
        <v>0</v>
      </c>
      <c r="N535" s="202">
        <v>0</v>
      </c>
      <c r="O535" s="202">
        <v>0</v>
      </c>
      <c r="P535" s="202">
        <v>0</v>
      </c>
      <c r="Q535" s="202">
        <v>0</v>
      </c>
      <c r="R535" s="202">
        <v>0</v>
      </c>
      <c r="S535" s="202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207">
        <v>0</v>
      </c>
      <c r="F536" s="207">
        <v>0</v>
      </c>
      <c r="G536" s="203">
        <v>0</v>
      </c>
      <c r="H536" s="202">
        <v>0</v>
      </c>
      <c r="I536" s="203">
        <v>0</v>
      </c>
      <c r="J536" s="202">
        <v>0</v>
      </c>
      <c r="K536" s="202">
        <v>0</v>
      </c>
      <c r="L536" s="202">
        <v>0</v>
      </c>
      <c r="M536" s="202">
        <v>0</v>
      </c>
      <c r="N536" s="202">
        <v>0</v>
      </c>
      <c r="O536" s="202">
        <v>0</v>
      </c>
      <c r="P536" s="202">
        <v>0</v>
      </c>
      <c r="Q536" s="202">
        <v>0</v>
      </c>
      <c r="R536" s="202">
        <v>0</v>
      </c>
      <c r="S536" s="202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207">
        <v>0</v>
      </c>
      <c r="F537" s="207">
        <v>0</v>
      </c>
      <c r="G537" s="203">
        <v>0</v>
      </c>
      <c r="H537" s="202">
        <v>0</v>
      </c>
      <c r="I537" s="203">
        <v>0</v>
      </c>
      <c r="J537" s="202">
        <v>0</v>
      </c>
      <c r="K537" s="202">
        <v>0</v>
      </c>
      <c r="L537" s="202">
        <v>0</v>
      </c>
      <c r="M537" s="202">
        <v>0</v>
      </c>
      <c r="N537" s="202">
        <v>0</v>
      </c>
      <c r="O537" s="202">
        <v>0</v>
      </c>
      <c r="P537" s="202">
        <v>0</v>
      </c>
      <c r="Q537" s="202">
        <v>0</v>
      </c>
      <c r="R537" s="202">
        <v>0</v>
      </c>
      <c r="S537" s="202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207">
        <v>0</v>
      </c>
      <c r="F538" s="207">
        <v>0</v>
      </c>
      <c r="G538" s="203">
        <v>0</v>
      </c>
      <c r="H538" s="202">
        <v>0</v>
      </c>
      <c r="I538" s="203">
        <v>0</v>
      </c>
      <c r="J538" s="202">
        <v>0</v>
      </c>
      <c r="K538" s="202">
        <v>0</v>
      </c>
      <c r="L538" s="202">
        <v>0</v>
      </c>
      <c r="M538" s="202">
        <v>0</v>
      </c>
      <c r="N538" s="202">
        <v>0</v>
      </c>
      <c r="O538" s="202">
        <v>0</v>
      </c>
      <c r="P538" s="202">
        <v>0</v>
      </c>
      <c r="Q538" s="202">
        <v>0</v>
      </c>
      <c r="R538" s="202">
        <v>0</v>
      </c>
      <c r="S538" s="202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207">
        <v>0</v>
      </c>
      <c r="F539" s="207">
        <v>0</v>
      </c>
      <c r="G539" s="203">
        <v>0</v>
      </c>
      <c r="H539" s="202">
        <v>0</v>
      </c>
      <c r="I539" s="203">
        <v>0</v>
      </c>
      <c r="J539" s="202">
        <v>0</v>
      </c>
      <c r="K539" s="202">
        <v>0</v>
      </c>
      <c r="L539" s="202">
        <v>0</v>
      </c>
      <c r="M539" s="202">
        <v>0</v>
      </c>
      <c r="N539" s="202">
        <v>0</v>
      </c>
      <c r="O539" s="202">
        <v>0</v>
      </c>
      <c r="P539" s="202">
        <v>0</v>
      </c>
      <c r="Q539" s="202">
        <v>0</v>
      </c>
      <c r="R539" s="202">
        <v>0</v>
      </c>
      <c r="S539" s="202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207">
        <v>0</v>
      </c>
      <c r="F540" s="207">
        <v>0</v>
      </c>
      <c r="G540" s="203">
        <v>0</v>
      </c>
      <c r="H540" s="202">
        <v>0</v>
      </c>
      <c r="I540" s="203">
        <v>0</v>
      </c>
      <c r="J540" s="202">
        <v>0</v>
      </c>
      <c r="K540" s="202">
        <v>0</v>
      </c>
      <c r="L540" s="202">
        <v>0</v>
      </c>
      <c r="M540" s="202">
        <v>0</v>
      </c>
      <c r="N540" s="202">
        <v>0</v>
      </c>
      <c r="O540" s="202">
        <v>0</v>
      </c>
      <c r="P540" s="202">
        <v>0</v>
      </c>
      <c r="Q540" s="202">
        <v>0</v>
      </c>
      <c r="R540" s="202">
        <v>0</v>
      </c>
      <c r="S540" s="202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207">
        <v>0</v>
      </c>
      <c r="F541" s="207">
        <v>0</v>
      </c>
      <c r="G541" s="203">
        <v>0</v>
      </c>
      <c r="H541" s="202">
        <v>0</v>
      </c>
      <c r="I541" s="203">
        <v>0</v>
      </c>
      <c r="J541" s="202">
        <v>0</v>
      </c>
      <c r="K541" s="202">
        <v>0</v>
      </c>
      <c r="L541" s="202">
        <v>0</v>
      </c>
      <c r="M541" s="202">
        <v>0</v>
      </c>
      <c r="N541" s="202">
        <v>0</v>
      </c>
      <c r="O541" s="202">
        <v>0</v>
      </c>
      <c r="P541" s="202">
        <v>0</v>
      </c>
      <c r="Q541" s="202">
        <v>0</v>
      </c>
      <c r="R541" s="202">
        <v>0</v>
      </c>
      <c r="S541" s="202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207">
        <v>0</v>
      </c>
      <c r="F542" s="207">
        <v>0</v>
      </c>
      <c r="G542" s="203">
        <v>0</v>
      </c>
      <c r="H542" s="202">
        <v>0</v>
      </c>
      <c r="I542" s="203">
        <v>0</v>
      </c>
      <c r="J542" s="202">
        <v>0</v>
      </c>
      <c r="K542" s="202">
        <v>0</v>
      </c>
      <c r="L542" s="202">
        <v>0</v>
      </c>
      <c r="M542" s="202">
        <v>0</v>
      </c>
      <c r="N542" s="202">
        <v>0</v>
      </c>
      <c r="O542" s="202">
        <v>0</v>
      </c>
      <c r="P542" s="202">
        <v>0</v>
      </c>
      <c r="Q542" s="202">
        <v>0</v>
      </c>
      <c r="R542" s="202">
        <v>0</v>
      </c>
      <c r="S542" s="202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207">
        <v>0</v>
      </c>
      <c r="F543" s="207">
        <v>0</v>
      </c>
      <c r="G543" s="203">
        <v>0</v>
      </c>
      <c r="H543" s="202">
        <v>0</v>
      </c>
      <c r="I543" s="203">
        <v>0</v>
      </c>
      <c r="J543" s="202">
        <v>0</v>
      </c>
      <c r="K543" s="202">
        <v>0</v>
      </c>
      <c r="L543" s="202">
        <v>0</v>
      </c>
      <c r="M543" s="202">
        <v>0</v>
      </c>
      <c r="N543" s="202">
        <v>0</v>
      </c>
      <c r="O543" s="202">
        <v>0</v>
      </c>
      <c r="P543" s="202">
        <v>0</v>
      </c>
      <c r="Q543" s="202">
        <v>0</v>
      </c>
      <c r="R543" s="202">
        <v>0</v>
      </c>
      <c r="S543" s="202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207">
        <v>0</v>
      </c>
      <c r="F544" s="207">
        <v>0</v>
      </c>
      <c r="G544" s="203">
        <v>0</v>
      </c>
      <c r="H544" s="202">
        <v>0</v>
      </c>
      <c r="I544" s="203">
        <v>0</v>
      </c>
      <c r="J544" s="202">
        <v>0</v>
      </c>
      <c r="K544" s="202">
        <v>0</v>
      </c>
      <c r="L544" s="202">
        <v>0</v>
      </c>
      <c r="M544" s="202">
        <v>0</v>
      </c>
      <c r="N544" s="202">
        <v>0</v>
      </c>
      <c r="O544" s="202">
        <v>0</v>
      </c>
      <c r="P544" s="202">
        <v>0</v>
      </c>
      <c r="Q544" s="202">
        <v>0</v>
      </c>
      <c r="R544" s="202">
        <v>0</v>
      </c>
      <c r="S544" s="202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207">
        <v>0</v>
      </c>
      <c r="F545" s="207">
        <v>0</v>
      </c>
      <c r="G545" s="203">
        <v>0</v>
      </c>
      <c r="H545" s="202">
        <v>0</v>
      </c>
      <c r="I545" s="203">
        <v>0</v>
      </c>
      <c r="J545" s="202">
        <v>0</v>
      </c>
      <c r="K545" s="202">
        <v>0</v>
      </c>
      <c r="L545" s="202">
        <v>0</v>
      </c>
      <c r="M545" s="202">
        <v>0</v>
      </c>
      <c r="N545" s="202">
        <v>0</v>
      </c>
      <c r="O545" s="202">
        <v>0</v>
      </c>
      <c r="P545" s="202">
        <v>0</v>
      </c>
      <c r="Q545" s="202">
        <v>0</v>
      </c>
      <c r="R545" s="202">
        <v>0</v>
      </c>
      <c r="S545" s="202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207">
        <v>0</v>
      </c>
      <c r="F546" s="207">
        <v>0</v>
      </c>
      <c r="G546" s="203">
        <v>0</v>
      </c>
      <c r="H546" s="202">
        <v>0</v>
      </c>
      <c r="I546" s="203">
        <v>0</v>
      </c>
      <c r="J546" s="202">
        <v>0</v>
      </c>
      <c r="K546" s="202">
        <v>0</v>
      </c>
      <c r="L546" s="202">
        <v>0</v>
      </c>
      <c r="M546" s="202">
        <v>0</v>
      </c>
      <c r="N546" s="202">
        <v>0</v>
      </c>
      <c r="O546" s="202">
        <v>0</v>
      </c>
      <c r="P546" s="202">
        <v>0</v>
      </c>
      <c r="Q546" s="202">
        <v>0</v>
      </c>
      <c r="R546" s="202">
        <v>0</v>
      </c>
      <c r="S546" s="202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207">
        <v>0</v>
      </c>
      <c r="F547" s="207">
        <v>0</v>
      </c>
      <c r="G547" s="203">
        <v>0</v>
      </c>
      <c r="H547" s="202">
        <v>0</v>
      </c>
      <c r="I547" s="203">
        <v>0</v>
      </c>
      <c r="J547" s="202">
        <v>0</v>
      </c>
      <c r="K547" s="202">
        <v>0</v>
      </c>
      <c r="L547" s="202">
        <v>0</v>
      </c>
      <c r="M547" s="202">
        <v>0</v>
      </c>
      <c r="N547" s="202">
        <v>0</v>
      </c>
      <c r="O547" s="202">
        <v>0</v>
      </c>
      <c r="P547" s="202">
        <v>0</v>
      </c>
      <c r="Q547" s="202">
        <v>0</v>
      </c>
      <c r="R547" s="202">
        <v>0</v>
      </c>
      <c r="S547" s="202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207">
        <v>0</v>
      </c>
      <c r="F548" s="207">
        <v>0</v>
      </c>
      <c r="G548" s="203">
        <v>0</v>
      </c>
      <c r="H548" s="202">
        <v>0</v>
      </c>
      <c r="I548" s="203">
        <v>0</v>
      </c>
      <c r="J548" s="202">
        <v>0</v>
      </c>
      <c r="K548" s="202">
        <v>0</v>
      </c>
      <c r="L548" s="202">
        <v>0</v>
      </c>
      <c r="M548" s="202">
        <v>0</v>
      </c>
      <c r="N548" s="202">
        <v>0</v>
      </c>
      <c r="O548" s="202">
        <v>0</v>
      </c>
      <c r="P548" s="202">
        <v>0</v>
      </c>
      <c r="Q548" s="202">
        <v>0</v>
      </c>
      <c r="R548" s="202">
        <v>0</v>
      </c>
      <c r="S548" s="202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207">
        <v>0</v>
      </c>
      <c r="F549" s="207">
        <v>0</v>
      </c>
      <c r="G549" s="203">
        <v>0</v>
      </c>
      <c r="H549" s="202">
        <v>0</v>
      </c>
      <c r="I549" s="203">
        <v>0</v>
      </c>
      <c r="J549" s="202">
        <v>0</v>
      </c>
      <c r="K549" s="202">
        <v>0</v>
      </c>
      <c r="L549" s="202">
        <v>0</v>
      </c>
      <c r="M549" s="202">
        <v>0</v>
      </c>
      <c r="N549" s="202">
        <v>0</v>
      </c>
      <c r="O549" s="202">
        <v>0</v>
      </c>
      <c r="P549" s="202">
        <v>0</v>
      </c>
      <c r="Q549" s="202">
        <v>0</v>
      </c>
      <c r="R549" s="202">
        <v>0</v>
      </c>
      <c r="S549" s="202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207">
        <v>0</v>
      </c>
      <c r="F550" s="207">
        <v>0</v>
      </c>
      <c r="G550" s="203">
        <v>0</v>
      </c>
      <c r="H550" s="202">
        <v>0</v>
      </c>
      <c r="I550" s="203">
        <v>0</v>
      </c>
      <c r="J550" s="202">
        <v>0</v>
      </c>
      <c r="K550" s="202">
        <v>0</v>
      </c>
      <c r="L550" s="202">
        <v>0</v>
      </c>
      <c r="M550" s="202">
        <v>0</v>
      </c>
      <c r="N550" s="202">
        <v>0</v>
      </c>
      <c r="O550" s="202">
        <v>0</v>
      </c>
      <c r="P550" s="202">
        <v>0</v>
      </c>
      <c r="Q550" s="202">
        <v>0</v>
      </c>
      <c r="R550" s="202">
        <v>0</v>
      </c>
      <c r="S550" s="202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207">
        <v>0</v>
      </c>
      <c r="F551" s="207">
        <v>0</v>
      </c>
      <c r="G551" s="203">
        <v>0</v>
      </c>
      <c r="H551" s="202">
        <v>0</v>
      </c>
      <c r="I551" s="203">
        <v>0</v>
      </c>
      <c r="J551" s="202">
        <v>0</v>
      </c>
      <c r="K551" s="202">
        <v>0</v>
      </c>
      <c r="L551" s="202">
        <v>0</v>
      </c>
      <c r="M551" s="202">
        <v>0</v>
      </c>
      <c r="N551" s="202">
        <v>0</v>
      </c>
      <c r="O551" s="202">
        <v>0</v>
      </c>
      <c r="P551" s="202">
        <v>0</v>
      </c>
      <c r="Q551" s="202">
        <v>0</v>
      </c>
      <c r="R551" s="202">
        <v>0</v>
      </c>
      <c r="S551" s="202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207">
        <v>0</v>
      </c>
      <c r="F552" s="207">
        <v>0</v>
      </c>
      <c r="G552" s="203">
        <v>0</v>
      </c>
      <c r="H552" s="202">
        <v>0</v>
      </c>
      <c r="I552" s="203">
        <v>0</v>
      </c>
      <c r="J552" s="202">
        <v>0</v>
      </c>
      <c r="K552" s="202">
        <v>0</v>
      </c>
      <c r="L552" s="202">
        <v>0</v>
      </c>
      <c r="M552" s="202">
        <v>0</v>
      </c>
      <c r="N552" s="202">
        <v>0</v>
      </c>
      <c r="O552" s="202">
        <v>0</v>
      </c>
      <c r="P552" s="202">
        <v>0</v>
      </c>
      <c r="Q552" s="202">
        <v>0</v>
      </c>
      <c r="R552" s="202">
        <v>0</v>
      </c>
      <c r="S552" s="202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207">
        <v>0</v>
      </c>
      <c r="F553" s="207">
        <v>0</v>
      </c>
      <c r="G553" s="203">
        <v>0</v>
      </c>
      <c r="H553" s="202">
        <v>0</v>
      </c>
      <c r="I553" s="203">
        <v>0</v>
      </c>
      <c r="J553" s="202">
        <v>0</v>
      </c>
      <c r="K553" s="202">
        <v>0</v>
      </c>
      <c r="L553" s="202">
        <v>0</v>
      </c>
      <c r="M553" s="202">
        <v>0</v>
      </c>
      <c r="N553" s="202">
        <v>0</v>
      </c>
      <c r="O553" s="202">
        <v>0</v>
      </c>
      <c r="P553" s="202">
        <v>0</v>
      </c>
      <c r="Q553" s="202">
        <v>0</v>
      </c>
      <c r="R553" s="202">
        <v>0</v>
      </c>
      <c r="S553" s="202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207">
        <v>0</v>
      </c>
      <c r="F554" s="207">
        <v>0</v>
      </c>
      <c r="G554" s="203">
        <v>0</v>
      </c>
      <c r="H554" s="202">
        <v>0</v>
      </c>
      <c r="I554" s="203">
        <v>0</v>
      </c>
      <c r="J554" s="202">
        <v>0</v>
      </c>
      <c r="K554" s="202">
        <v>0</v>
      </c>
      <c r="L554" s="202">
        <v>0</v>
      </c>
      <c r="M554" s="202">
        <v>0</v>
      </c>
      <c r="N554" s="202">
        <v>0</v>
      </c>
      <c r="O554" s="202">
        <v>0</v>
      </c>
      <c r="P554" s="202">
        <v>0</v>
      </c>
      <c r="Q554" s="202">
        <v>0</v>
      </c>
      <c r="R554" s="202">
        <v>0</v>
      </c>
      <c r="S554" s="202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207">
        <v>0</v>
      </c>
      <c r="F555" s="207">
        <v>0</v>
      </c>
      <c r="G555" s="203">
        <v>0</v>
      </c>
      <c r="H555" s="202">
        <v>0</v>
      </c>
      <c r="I555" s="203">
        <v>0</v>
      </c>
      <c r="J555" s="202">
        <v>0</v>
      </c>
      <c r="K555" s="202">
        <v>0</v>
      </c>
      <c r="L555" s="202">
        <v>0</v>
      </c>
      <c r="M555" s="202">
        <v>0</v>
      </c>
      <c r="N555" s="202">
        <v>0</v>
      </c>
      <c r="O555" s="202">
        <v>0</v>
      </c>
      <c r="P555" s="202">
        <v>0</v>
      </c>
      <c r="Q555" s="202">
        <v>0</v>
      </c>
      <c r="R555" s="202">
        <v>0</v>
      </c>
      <c r="S555" s="202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207">
        <v>0</v>
      </c>
      <c r="F556" s="207">
        <v>0</v>
      </c>
      <c r="G556" s="203">
        <v>0</v>
      </c>
      <c r="H556" s="202">
        <v>0</v>
      </c>
      <c r="I556" s="203">
        <v>0</v>
      </c>
      <c r="J556" s="202">
        <v>0</v>
      </c>
      <c r="K556" s="202">
        <v>0</v>
      </c>
      <c r="L556" s="202">
        <v>0</v>
      </c>
      <c r="M556" s="202">
        <v>0</v>
      </c>
      <c r="N556" s="202">
        <v>0</v>
      </c>
      <c r="O556" s="202">
        <v>0</v>
      </c>
      <c r="P556" s="202">
        <v>0</v>
      </c>
      <c r="Q556" s="202">
        <v>0</v>
      </c>
      <c r="R556" s="202">
        <v>0</v>
      </c>
      <c r="S556" s="202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207">
        <v>0</v>
      </c>
      <c r="F557" s="207">
        <v>0</v>
      </c>
      <c r="G557" s="203">
        <v>0</v>
      </c>
      <c r="H557" s="202">
        <v>0</v>
      </c>
      <c r="I557" s="203">
        <v>0</v>
      </c>
      <c r="J557" s="202">
        <v>0</v>
      </c>
      <c r="K557" s="202">
        <v>0</v>
      </c>
      <c r="L557" s="202">
        <v>0</v>
      </c>
      <c r="M557" s="202">
        <v>0</v>
      </c>
      <c r="N557" s="202">
        <v>0</v>
      </c>
      <c r="O557" s="202">
        <v>0</v>
      </c>
      <c r="P557" s="202">
        <v>0</v>
      </c>
      <c r="Q557" s="202">
        <v>0</v>
      </c>
      <c r="R557" s="202">
        <v>0</v>
      </c>
      <c r="S557" s="202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207">
        <v>0</v>
      </c>
      <c r="F558" s="207">
        <v>0</v>
      </c>
      <c r="G558" s="203">
        <v>0</v>
      </c>
      <c r="H558" s="202">
        <v>0</v>
      </c>
      <c r="I558" s="203">
        <v>0</v>
      </c>
      <c r="J558" s="202">
        <v>0</v>
      </c>
      <c r="K558" s="202">
        <v>0</v>
      </c>
      <c r="L558" s="202">
        <v>0</v>
      </c>
      <c r="M558" s="202">
        <v>0</v>
      </c>
      <c r="N558" s="202">
        <v>0</v>
      </c>
      <c r="O558" s="202">
        <v>0</v>
      </c>
      <c r="P558" s="202">
        <v>0</v>
      </c>
      <c r="Q558" s="202">
        <v>0</v>
      </c>
      <c r="R558" s="202">
        <v>0</v>
      </c>
      <c r="S558" s="202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207">
        <v>0</v>
      </c>
      <c r="F559" s="207">
        <v>0</v>
      </c>
      <c r="G559" s="203">
        <v>0</v>
      </c>
      <c r="H559" s="202">
        <v>0</v>
      </c>
      <c r="I559" s="203">
        <v>0</v>
      </c>
      <c r="J559" s="202">
        <v>0</v>
      </c>
      <c r="K559" s="202">
        <v>0</v>
      </c>
      <c r="L559" s="202">
        <v>0</v>
      </c>
      <c r="M559" s="202">
        <v>0</v>
      </c>
      <c r="N559" s="202">
        <v>0</v>
      </c>
      <c r="O559" s="202">
        <v>0</v>
      </c>
      <c r="P559" s="202">
        <v>0</v>
      </c>
      <c r="Q559" s="202">
        <v>0</v>
      </c>
      <c r="R559" s="202">
        <v>0</v>
      </c>
      <c r="S559" s="202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207">
        <v>0</v>
      </c>
      <c r="F560" s="207">
        <v>0</v>
      </c>
      <c r="G560" s="203">
        <v>0</v>
      </c>
      <c r="H560" s="202">
        <v>0</v>
      </c>
      <c r="I560" s="203">
        <v>0</v>
      </c>
      <c r="J560" s="202">
        <v>0</v>
      </c>
      <c r="K560" s="202">
        <v>0</v>
      </c>
      <c r="L560" s="202">
        <v>0</v>
      </c>
      <c r="M560" s="202">
        <v>0</v>
      </c>
      <c r="N560" s="202">
        <v>0</v>
      </c>
      <c r="O560" s="202">
        <v>0</v>
      </c>
      <c r="P560" s="202">
        <v>0</v>
      </c>
      <c r="Q560" s="202">
        <v>0</v>
      </c>
      <c r="R560" s="202">
        <v>0</v>
      </c>
      <c r="S560" s="202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207">
        <v>0</v>
      </c>
      <c r="F561" s="207">
        <v>0</v>
      </c>
      <c r="G561" s="203">
        <v>0</v>
      </c>
      <c r="H561" s="202">
        <v>0</v>
      </c>
      <c r="I561" s="203">
        <v>0</v>
      </c>
      <c r="J561" s="202">
        <v>0</v>
      </c>
      <c r="K561" s="202">
        <v>0</v>
      </c>
      <c r="L561" s="202">
        <v>0</v>
      </c>
      <c r="M561" s="202">
        <v>0</v>
      </c>
      <c r="N561" s="202">
        <v>0</v>
      </c>
      <c r="O561" s="202">
        <v>0</v>
      </c>
      <c r="P561" s="202">
        <v>0</v>
      </c>
      <c r="Q561" s="202">
        <v>0</v>
      </c>
      <c r="R561" s="202">
        <v>0</v>
      </c>
      <c r="S561" s="202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207">
        <v>0</v>
      </c>
      <c r="F562" s="207">
        <v>0</v>
      </c>
      <c r="G562" s="203">
        <v>0</v>
      </c>
      <c r="H562" s="202">
        <v>0</v>
      </c>
      <c r="I562" s="203">
        <v>0</v>
      </c>
      <c r="J562" s="202">
        <v>0</v>
      </c>
      <c r="K562" s="202">
        <v>0</v>
      </c>
      <c r="L562" s="202">
        <v>0</v>
      </c>
      <c r="M562" s="202">
        <v>0</v>
      </c>
      <c r="N562" s="202">
        <v>0</v>
      </c>
      <c r="O562" s="202">
        <v>0</v>
      </c>
      <c r="P562" s="202">
        <v>0</v>
      </c>
      <c r="Q562" s="202">
        <v>0</v>
      </c>
      <c r="R562" s="202">
        <v>0</v>
      </c>
      <c r="S562" s="202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207">
        <v>0</v>
      </c>
      <c r="F563" s="207">
        <v>0</v>
      </c>
      <c r="G563" s="203">
        <v>0</v>
      </c>
      <c r="H563" s="202">
        <v>0</v>
      </c>
      <c r="I563" s="203">
        <v>0</v>
      </c>
      <c r="J563" s="202">
        <v>0</v>
      </c>
      <c r="K563" s="202">
        <v>0</v>
      </c>
      <c r="L563" s="202">
        <v>0</v>
      </c>
      <c r="M563" s="202">
        <v>0</v>
      </c>
      <c r="N563" s="202">
        <v>0</v>
      </c>
      <c r="O563" s="202">
        <v>0</v>
      </c>
      <c r="P563" s="202">
        <v>0</v>
      </c>
      <c r="Q563" s="202">
        <v>0</v>
      </c>
      <c r="R563" s="202">
        <v>0</v>
      </c>
      <c r="S563" s="202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207">
        <v>0</v>
      </c>
      <c r="F564" s="207">
        <v>0</v>
      </c>
      <c r="G564" s="203">
        <v>0</v>
      </c>
      <c r="H564" s="202">
        <v>0</v>
      </c>
      <c r="I564" s="203">
        <v>0</v>
      </c>
      <c r="J564" s="202">
        <v>0</v>
      </c>
      <c r="K564" s="202">
        <v>0</v>
      </c>
      <c r="L564" s="202">
        <v>0</v>
      </c>
      <c r="M564" s="202">
        <v>0</v>
      </c>
      <c r="N564" s="202">
        <v>0</v>
      </c>
      <c r="O564" s="202">
        <v>0</v>
      </c>
      <c r="P564" s="202">
        <v>0</v>
      </c>
      <c r="Q564" s="202">
        <v>0</v>
      </c>
      <c r="R564" s="202">
        <v>0</v>
      </c>
      <c r="S564" s="202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207">
        <v>0</v>
      </c>
      <c r="F565" s="207">
        <v>0</v>
      </c>
      <c r="G565" s="203">
        <v>0</v>
      </c>
      <c r="H565" s="202">
        <v>0</v>
      </c>
      <c r="I565" s="203">
        <v>0</v>
      </c>
      <c r="J565" s="202">
        <v>0</v>
      </c>
      <c r="K565" s="202">
        <v>0</v>
      </c>
      <c r="L565" s="202">
        <v>0</v>
      </c>
      <c r="M565" s="202">
        <v>0</v>
      </c>
      <c r="N565" s="202">
        <v>0</v>
      </c>
      <c r="O565" s="202">
        <v>0</v>
      </c>
      <c r="P565" s="202">
        <v>0</v>
      </c>
      <c r="Q565" s="202">
        <v>0</v>
      </c>
      <c r="R565" s="202">
        <v>0</v>
      </c>
      <c r="S565" s="202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207">
        <v>0</v>
      </c>
      <c r="F566" s="207">
        <v>0</v>
      </c>
      <c r="G566" s="203">
        <v>0</v>
      </c>
      <c r="H566" s="202">
        <v>0</v>
      </c>
      <c r="I566" s="203">
        <v>0</v>
      </c>
      <c r="J566" s="202">
        <v>0</v>
      </c>
      <c r="K566" s="202">
        <v>0</v>
      </c>
      <c r="L566" s="202">
        <v>0</v>
      </c>
      <c r="M566" s="202">
        <v>0</v>
      </c>
      <c r="N566" s="202">
        <v>0</v>
      </c>
      <c r="O566" s="202">
        <v>0</v>
      </c>
      <c r="P566" s="202">
        <v>0</v>
      </c>
      <c r="Q566" s="202">
        <v>0</v>
      </c>
      <c r="R566" s="202">
        <v>0</v>
      </c>
      <c r="S566" s="202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207">
        <v>0</v>
      </c>
      <c r="F567" s="207">
        <v>0</v>
      </c>
      <c r="G567" s="203">
        <v>0</v>
      </c>
      <c r="H567" s="202">
        <v>0</v>
      </c>
      <c r="I567" s="203">
        <v>0</v>
      </c>
      <c r="J567" s="202">
        <v>0</v>
      </c>
      <c r="K567" s="202">
        <v>0</v>
      </c>
      <c r="L567" s="202">
        <v>0</v>
      </c>
      <c r="M567" s="202">
        <v>0</v>
      </c>
      <c r="N567" s="202">
        <v>0</v>
      </c>
      <c r="O567" s="202">
        <v>0</v>
      </c>
      <c r="P567" s="202">
        <v>0</v>
      </c>
      <c r="Q567" s="202">
        <v>0</v>
      </c>
      <c r="R567" s="202">
        <v>0</v>
      </c>
      <c r="S567" s="202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207">
        <v>0</v>
      </c>
      <c r="F568" s="207">
        <v>0</v>
      </c>
      <c r="G568" s="203">
        <v>0</v>
      </c>
      <c r="H568" s="202">
        <v>0</v>
      </c>
      <c r="I568" s="203">
        <v>0</v>
      </c>
      <c r="J568" s="202">
        <v>0</v>
      </c>
      <c r="K568" s="202">
        <v>0</v>
      </c>
      <c r="L568" s="202">
        <v>0</v>
      </c>
      <c r="M568" s="202">
        <v>0</v>
      </c>
      <c r="N568" s="202">
        <v>0</v>
      </c>
      <c r="O568" s="202">
        <v>0</v>
      </c>
      <c r="P568" s="202">
        <v>0</v>
      </c>
      <c r="Q568" s="202">
        <v>0</v>
      </c>
      <c r="R568" s="202">
        <v>0</v>
      </c>
      <c r="S568" s="202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207">
        <v>0</v>
      </c>
      <c r="F569" s="207">
        <v>0</v>
      </c>
      <c r="G569" s="203">
        <v>0</v>
      </c>
      <c r="H569" s="202">
        <v>0</v>
      </c>
      <c r="I569" s="203">
        <v>0</v>
      </c>
      <c r="J569" s="202">
        <v>0</v>
      </c>
      <c r="K569" s="202">
        <v>0</v>
      </c>
      <c r="L569" s="202">
        <v>0</v>
      </c>
      <c r="M569" s="202">
        <v>0</v>
      </c>
      <c r="N569" s="202">
        <v>0</v>
      </c>
      <c r="O569" s="202">
        <v>0</v>
      </c>
      <c r="P569" s="202">
        <v>0</v>
      </c>
      <c r="Q569" s="202">
        <v>0</v>
      </c>
      <c r="R569" s="202">
        <v>0</v>
      </c>
      <c r="S569" s="202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207">
        <v>0</v>
      </c>
      <c r="F570" s="207">
        <v>0</v>
      </c>
      <c r="G570" s="204">
        <v>0</v>
      </c>
      <c r="H570" s="33">
        <v>0</v>
      </c>
      <c r="I570" s="204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207">
        <v>0</v>
      </c>
      <c r="F571" s="207">
        <v>0</v>
      </c>
      <c r="G571" s="204">
        <v>0</v>
      </c>
      <c r="H571" s="33">
        <v>0</v>
      </c>
      <c r="I571" s="204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0</v>
      </c>
      <c r="P571" s="33">
        <v>0</v>
      </c>
      <c r="Q571" s="33">
        <v>0</v>
      </c>
      <c r="R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207">
        <v>0</v>
      </c>
      <c r="F572" s="207">
        <v>0</v>
      </c>
      <c r="G572" s="204">
        <v>0</v>
      </c>
      <c r="H572" s="33">
        <v>0</v>
      </c>
      <c r="I572" s="204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  <c r="Q572" s="33">
        <v>0</v>
      </c>
      <c r="R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207">
        <v>0</v>
      </c>
      <c r="F573" s="207">
        <v>0</v>
      </c>
      <c r="G573" s="204">
        <v>0</v>
      </c>
      <c r="H573" s="33">
        <v>0</v>
      </c>
      <c r="I573" s="204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  <c r="O573" s="33">
        <v>0</v>
      </c>
      <c r="P573" s="33">
        <v>0</v>
      </c>
      <c r="Q573" s="33">
        <v>0</v>
      </c>
      <c r="R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207">
        <v>0</v>
      </c>
      <c r="F574" s="207">
        <v>0</v>
      </c>
      <c r="G574" s="204">
        <v>0</v>
      </c>
      <c r="H574" s="33">
        <v>0</v>
      </c>
      <c r="I574" s="204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  <c r="O574" s="33">
        <v>0</v>
      </c>
      <c r="P574" s="33">
        <v>0</v>
      </c>
      <c r="Q574" s="33">
        <v>0</v>
      </c>
      <c r="R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207">
        <v>0</v>
      </c>
      <c r="F575" s="207">
        <v>0</v>
      </c>
      <c r="G575" s="204">
        <v>0</v>
      </c>
      <c r="H575" s="33">
        <v>0</v>
      </c>
      <c r="I575" s="204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207">
        <v>0</v>
      </c>
      <c r="F576" s="207">
        <v>0</v>
      </c>
      <c r="G576" s="204">
        <v>0</v>
      </c>
      <c r="H576" s="33">
        <v>0</v>
      </c>
      <c r="I576" s="204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  <c r="O576" s="33">
        <v>0</v>
      </c>
      <c r="P576" s="33">
        <v>0</v>
      </c>
      <c r="Q576" s="33">
        <v>0</v>
      </c>
      <c r="R576" s="33">
        <v>0</v>
      </c>
    </row>
    <row r="577" spans="1:18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207">
        <v>0</v>
      </c>
      <c r="F577" s="207">
        <v>0</v>
      </c>
      <c r="G577" s="204">
        <v>0</v>
      </c>
      <c r="H577" s="33">
        <v>0</v>
      </c>
      <c r="I577" s="204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0</v>
      </c>
      <c r="Q577" s="33">
        <v>0</v>
      </c>
      <c r="R577" s="33">
        <v>0</v>
      </c>
    </row>
    <row r="578" spans="1:18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207">
        <v>0</v>
      </c>
      <c r="F578" s="207">
        <v>0</v>
      </c>
      <c r="G578" s="204">
        <v>0</v>
      </c>
      <c r="H578" s="33">
        <v>0</v>
      </c>
      <c r="I578" s="204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  <c r="O578" s="33">
        <v>0</v>
      </c>
      <c r="P578" s="33">
        <v>0</v>
      </c>
      <c r="Q578" s="33">
        <v>0</v>
      </c>
      <c r="R578" s="33">
        <v>0</v>
      </c>
    </row>
    <row r="579" spans="1:18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207">
        <v>0</v>
      </c>
      <c r="F579" s="207">
        <v>0</v>
      </c>
      <c r="G579" s="204">
        <v>0</v>
      </c>
      <c r="H579" s="33">
        <v>0</v>
      </c>
      <c r="I579" s="204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  <c r="O579" s="33">
        <v>0</v>
      </c>
      <c r="P579" s="33">
        <v>0</v>
      </c>
      <c r="Q579" s="33">
        <v>0</v>
      </c>
      <c r="R579" s="33">
        <v>0</v>
      </c>
    </row>
    <row r="580" spans="1:18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207">
        <v>0</v>
      </c>
      <c r="F580" s="207">
        <v>0</v>
      </c>
      <c r="G580" s="204">
        <v>0</v>
      </c>
      <c r="H580" s="33">
        <v>0</v>
      </c>
      <c r="I580" s="204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</row>
    <row r="581" spans="1:18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207">
        <v>0</v>
      </c>
      <c r="F581" s="207">
        <v>0</v>
      </c>
      <c r="G581" s="204">
        <v>0</v>
      </c>
      <c r="H581" s="33">
        <v>0</v>
      </c>
      <c r="I581" s="204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33">
        <v>0</v>
      </c>
      <c r="P581" s="33">
        <v>0</v>
      </c>
      <c r="Q581" s="33">
        <v>0</v>
      </c>
      <c r="R581" s="33">
        <v>0</v>
      </c>
    </row>
    <row r="582" spans="1:18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207">
        <v>0</v>
      </c>
      <c r="F582" s="207">
        <v>0</v>
      </c>
      <c r="G582" s="204">
        <v>0</v>
      </c>
      <c r="H582" s="33">
        <v>0</v>
      </c>
      <c r="I582" s="204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  <c r="O582" s="33">
        <v>0</v>
      </c>
      <c r="P582" s="33">
        <v>0</v>
      </c>
      <c r="Q582" s="33">
        <v>0</v>
      </c>
      <c r="R582" s="33">
        <v>0</v>
      </c>
    </row>
    <row r="583" spans="1:18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207">
        <v>0</v>
      </c>
      <c r="F583" s="207">
        <v>0</v>
      </c>
      <c r="G583" s="204">
        <v>0</v>
      </c>
      <c r="H583" s="33">
        <v>0</v>
      </c>
      <c r="I583" s="204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  <c r="Q583" s="33">
        <v>0</v>
      </c>
      <c r="R583" s="33">
        <v>0</v>
      </c>
    </row>
    <row r="584" spans="1:18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207">
        <v>0</v>
      </c>
      <c r="F584" s="207">
        <v>0</v>
      </c>
      <c r="G584" s="204">
        <v>0</v>
      </c>
      <c r="H584" s="33">
        <v>0</v>
      </c>
      <c r="I584" s="204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  <c r="O584" s="33">
        <v>0</v>
      </c>
      <c r="P584" s="33">
        <v>0</v>
      </c>
      <c r="Q584" s="33">
        <v>0</v>
      </c>
      <c r="R584" s="33">
        <v>0</v>
      </c>
    </row>
    <row r="585" spans="1:18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207">
        <v>0</v>
      </c>
      <c r="F585" s="207">
        <v>0</v>
      </c>
      <c r="G585" s="204">
        <v>0</v>
      </c>
      <c r="H585" s="33">
        <v>0</v>
      </c>
      <c r="I585" s="204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</row>
    <row r="586" spans="1:18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207">
        <v>0</v>
      </c>
      <c r="F586" s="207">
        <v>0</v>
      </c>
      <c r="G586" s="204">
        <v>0</v>
      </c>
      <c r="H586" s="33">
        <v>0</v>
      </c>
      <c r="I586" s="204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  <c r="Q586" s="33">
        <v>0</v>
      </c>
      <c r="R586" s="33">
        <v>0</v>
      </c>
    </row>
    <row r="587" spans="1:18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207">
        <v>0</v>
      </c>
      <c r="F587" s="207">
        <v>0</v>
      </c>
      <c r="G587" s="204">
        <v>0</v>
      </c>
      <c r="H587" s="33">
        <v>0</v>
      </c>
      <c r="I587" s="204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</row>
    <row r="588" spans="1:18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207">
        <v>0</v>
      </c>
      <c r="F588" s="207">
        <v>0</v>
      </c>
      <c r="G588" s="204">
        <v>0</v>
      </c>
      <c r="H588" s="33">
        <v>0</v>
      </c>
      <c r="I588" s="204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  <c r="Q588" s="33">
        <v>0</v>
      </c>
      <c r="R588" s="33">
        <v>0</v>
      </c>
    </row>
    <row r="589" spans="1:18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207">
        <v>0</v>
      </c>
      <c r="F589" s="207">
        <v>0</v>
      </c>
      <c r="G589" s="204">
        <v>0</v>
      </c>
      <c r="H589" s="33">
        <v>0</v>
      </c>
      <c r="I589" s="204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  <c r="O589" s="33">
        <v>0</v>
      </c>
      <c r="P589" s="33">
        <v>0</v>
      </c>
      <c r="Q589" s="33">
        <v>0</v>
      </c>
      <c r="R589" s="33">
        <v>0</v>
      </c>
    </row>
    <row r="590" spans="1:18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207">
        <v>0</v>
      </c>
      <c r="F590" s="207">
        <v>0</v>
      </c>
      <c r="G590" s="204">
        <v>0</v>
      </c>
      <c r="H590" s="33">
        <v>0</v>
      </c>
      <c r="I590" s="204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</row>
    <row r="591" spans="1:18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207">
        <v>0</v>
      </c>
      <c r="F591" s="207">
        <v>0</v>
      </c>
      <c r="G591" s="204">
        <v>0</v>
      </c>
      <c r="H591" s="33">
        <v>0</v>
      </c>
      <c r="I591" s="204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33">
        <v>0</v>
      </c>
    </row>
    <row r="592" spans="1:18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207">
        <v>0</v>
      </c>
      <c r="F592" s="207">
        <v>0</v>
      </c>
      <c r="G592" s="204">
        <v>0</v>
      </c>
      <c r="H592" s="33">
        <v>0</v>
      </c>
      <c r="I592" s="204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0</v>
      </c>
      <c r="Q592" s="33">
        <v>0</v>
      </c>
      <c r="R592" s="33">
        <v>0</v>
      </c>
    </row>
    <row r="593" spans="1:18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207">
        <v>0</v>
      </c>
      <c r="F593" s="207">
        <v>0</v>
      </c>
      <c r="G593" s="204">
        <v>0</v>
      </c>
      <c r="H593" s="33">
        <v>0</v>
      </c>
      <c r="I593" s="204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33">
        <v>0</v>
      </c>
    </row>
    <row r="594" spans="1:18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207">
        <v>0</v>
      </c>
      <c r="F594" s="207">
        <v>0</v>
      </c>
      <c r="G594" s="204">
        <v>0</v>
      </c>
      <c r="H594" s="33">
        <v>0</v>
      </c>
      <c r="I594" s="204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  <c r="O594" s="33">
        <v>0</v>
      </c>
      <c r="P594" s="33">
        <v>0</v>
      </c>
      <c r="Q594" s="33">
        <v>0</v>
      </c>
      <c r="R594" s="33">
        <v>0</v>
      </c>
    </row>
    <row r="595" spans="1:18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207">
        <v>0</v>
      </c>
      <c r="F595" s="207">
        <v>0</v>
      </c>
      <c r="G595" s="204">
        <v>0</v>
      </c>
      <c r="H595" s="33">
        <v>0</v>
      </c>
      <c r="I595" s="204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</row>
    <row r="596" spans="1:18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207">
        <v>0</v>
      </c>
      <c r="F596" s="207">
        <v>0</v>
      </c>
      <c r="G596" s="204">
        <v>0</v>
      </c>
      <c r="H596" s="33">
        <v>0</v>
      </c>
      <c r="I596" s="204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  <c r="O596" s="33">
        <v>0</v>
      </c>
      <c r="P596" s="33">
        <v>0</v>
      </c>
      <c r="Q596" s="33">
        <v>0</v>
      </c>
      <c r="R596" s="33">
        <v>0</v>
      </c>
    </row>
    <row r="597" spans="1:18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207">
        <v>0</v>
      </c>
      <c r="F597" s="207">
        <v>0</v>
      </c>
      <c r="G597" s="204">
        <v>0</v>
      </c>
      <c r="H597" s="33">
        <v>0</v>
      </c>
      <c r="I597" s="204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  <c r="O597" s="33">
        <v>0</v>
      </c>
      <c r="P597" s="33">
        <v>0</v>
      </c>
      <c r="Q597" s="33">
        <v>0</v>
      </c>
      <c r="R597" s="33">
        <v>0</v>
      </c>
    </row>
    <row r="598" spans="1:18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207">
        <v>0</v>
      </c>
      <c r="F598" s="207">
        <v>0</v>
      </c>
      <c r="G598" s="204">
        <v>0</v>
      </c>
      <c r="H598" s="33">
        <v>0</v>
      </c>
      <c r="I598" s="204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  <c r="O598" s="33">
        <v>0</v>
      </c>
      <c r="P598" s="33">
        <v>0</v>
      </c>
      <c r="Q598" s="33">
        <v>0</v>
      </c>
      <c r="R598" s="33">
        <v>0</v>
      </c>
    </row>
    <row r="599" spans="1:18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207">
        <v>0</v>
      </c>
      <c r="F599" s="207">
        <v>0</v>
      </c>
      <c r="G599" s="204">
        <v>0</v>
      </c>
      <c r="H599" s="33">
        <v>0</v>
      </c>
      <c r="I599" s="204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  <c r="O599" s="33">
        <v>0</v>
      </c>
      <c r="P599" s="33">
        <v>0</v>
      </c>
      <c r="Q599" s="33">
        <v>0</v>
      </c>
      <c r="R599" s="33">
        <v>0</v>
      </c>
    </row>
    <row r="600" spans="1:18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207">
        <v>0</v>
      </c>
      <c r="F600" s="207">
        <v>0</v>
      </c>
      <c r="G600" s="204">
        <v>0</v>
      </c>
      <c r="H600" s="33">
        <v>0</v>
      </c>
      <c r="I600" s="204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</row>
    <row r="601" spans="1:18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207">
        <v>0</v>
      </c>
      <c r="F601" s="207">
        <v>0</v>
      </c>
      <c r="G601" s="204">
        <v>0</v>
      </c>
      <c r="H601" s="33">
        <v>0</v>
      </c>
      <c r="I601" s="204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  <c r="O601" s="33">
        <v>0</v>
      </c>
      <c r="P601" s="33">
        <v>0</v>
      </c>
      <c r="Q601" s="33">
        <v>0</v>
      </c>
      <c r="R601" s="33">
        <v>0</v>
      </c>
    </row>
    <row r="602" spans="1:18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207">
        <v>0</v>
      </c>
      <c r="F602" s="207">
        <v>0</v>
      </c>
      <c r="G602" s="204">
        <v>0</v>
      </c>
      <c r="H602" s="33">
        <v>0</v>
      </c>
      <c r="I602" s="204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0</v>
      </c>
      <c r="P602" s="33">
        <v>0</v>
      </c>
      <c r="Q602" s="33">
        <v>0</v>
      </c>
      <c r="R602" s="33">
        <v>0</v>
      </c>
    </row>
    <row r="603" spans="1:18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207">
        <v>0</v>
      </c>
      <c r="F603" s="207">
        <v>0</v>
      </c>
      <c r="G603" s="204">
        <v>0</v>
      </c>
      <c r="H603" s="33">
        <v>0</v>
      </c>
      <c r="I603" s="204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  <c r="Q603" s="33">
        <v>0</v>
      </c>
      <c r="R603" s="33">
        <v>0</v>
      </c>
    </row>
    <row r="633" spans="4:31" x14ac:dyDescent="0.25">
      <c r="I633" s="211"/>
    </row>
    <row r="636" spans="4:31" x14ac:dyDescent="0.25">
      <c r="F636" s="194">
        <v>36495</v>
      </c>
      <c r="G636" s="195"/>
      <c r="H636" s="196">
        <f>+F636+31</f>
        <v>36526</v>
      </c>
      <c r="I636" s="197"/>
      <c r="J636" s="190">
        <f>+H636+31</f>
        <v>36557</v>
      </c>
      <c r="K636" s="191"/>
      <c r="L636" s="190">
        <f>+J636+31</f>
        <v>36588</v>
      </c>
      <c r="M636" s="191"/>
      <c r="N636" s="190">
        <f>+L636+31</f>
        <v>36619</v>
      </c>
      <c r="O636" s="191"/>
      <c r="P636" s="190">
        <f>+N636+31</f>
        <v>36650</v>
      </c>
      <c r="Q636" s="191"/>
      <c r="R636" s="190">
        <f>+P636+31</f>
        <v>36681</v>
      </c>
      <c r="S636" s="191"/>
      <c r="T636" s="190">
        <f>+R636+31</f>
        <v>36712</v>
      </c>
      <c r="U636" s="191"/>
      <c r="V636" s="190">
        <f>+T636+31</f>
        <v>36743</v>
      </c>
      <c r="W636" s="191"/>
      <c r="X636" s="190">
        <f>+V636+31</f>
        <v>36774</v>
      </c>
      <c r="Y636" s="191"/>
      <c r="Z636" s="190">
        <f>+X636+31</f>
        <v>36805</v>
      </c>
      <c r="AA636" s="191"/>
      <c r="AB636" s="190">
        <f>+Z636+31</f>
        <v>36836</v>
      </c>
      <c r="AC636" s="191"/>
      <c r="AD636" s="192"/>
      <c r="AE636" s="192"/>
    </row>
    <row r="637" spans="4:31" x14ac:dyDescent="0.25">
      <c r="F637" s="124" t="s">
        <v>22</v>
      </c>
      <c r="G637" s="145" t="s">
        <v>149</v>
      </c>
      <c r="H637" s="124" t="s">
        <v>22</v>
      </c>
      <c r="I637" s="145" t="s">
        <v>149</v>
      </c>
      <c r="J637" s="124" t="s">
        <v>22</v>
      </c>
      <c r="K637" s="124" t="s">
        <v>149</v>
      </c>
      <c r="L637" s="124" t="s">
        <v>22</v>
      </c>
      <c r="M637" s="124" t="s">
        <v>149</v>
      </c>
      <c r="N637" s="124" t="s">
        <v>22</v>
      </c>
      <c r="O637" s="124" t="s">
        <v>149</v>
      </c>
      <c r="P637" s="124" t="s">
        <v>22</v>
      </c>
      <c r="Q637" s="124" t="s">
        <v>149</v>
      </c>
      <c r="R637" s="124" t="s">
        <v>22</v>
      </c>
      <c r="S637" s="124" t="s">
        <v>149</v>
      </c>
      <c r="T637" s="124" t="s">
        <v>22</v>
      </c>
      <c r="U637" s="124" t="s">
        <v>149</v>
      </c>
      <c r="V637" s="124" t="s">
        <v>22</v>
      </c>
      <c r="W637" s="124" t="s">
        <v>149</v>
      </c>
      <c r="X637" s="124" t="s">
        <v>22</v>
      </c>
      <c r="Y637" s="124" t="s">
        <v>149</v>
      </c>
      <c r="Z637" s="124" t="s">
        <v>22</v>
      </c>
      <c r="AA637" s="124" t="s">
        <v>149</v>
      </c>
      <c r="AB637" s="124" t="s">
        <v>22</v>
      </c>
      <c r="AC637" s="124" t="s">
        <v>149</v>
      </c>
      <c r="AD637" s="118"/>
      <c r="AE637" s="118"/>
    </row>
    <row r="638" spans="4:31" s="204" customFormat="1" x14ac:dyDescent="0.25">
      <c r="D638" s="212" t="s">
        <v>113</v>
      </c>
      <c r="E638" s="213"/>
      <c r="F638" s="214">
        <f>BUG_GL!H82</f>
        <v>0</v>
      </c>
      <c r="G638" s="215">
        <f>BUG_GL!I82</f>
        <v>4137188.0879999734</v>
      </c>
      <c r="H638" s="214">
        <f>BUG_GL!J82</f>
        <v>0</v>
      </c>
      <c r="I638" s="215">
        <f>BUG_GL!K82</f>
        <v>-1542538.8399999947</v>
      </c>
      <c r="J638" s="214">
        <f>BUG_GL!L82</f>
        <v>0</v>
      </c>
      <c r="K638" s="215">
        <f>BUG_GL!M82</f>
        <v>-1070858.959</v>
      </c>
      <c r="L638" s="214">
        <f>BUG_GL!N82</f>
        <v>0</v>
      </c>
      <c r="M638" s="215">
        <f>BUG_GL!O82</f>
        <v>632867.40699999977</v>
      </c>
      <c r="N638" s="214">
        <f>BUG_GL!P82</f>
        <v>0</v>
      </c>
      <c r="O638" s="215">
        <f>BUG_GL!Q82</f>
        <v>-61757.098999999995</v>
      </c>
      <c r="P638" s="214">
        <f>BUG_GL!R82</f>
        <v>0</v>
      </c>
      <c r="Q638" s="215">
        <f>BUG_GL!S82</f>
        <v>2267095.6939999992</v>
      </c>
      <c r="R638" s="214">
        <f>BUG_GL!T82</f>
        <v>0</v>
      </c>
      <c r="S638" s="214">
        <f>BUG_GL!U82</f>
        <v>-10116.550000006557</v>
      </c>
      <c r="T638" s="214">
        <f>BUG_GL!V82</f>
        <v>0</v>
      </c>
      <c r="U638" s="214">
        <f>BUG_GL!W82</f>
        <v>1214121.26</v>
      </c>
      <c r="V638" s="214">
        <f>BUG_GL!X82</f>
        <v>0</v>
      </c>
      <c r="W638" s="214">
        <f>BUG_GL!Y82</f>
        <v>0</v>
      </c>
      <c r="X638" s="214">
        <f>BUG_GL!Z82</f>
        <v>0</v>
      </c>
      <c r="Y638" s="214">
        <f>BUG_GL!AA82</f>
        <v>0</v>
      </c>
      <c r="Z638" s="214">
        <f>BUG_GL!AB82</f>
        <v>0</v>
      </c>
      <c r="AA638" s="214">
        <f>BUG_GL!AC82</f>
        <v>0</v>
      </c>
      <c r="AB638" s="214">
        <f>BUG_GL!AD82</f>
        <v>0</v>
      </c>
      <c r="AC638" s="214">
        <f>BUG_GL!AE82</f>
        <v>0</v>
      </c>
      <c r="AD638" s="119"/>
      <c r="AE638" s="119"/>
    </row>
    <row r="639" spans="4:31" s="204" customFormat="1" x14ac:dyDescent="0.25">
      <c r="D639" s="212" t="s">
        <v>141</v>
      </c>
      <c r="E639" s="213"/>
      <c r="F639" s="214">
        <f>CE_GL!H82</f>
        <v>0</v>
      </c>
      <c r="G639" s="216">
        <f>CE_GL!I82</f>
        <v>-4330694.4859999847</v>
      </c>
      <c r="H639" s="214">
        <f>CE_GL!J82</f>
        <v>0</v>
      </c>
      <c r="I639" s="215">
        <f>CE_GL!K82</f>
        <v>4760962.0539999967</v>
      </c>
      <c r="J639" s="214">
        <f>CE_GL!L82</f>
        <v>0</v>
      </c>
      <c r="K639" s="215">
        <f>CE_GL!M82</f>
        <v>-122586.2980000002</v>
      </c>
      <c r="L639" s="214">
        <f>CE_GL!N82</f>
        <v>0</v>
      </c>
      <c r="M639" s="215">
        <f>CE_GL!O82</f>
        <v>-631256.88699999964</v>
      </c>
      <c r="N639" s="214">
        <f>CE_GL!P82</f>
        <v>0</v>
      </c>
      <c r="O639" s="215">
        <f>CE_GL!Q82</f>
        <v>-416219.05400000012</v>
      </c>
      <c r="P639" s="214">
        <f>CE_GL!R82</f>
        <v>0</v>
      </c>
      <c r="Q639" s="215">
        <f>CE_GL!S82</f>
        <v>-268242.85200000001</v>
      </c>
      <c r="R639" s="214">
        <f>CE_GL!T82</f>
        <v>0</v>
      </c>
      <c r="S639" s="214">
        <f>CE_GL!U82</f>
        <v>240501.53399999894</v>
      </c>
      <c r="T639" s="214">
        <f>CE_GL!V82</f>
        <v>0</v>
      </c>
      <c r="U639" s="214">
        <f>CE_GL!W82</f>
        <v>-1737202.4800000002</v>
      </c>
      <c r="V639" s="214">
        <f>CE_GL!X82</f>
        <v>0</v>
      </c>
      <c r="W639" s="214">
        <f>CE_GL!Y82</f>
        <v>-2102764.8899999997</v>
      </c>
      <c r="X639" s="214">
        <f>CE_GL!Z82</f>
        <v>0</v>
      </c>
      <c r="Y639" s="214">
        <f>CE_GL!AA82</f>
        <v>2092427.8800000001</v>
      </c>
      <c r="Z639" s="214">
        <f>CE_GL!AB82</f>
        <v>0</v>
      </c>
      <c r="AA639" s="214">
        <f>CE_GL!AC82</f>
        <v>0</v>
      </c>
      <c r="AB639" s="214">
        <f>CE_GL!AD82</f>
        <v>0</v>
      </c>
      <c r="AC639" s="214">
        <f>CE_GL!AE82</f>
        <v>0</v>
      </c>
    </row>
    <row r="640" spans="4:31" s="204" customFormat="1" x14ac:dyDescent="0.25">
      <c r="D640" s="212" t="s">
        <v>142</v>
      </c>
      <c r="E640" s="213"/>
      <c r="F640" s="214">
        <f>+'EAST-EGM-GL'!H82</f>
        <v>0</v>
      </c>
      <c r="G640" s="215">
        <f>+'EAST-EGM-GL'!I82</f>
        <v>2957801.1489999909</v>
      </c>
      <c r="H640" s="214">
        <f>+'EAST-EGM-GL'!J82</f>
        <v>0</v>
      </c>
      <c r="I640" s="215">
        <f>+'EAST-EGM-GL'!K82</f>
        <v>3989240.8840000001</v>
      </c>
      <c r="J640" s="214">
        <f>+'EAST-EGM-GL'!L82</f>
        <v>0</v>
      </c>
      <c r="K640" s="215">
        <f>+'EAST-EGM-GL'!M82</f>
        <v>-464840.18499999976</v>
      </c>
      <c r="L640" s="214">
        <f>+'EAST-EGM-GL'!N82</f>
        <v>0</v>
      </c>
      <c r="M640" s="215">
        <f>+'EAST-EGM-GL'!O82</f>
        <v>5485.8160000003554</v>
      </c>
      <c r="N640" s="214">
        <f>+'EAST-EGM-GL'!P82</f>
        <v>0</v>
      </c>
      <c r="O640" s="215">
        <f>+'EAST-EGM-GL'!Q82</f>
        <v>569849.77799999982</v>
      </c>
      <c r="P640" s="214">
        <f>+'EAST-EGM-GL'!R82</f>
        <v>0</v>
      </c>
      <c r="Q640" s="215">
        <f>+'EAST-EGM-GL'!S82</f>
        <v>-161951.18299999999</v>
      </c>
      <c r="R640" s="214">
        <f>+'EAST-EGM-GL'!T82</f>
        <v>0</v>
      </c>
      <c r="S640" s="214">
        <f>+'EAST-EGM-GL'!U82</f>
        <v>1307428.4399999934</v>
      </c>
      <c r="T640" s="214">
        <f>+'EAST-EGM-GL'!V82</f>
        <v>0</v>
      </c>
      <c r="U640" s="214">
        <f>+'EAST-EGM-GL'!W82</f>
        <v>-3033464.7139999997</v>
      </c>
      <c r="V640" s="214">
        <f>+'EAST-EGM-GL'!X82</f>
        <v>0</v>
      </c>
      <c r="W640" s="214">
        <f>+'EAST-EGM-GL'!Y82</f>
        <v>-87222.710000001112</v>
      </c>
      <c r="X640" s="214">
        <f>+'EAST-EGM-GL'!Z82</f>
        <v>0</v>
      </c>
      <c r="Y640" s="214">
        <f>+'EAST-EGM-GL'!AA82</f>
        <v>11745322.039999999</v>
      </c>
      <c r="Z640" s="214">
        <f>+'EAST-EGM-GL'!AB82</f>
        <v>0</v>
      </c>
      <c r="AA640" s="214">
        <f>+'EAST-EGM-GL'!AC82</f>
        <v>0</v>
      </c>
      <c r="AB640" s="214">
        <f>+'EAST-EGM-GL'!AD82</f>
        <v>0</v>
      </c>
      <c r="AC640" s="214">
        <f>+'EAST-EGM-GL'!AE82</f>
        <v>0</v>
      </c>
      <c r="AD640" s="205"/>
      <c r="AE640" s="205"/>
    </row>
    <row r="641" spans="4:31" s="204" customFormat="1" x14ac:dyDescent="0.25">
      <c r="D641" s="212" t="s">
        <v>150</v>
      </c>
      <c r="E641" s="213"/>
      <c r="F641" s="214">
        <f>+'EAST-LRC-GL'!H82</f>
        <v>0</v>
      </c>
      <c r="G641" s="215">
        <f>+'EAST-LRC-GL'!I82</f>
        <v>-682888.34800000419</v>
      </c>
      <c r="H641" s="214">
        <f>+'EAST-LRC-GL'!J82</f>
        <v>0</v>
      </c>
      <c r="I641" s="215">
        <f>+'EAST-LRC-GL'!K82</f>
        <v>-24029.053000000178</v>
      </c>
      <c r="J641" s="214">
        <f>+'EAST-LRC-GL'!L82</f>
        <v>0</v>
      </c>
      <c r="K641" s="215">
        <f>+'EAST-LRC-GL'!M82</f>
        <v>-85833.141999999993</v>
      </c>
      <c r="L641" s="214">
        <f>+'EAST-LRC-GL'!N82</f>
        <v>0</v>
      </c>
      <c r="M641" s="215">
        <f>+'EAST-LRC-GL'!O82</f>
        <v>72474.641000000003</v>
      </c>
      <c r="N641" s="214">
        <f>+'EAST-LRC-GL'!P82</f>
        <v>0</v>
      </c>
      <c r="O641" s="215">
        <f>+'EAST-LRC-GL'!Q82</f>
        <v>-19267.033000000003</v>
      </c>
      <c r="P641" s="214">
        <f>+'EAST-LRC-GL'!R82</f>
        <v>0</v>
      </c>
      <c r="Q641" s="215">
        <f>+'EAST-LRC-GL'!S82</f>
        <v>-17512.060000000001</v>
      </c>
      <c r="R641" s="214">
        <f>+'EAST-LRC-GL'!T82</f>
        <v>0</v>
      </c>
      <c r="S641" s="214">
        <f>+'EAST-LRC-GL'!U82</f>
        <v>17512.060000000001</v>
      </c>
      <c r="T641" s="214">
        <f>+'EAST-LRC-GL'!V82</f>
        <v>0</v>
      </c>
      <c r="U641" s="214">
        <f>+'EAST-LRC-GL'!W82</f>
        <v>0</v>
      </c>
      <c r="V641" s="214">
        <f>+'EAST-LRC-GL'!X82</f>
        <v>0</v>
      </c>
      <c r="W641" s="214">
        <f>+'EAST-LRC-GL'!Y82</f>
        <v>0</v>
      </c>
      <c r="X641" s="214">
        <f>+'EAST-LRC-GL'!Z82</f>
        <v>0</v>
      </c>
      <c r="Y641" s="214">
        <f>+'EAST-LRC-GL'!AA82</f>
        <v>0</v>
      </c>
      <c r="Z641" s="214">
        <f>+'EAST-LRC-GL'!AB82</f>
        <v>0</v>
      </c>
      <c r="AA641" s="214">
        <f>+'EAST-LRC-GL'!AC82</f>
        <v>0</v>
      </c>
      <c r="AB641" s="214">
        <f>+'EAST-LRC-GL'!AD82</f>
        <v>0</v>
      </c>
      <c r="AC641" s="214">
        <f>+'EAST-LRC-GL'!AE82</f>
        <v>0</v>
      </c>
      <c r="AD641" s="205"/>
      <c r="AE641" s="205"/>
    </row>
    <row r="642" spans="4:31" s="204" customFormat="1" x14ac:dyDescent="0.25">
      <c r="D642" s="212" t="s">
        <v>151</v>
      </c>
      <c r="E642" s="213"/>
      <c r="F642" s="214">
        <f>+'BGC-EGM-GL'!H82</f>
        <v>0</v>
      </c>
      <c r="G642" s="214">
        <f>+'BGC-EGM-GL'!I82</f>
        <v>0</v>
      </c>
      <c r="H642" s="214">
        <f>+'BGC-EGM-GL'!J82</f>
        <v>0</v>
      </c>
      <c r="I642" s="214">
        <f>+'BGC-EGM-GL'!K82</f>
        <v>0</v>
      </c>
      <c r="J642" s="214">
        <f>+'BGC-EGM-GL'!L82</f>
        <v>0</v>
      </c>
      <c r="K642" s="214">
        <f>+'BGC-EGM-GL'!M82</f>
        <v>0</v>
      </c>
      <c r="L642" s="214">
        <f>+'BGC-EGM-GL'!N82</f>
        <v>0</v>
      </c>
      <c r="M642" s="214">
        <f>+'BGC-EGM-GL'!O82</f>
        <v>0</v>
      </c>
      <c r="N642" s="214">
        <f>+'BGC-EGM-GL'!P82</f>
        <v>0</v>
      </c>
      <c r="O642" s="214">
        <f>+'BGC-EGM-GL'!Q82</f>
        <v>0</v>
      </c>
      <c r="P642" s="214">
        <f>+'BGC-EGM-GL'!R82</f>
        <v>0</v>
      </c>
      <c r="Q642" s="214">
        <f>+'BGC-EGM-GL'!S82</f>
        <v>0</v>
      </c>
      <c r="R642" s="214">
        <f>+'BGC-EGM-GL'!T82</f>
        <v>0</v>
      </c>
      <c r="S642" s="214">
        <f>+'BGC-EGM-GL'!U82</f>
        <v>0</v>
      </c>
      <c r="T642" s="214">
        <f>+'BGC-EGM-GL'!V82</f>
        <v>0</v>
      </c>
      <c r="U642" s="214">
        <f>+'BGC-EGM-GL'!W82</f>
        <v>0</v>
      </c>
      <c r="V642" s="214">
        <f>+'BGC-EGM-GL'!X82</f>
        <v>0</v>
      </c>
      <c r="W642" s="214">
        <f>+'BGC-EGM-GL'!Y82</f>
        <v>0</v>
      </c>
      <c r="X642" s="214">
        <f>+'BGC-EGM-GL'!Z82</f>
        <v>0</v>
      </c>
      <c r="Y642" s="214">
        <f>+'BGC-EGM-GL'!AA82</f>
        <v>0</v>
      </c>
      <c r="Z642" s="214">
        <f>+'BGC-EGM-GL'!AB82</f>
        <v>0</v>
      </c>
      <c r="AA642" s="214">
        <f>+'BGC-EGM-GL'!AC82</f>
        <v>0</v>
      </c>
      <c r="AB642" s="214">
        <f>+'BGC-EGM-GL'!AD82</f>
        <v>0</v>
      </c>
      <c r="AC642" s="214">
        <f>+'BGC-EGM-GL'!AE82</f>
        <v>0</v>
      </c>
      <c r="AD642" s="205"/>
      <c r="AE642" s="205"/>
    </row>
    <row r="643" spans="4:31" s="204" customFormat="1" x14ac:dyDescent="0.25">
      <c r="D643" s="212" t="s">
        <v>152</v>
      </c>
      <c r="E643" s="213"/>
      <c r="F643" s="214">
        <f>+'EAST-CON-GL '!H82</f>
        <v>0</v>
      </c>
      <c r="G643" s="215">
        <f>+'EAST-CON-GL '!I82</f>
        <v>2274912.8010000368</v>
      </c>
      <c r="H643" s="214">
        <f>+'EAST-CON-GL '!J82</f>
        <v>0</v>
      </c>
      <c r="I643" s="214">
        <f>+'EAST-CON-GL '!K82</f>
        <v>3965211.8309999951</v>
      </c>
      <c r="J643" s="214">
        <f>+'EAST-CON-GL '!L82</f>
        <v>0</v>
      </c>
      <c r="K643" s="215">
        <f>+'EAST-CON-GL '!M82</f>
        <v>-550673.32699999982</v>
      </c>
      <c r="L643" s="214">
        <f>+'EAST-CON-GL '!N82</f>
        <v>0</v>
      </c>
      <c r="M643" s="215">
        <f>+'EAST-CON-GL '!O82</f>
        <v>77960.457000000257</v>
      </c>
      <c r="N643" s="214">
        <f>+'EAST-CON-GL '!P82</f>
        <v>0</v>
      </c>
      <c r="O643" s="214">
        <f>+'EAST-CON-GL '!Q82</f>
        <v>550582.74499999988</v>
      </c>
      <c r="P643" s="214">
        <f>+'EAST-CON-GL '!R82</f>
        <v>0</v>
      </c>
      <c r="Q643" s="214">
        <f>+'EAST-CON-GL '!S82</f>
        <v>-179463.24300000002</v>
      </c>
      <c r="R643" s="214">
        <f>+'EAST-CON-GL '!T82</f>
        <v>0</v>
      </c>
      <c r="S643" s="214">
        <f>+'EAST-CON-GL '!U82</f>
        <v>1324940.4999999935</v>
      </c>
      <c r="T643" s="214">
        <f>+'EAST-CON-GL '!V82</f>
        <v>0</v>
      </c>
      <c r="U643" s="214">
        <f>+'EAST-CON-GL '!W82</f>
        <v>-3033464.7139999997</v>
      </c>
      <c r="V643" s="214">
        <f>+'EAST-CON-GL '!X82</f>
        <v>0</v>
      </c>
      <c r="W643" s="214">
        <f>+'EAST-CON-GL '!Y82</f>
        <v>-87222.710000001112</v>
      </c>
      <c r="X643" s="214">
        <f>+'EAST-CON-GL '!Z82</f>
        <v>0</v>
      </c>
      <c r="Y643" s="214">
        <f>+'EAST-CON-GL '!AA82</f>
        <v>11745322.039999999</v>
      </c>
      <c r="Z643" s="214">
        <f>+'EAST-CON-GL '!AB82</f>
        <v>0</v>
      </c>
      <c r="AA643" s="214">
        <f>+'EAST-CON-GL '!AC82</f>
        <v>0</v>
      </c>
      <c r="AB643" s="214">
        <f>+'EAST-CON-GL '!AD82</f>
        <v>0</v>
      </c>
      <c r="AC643" s="214">
        <f>+'EAST-CON-GL '!AE82</f>
        <v>0</v>
      </c>
      <c r="AD643" s="205"/>
      <c r="AE643" s="205"/>
    </row>
    <row r="644" spans="4:31" s="204" customFormat="1" x14ac:dyDescent="0.25">
      <c r="D644" s="212" t="s">
        <v>153</v>
      </c>
      <c r="E644" s="213"/>
      <c r="F644" s="214">
        <f>+'TX-EGM-GL'!H82</f>
        <v>0</v>
      </c>
      <c r="G644" s="214">
        <f>+'TX-EGM-GL'!I82</f>
        <v>4688584.1859999942</v>
      </c>
      <c r="H644" s="214">
        <f>+'TX-EGM-GL'!J82</f>
        <v>0</v>
      </c>
      <c r="I644" s="215">
        <f>+'TX-EGM-GL'!K91</f>
        <v>-1763374.0649999992</v>
      </c>
      <c r="J644" s="214">
        <f>+'TX-EGM-GL'!L82</f>
        <v>0</v>
      </c>
      <c r="K644" s="215">
        <f>+'TX-EGM-GL'!M82</f>
        <v>-284636.9149999998</v>
      </c>
      <c r="L644" s="214">
        <f>+'TX-EGM-GL'!N82</f>
        <v>0</v>
      </c>
      <c r="M644" s="215">
        <f>+'TX-EGM-GL'!O82</f>
        <v>43391.767999999814</v>
      </c>
      <c r="N644" s="214">
        <f>+'TX-EGM-GL'!P82</f>
        <v>0</v>
      </c>
      <c r="O644" s="215">
        <f>+'TX-EGM-GL'!Q82</f>
        <v>-7716.3149999998832</v>
      </c>
      <c r="P644" s="214">
        <f>+'TX-EGM-GL'!R82</f>
        <v>0</v>
      </c>
      <c r="Q644" s="215">
        <f>+'TX-EGM-GL'!S82</f>
        <v>281731.89999999985</v>
      </c>
      <c r="R644" s="214">
        <f>+'TX-EGM-GL'!T82</f>
        <v>0</v>
      </c>
      <c r="S644" s="214">
        <f>+'TX-EGM-GL'!U82</f>
        <v>-112106.41600000065</v>
      </c>
      <c r="T644" s="214">
        <f>+'TX-EGM-GL'!V82</f>
        <v>0</v>
      </c>
      <c r="U644" s="214">
        <f>+'TX-EGM-GL'!W82</f>
        <v>486.25000000001631</v>
      </c>
      <c r="V644" s="214">
        <f>+'TX-EGM-GL'!X82</f>
        <v>0</v>
      </c>
      <c r="W644" s="214">
        <f>+'TX-EGM-GL'!Y82</f>
        <v>-19101.51999999999</v>
      </c>
      <c r="X644" s="214">
        <f>+'TX-EGM-GL'!Z82</f>
        <v>0</v>
      </c>
      <c r="Y644" s="214">
        <f>+'TX-EGM-GL'!AA82</f>
        <v>-1.5699999999999967</v>
      </c>
      <c r="Z644" s="214">
        <f>+'TX-EGM-GL'!AB82</f>
        <v>0</v>
      </c>
      <c r="AA644" s="214">
        <f>+'TX-EGM-GL'!AC82</f>
        <v>0</v>
      </c>
      <c r="AB644" s="214">
        <f>+'TX-EGM-GL'!AD82</f>
        <v>0</v>
      </c>
      <c r="AC644" s="214">
        <f>+'TX-EGM-GL'!AE82</f>
        <v>0</v>
      </c>
      <c r="AD644" s="205"/>
      <c r="AE644" s="205"/>
    </row>
    <row r="645" spans="4:31" s="204" customFormat="1" x14ac:dyDescent="0.25">
      <c r="D645" s="212" t="s">
        <v>181</v>
      </c>
      <c r="E645" s="213"/>
      <c r="F645" s="214">
        <f>+'TX-HPLR-GL '!H82</f>
        <v>0</v>
      </c>
      <c r="G645" s="214">
        <f>+'TX-HPLR-GL '!I82</f>
        <v>-3870.1600000000035</v>
      </c>
      <c r="H645" s="214">
        <f>+'TX-HPLR-GL '!J82</f>
        <v>0</v>
      </c>
      <c r="I645" s="215">
        <f>+'TX-HPLR-GL '!K82</f>
        <v>6052.3099999999977</v>
      </c>
      <c r="J645" s="214">
        <f>+'TX-HPLR-GL '!L82</f>
        <v>0</v>
      </c>
      <c r="K645" s="215">
        <f>+'TX-HPLR-GL '!M82</f>
        <v>16109.33</v>
      </c>
      <c r="L645" s="214">
        <f>+'TX-HPLR-GL '!N82</f>
        <v>0</v>
      </c>
      <c r="M645" s="215">
        <f>+'TX-HPLR-GL '!O82</f>
        <v>135979.72</v>
      </c>
      <c r="N645" s="214">
        <f>+'TX-HPLR-GL '!P82</f>
        <v>0</v>
      </c>
      <c r="O645" s="215">
        <f>+'TX-HPLR-GL '!Q82</f>
        <v>-641467.28</v>
      </c>
      <c r="P645" s="214">
        <f>+'TX-HPLR-GL '!R82</f>
        <v>0</v>
      </c>
      <c r="Q645" s="215">
        <f>+'TX-HPLR-GL '!S82</f>
        <v>505487.22</v>
      </c>
      <c r="R645" s="214">
        <f>+'TX-HPLR-GL '!T82</f>
        <v>0</v>
      </c>
      <c r="S645" s="214">
        <f>+'TX-HPLR-GL '!U82</f>
        <v>0</v>
      </c>
      <c r="T645" s="214">
        <f>+'TX-HPLR-GL '!V82</f>
        <v>0</v>
      </c>
      <c r="U645" s="214">
        <f>+'TX-HPLR-GL '!W82</f>
        <v>-6556.98</v>
      </c>
      <c r="V645" s="214">
        <f>+'TX-HPLR-GL '!X82</f>
        <v>0</v>
      </c>
      <c r="W645" s="214">
        <f>+'TX-HPLR-GL '!Y82</f>
        <v>15384.38</v>
      </c>
      <c r="X645" s="214">
        <f>+'TX-HPLR-GL '!Z82</f>
        <v>0</v>
      </c>
      <c r="Y645" s="214">
        <f>+'TX-HPLR-GL '!AA82</f>
        <v>0</v>
      </c>
      <c r="Z645" s="214">
        <f>+'TX-HPLR-GL '!AB82</f>
        <v>0</v>
      </c>
      <c r="AA645" s="214">
        <f>+'TX-HPLR-GL '!AC82</f>
        <v>0</v>
      </c>
      <c r="AB645" s="214">
        <f>+'TX-HPLR-GL '!AD82</f>
        <v>0</v>
      </c>
      <c r="AC645" s="214">
        <f>+'TX-HPLR-GL '!AE82</f>
        <v>0</v>
      </c>
      <c r="AD645" s="205"/>
      <c r="AE645" s="205"/>
    </row>
    <row r="646" spans="4:31" s="204" customFormat="1" x14ac:dyDescent="0.25">
      <c r="D646" s="212" t="s">
        <v>180</v>
      </c>
      <c r="E646" s="213"/>
      <c r="F646" s="214">
        <f>+'TX-HPLC-GL'!H82</f>
        <v>0</v>
      </c>
      <c r="G646" s="215">
        <f>+'TX-HPLC-GL'!I82</f>
        <v>4611367</v>
      </c>
      <c r="H646" s="214">
        <f>+'TX-HPLC-GL'!J82</f>
        <v>0</v>
      </c>
      <c r="I646" s="214">
        <f>+'TX-HPLC-GL'!K82</f>
        <v>1441179.4800000004</v>
      </c>
      <c r="J646" s="214">
        <f>+'TX-HPLC-GL'!L82</f>
        <v>0</v>
      </c>
      <c r="K646" s="215">
        <f>+'TX-HPLC-GL'!M82</f>
        <v>-487520</v>
      </c>
      <c r="L646" s="214">
        <f>+'TX-HPLC-GL'!N82</f>
        <v>0</v>
      </c>
      <c r="M646" s="215">
        <f>+'TX-HPLC-GL'!O82</f>
        <v>27995</v>
      </c>
      <c r="N646" s="214">
        <f>+'TX-HPLC-GL'!P82</f>
        <v>0</v>
      </c>
      <c r="O646" s="215">
        <f>+'TX-HPLC-GL'!Q82</f>
        <v>764526</v>
      </c>
      <c r="P646" s="214">
        <f>+'TX-HPLC-GL'!R82</f>
        <v>0</v>
      </c>
      <c r="Q646" s="215">
        <f>+'TX-HPLC-GL'!S82</f>
        <v>-12428</v>
      </c>
      <c r="R646" s="214">
        <f>+'TX-HPLC-GL'!T82</f>
        <v>0</v>
      </c>
      <c r="S646" s="214">
        <f>+'TX-HPLC-GL'!U82</f>
        <v>-31593</v>
      </c>
      <c r="T646" s="214">
        <f>+'TX-HPLC-GL'!V82</f>
        <v>0</v>
      </c>
      <c r="U646" s="214">
        <f>+'TX-HPLC-GL'!W82</f>
        <v>4907.9099999999935</v>
      </c>
      <c r="V646" s="214">
        <f>+'TX-HPLC-GL'!X82</f>
        <v>0</v>
      </c>
      <c r="W646" s="214">
        <f>+'TX-HPLC-GL'!Y82</f>
        <v>-13518.669999999993</v>
      </c>
      <c r="X646" s="214">
        <f>+'TX-HPLC-GL'!Z82</f>
        <v>0</v>
      </c>
      <c r="Y646" s="214">
        <f>+'TX-HPLC-GL'!AA82</f>
        <v>12869.910000000022</v>
      </c>
      <c r="Z646" s="214">
        <f>+'TX-HPLC-GL'!AB82</f>
        <v>0</v>
      </c>
      <c r="AA646" s="214">
        <f>+'TX-HPLC-GL'!AC82</f>
        <v>0</v>
      </c>
      <c r="AB646" s="214">
        <f>+'TX-HPLC-GL'!AD82</f>
        <v>0</v>
      </c>
      <c r="AC646" s="214">
        <f>+'TX-HPLC-GL'!AE82</f>
        <v>0</v>
      </c>
      <c r="AD646" s="205"/>
      <c r="AE646" s="205"/>
    </row>
    <row r="647" spans="4:31" s="204" customFormat="1" x14ac:dyDescent="0.25">
      <c r="D647" s="212" t="s">
        <v>154</v>
      </c>
      <c r="E647" s="213"/>
      <c r="F647" s="214">
        <f>+'TX-CON-GL '!H82</f>
        <v>0</v>
      </c>
      <c r="G647" s="214">
        <f>+'TX-CON-GL '!I82</f>
        <v>9296081.0260000061</v>
      </c>
      <c r="H647" s="214">
        <f>+'TX-CON-GL '!J82</f>
        <v>0</v>
      </c>
      <c r="I647" s="214">
        <f>+'TX-CON-GL '!K82</f>
        <v>-316142.27500000159</v>
      </c>
      <c r="J647" s="214">
        <f>+'TX-CON-GL '!L82</f>
        <v>0</v>
      </c>
      <c r="K647" s="214">
        <f>+'TX-CON-GL '!M82</f>
        <v>-756047.58499999985</v>
      </c>
      <c r="L647" s="214">
        <f>+'TX-CON-GL '!N82</f>
        <v>0</v>
      </c>
      <c r="M647" s="215">
        <f>+'TX-CON-GL '!O82</f>
        <v>207366.48799999966</v>
      </c>
      <c r="N647" s="214">
        <f>+'TX-CON-GL '!P82</f>
        <v>0</v>
      </c>
      <c r="O647" s="214">
        <f>+'TX-CON-GL '!Q82</f>
        <v>115342.40500000014</v>
      </c>
      <c r="P647" s="214">
        <f>+'TX-CON-GL '!R82</f>
        <v>0</v>
      </c>
      <c r="Q647" s="214">
        <f>+'TX-CON-GL '!S82</f>
        <v>774791.11999999988</v>
      </c>
      <c r="R647" s="214">
        <f>+'TX-CON-GL '!T82</f>
        <v>0</v>
      </c>
      <c r="S647" s="214">
        <f>+'TX-CON-GL '!U82</f>
        <v>-143699.41600000052</v>
      </c>
      <c r="T647" s="214">
        <f>+'TX-CON-GL '!V82</f>
        <v>0</v>
      </c>
      <c r="U647" s="214">
        <f>+'TX-CON-GL '!W82</f>
        <v>-1162.8199999999997</v>
      </c>
      <c r="V647" s="214">
        <f>+'TX-CON-GL '!X82</f>
        <v>0</v>
      </c>
      <c r="W647" s="214">
        <f>+'TX-CON-GL '!Y82</f>
        <v>-17235.809999999976</v>
      </c>
      <c r="X647" s="214">
        <f>+'TX-CON-GL '!Z82</f>
        <v>0</v>
      </c>
      <c r="Y647" s="214">
        <f>+'TX-CON-GL '!AA82</f>
        <v>12868.340000000002</v>
      </c>
      <c r="Z647" s="214">
        <f>+'TX-CON-GL '!AB82</f>
        <v>0</v>
      </c>
      <c r="AA647" s="214">
        <f>+'TX-CON-GL '!AC82</f>
        <v>0</v>
      </c>
      <c r="AB647" s="214">
        <f>+'TX-CON-GL '!AD82</f>
        <v>0</v>
      </c>
      <c r="AC647" s="214">
        <f>+'TX-CON-GL '!AE82</f>
        <v>0</v>
      </c>
      <c r="AD647" s="205"/>
      <c r="AE647" s="205"/>
    </row>
    <row r="648" spans="4:31" s="204" customFormat="1" x14ac:dyDescent="0.25">
      <c r="D648" s="212" t="s">
        <v>144</v>
      </c>
      <c r="E648" s="213"/>
      <c r="F648" s="214">
        <f>+'WE-GL '!H82</f>
        <v>0</v>
      </c>
      <c r="G648" s="215">
        <f>+'WE-GL '!I82</f>
        <v>-4635773.3119999878</v>
      </c>
      <c r="H648" s="214">
        <f>+'WE-GL '!J82</f>
        <v>0</v>
      </c>
      <c r="I648" s="215">
        <f>+'WE-GL '!K82</f>
        <v>917970.38200000033</v>
      </c>
      <c r="J648" s="214">
        <f>+'WE-GL '!L82</f>
        <v>0</v>
      </c>
      <c r="K648" s="215">
        <f>+'WE-GL '!M82</f>
        <v>-286293.62400000007</v>
      </c>
      <c r="L648" s="214">
        <f>+'WE-GL '!N82</f>
        <v>0</v>
      </c>
      <c r="M648" s="215">
        <f>+'WE-GL '!O82</f>
        <v>2639159.92</v>
      </c>
      <c r="N648" s="214">
        <f>+'WE-GL '!P82</f>
        <v>0</v>
      </c>
      <c r="O648" s="215">
        <f>+'WE-GL '!Q82</f>
        <v>-2058783.152</v>
      </c>
      <c r="P648" s="214">
        <f>+'WE-GL '!R82</f>
        <v>0</v>
      </c>
      <c r="Q648" s="215">
        <f>+'WE-GL '!S82</f>
        <v>-26952.951999999997</v>
      </c>
      <c r="R648" s="214">
        <f>+'WE-GL '!T82</f>
        <v>0</v>
      </c>
      <c r="S648" s="214">
        <f>+'WE-GL '!U82</f>
        <v>87.517999998526648</v>
      </c>
      <c r="T648" s="214">
        <f>+'WE-GL '!V82</f>
        <v>0</v>
      </c>
      <c r="U648" s="214">
        <f>+'WE-GL '!W82</f>
        <v>-194459.37</v>
      </c>
      <c r="V648" s="214">
        <f>+'WE-GL '!X82</f>
        <v>0</v>
      </c>
      <c r="W648" s="214">
        <f>+'WE-GL '!Y82</f>
        <v>-21122.15</v>
      </c>
      <c r="X648" s="214">
        <f>+'WE-GL '!Z82</f>
        <v>0</v>
      </c>
      <c r="Y648" s="214">
        <f>+'WE-GL '!AA82</f>
        <v>49432.91</v>
      </c>
      <c r="Z648" s="214">
        <f>+'WE-GL '!AB82</f>
        <v>0</v>
      </c>
      <c r="AA648" s="214">
        <f>+'WE-GL '!AC82</f>
        <v>0</v>
      </c>
      <c r="AB648" s="214">
        <f>+'WE-GL '!AD82</f>
        <v>0</v>
      </c>
      <c r="AC648" s="214">
        <f>+'WE-GL '!AE82</f>
        <v>0</v>
      </c>
      <c r="AD648" s="205"/>
      <c r="AE648" s="205"/>
    </row>
    <row r="649" spans="4:31" s="204" customFormat="1" x14ac:dyDescent="0.25">
      <c r="D649" s="212" t="s">
        <v>204</v>
      </c>
      <c r="E649" s="213"/>
      <c r="F649" s="214">
        <f>+'DEN-GL'!H82</f>
        <v>0</v>
      </c>
      <c r="G649" s="215">
        <f>+'DEN-GL'!I82</f>
        <v>-379587.82300000102</v>
      </c>
      <c r="H649" s="214">
        <f>+'DEN-GL'!J82</f>
        <v>0</v>
      </c>
      <c r="I649" s="215">
        <f>+'DEN-GL'!K82</f>
        <v>399715.48000000021</v>
      </c>
      <c r="J649" s="214">
        <f>+'DEN-GL'!L82</f>
        <v>0</v>
      </c>
      <c r="K649" s="215">
        <f>+'DEN-GL'!M82</f>
        <v>-385512.467</v>
      </c>
      <c r="L649" s="214">
        <f>+'DEN-GL'!N82</f>
        <v>0</v>
      </c>
      <c r="M649" s="215">
        <f>+'DEN-GL'!O82</f>
        <v>486759.43699999998</v>
      </c>
      <c r="N649" s="214">
        <f>+'DEN-GL'!P82</f>
        <v>0</v>
      </c>
      <c r="O649" s="215">
        <f>+'DEN-GL'!Q82</f>
        <v>-90279.48</v>
      </c>
      <c r="P649" s="214">
        <f>+'DEN-GL'!R82</f>
        <v>0</v>
      </c>
      <c r="Q649" s="215">
        <f>+'DEN-GL'!S82</f>
        <v>-63.38</v>
      </c>
      <c r="R649" s="214">
        <f>+'DEN-GL'!T82</f>
        <v>0</v>
      </c>
      <c r="S649" s="214">
        <f>+'DEN-GL'!U82</f>
        <v>-24682.171999999988</v>
      </c>
      <c r="T649" s="214">
        <f>+'DEN-GL'!V82</f>
        <v>0</v>
      </c>
      <c r="U649" s="214">
        <f>+'DEN-GL'!W82</f>
        <v>417307.71</v>
      </c>
      <c r="V649" s="214">
        <f>+'DEN-GL'!X82</f>
        <v>0</v>
      </c>
      <c r="W649" s="214">
        <f>+'DEN-GL'!Y82</f>
        <v>0</v>
      </c>
      <c r="X649" s="214">
        <f>+'DEN-GL'!Z82</f>
        <v>0</v>
      </c>
      <c r="Y649" s="214">
        <f>+'DEN-GL'!AA82</f>
        <v>0</v>
      </c>
      <c r="Z649" s="214">
        <f>+'DEN-GL'!AB82</f>
        <v>0</v>
      </c>
      <c r="AA649" s="214">
        <f>+'DEN-GL'!AC82</f>
        <v>0</v>
      </c>
      <c r="AB649" s="214">
        <f>+'DEN-GL'!AD82</f>
        <v>0</v>
      </c>
      <c r="AC649" s="214">
        <f>+'DEN-GL'!AE82</f>
        <v>0</v>
      </c>
      <c r="AD649" s="205"/>
      <c r="AE649" s="205"/>
    </row>
    <row r="650" spans="4:31" s="204" customFormat="1" x14ac:dyDescent="0.25">
      <c r="D650" s="212" t="s">
        <v>146</v>
      </c>
      <c r="E650" s="213"/>
      <c r="F650" s="214">
        <f>+STG_GL!H82</f>
        <v>0</v>
      </c>
      <c r="G650" s="214">
        <f>+STG_GL!I82</f>
        <v>0</v>
      </c>
      <c r="H650" s="214">
        <f>+STG_GL!J82</f>
        <v>0</v>
      </c>
      <c r="I650" s="214">
        <f>+STG_GL!K82</f>
        <v>2553034</v>
      </c>
      <c r="J650" s="214">
        <f>+STG_GL!L82</f>
        <v>0</v>
      </c>
      <c r="K650" s="215">
        <f>+STG_GL!M82</f>
        <v>11711</v>
      </c>
      <c r="L650" s="214">
        <f>+STG_GL!N82</f>
        <v>0</v>
      </c>
      <c r="M650" s="214">
        <f>+STG_GL!O82</f>
        <v>1921813</v>
      </c>
      <c r="N650" s="214">
        <f>+STG_GL!P82</f>
        <v>0</v>
      </c>
      <c r="O650" s="214">
        <f>+STG_GL!Q82</f>
        <v>0</v>
      </c>
      <c r="P650" s="214">
        <f>+STG_GL!R82</f>
        <v>0</v>
      </c>
      <c r="Q650" s="214">
        <f>+STG_GL!S82</f>
        <v>0</v>
      </c>
      <c r="R650" s="214">
        <f>+STG_GL!T82</f>
        <v>0</v>
      </c>
      <c r="S650" s="214">
        <f>+STG_GL!U82</f>
        <v>563796</v>
      </c>
      <c r="T650" s="214">
        <f>+STG_GL!V82</f>
        <v>0</v>
      </c>
      <c r="U650" s="214">
        <f>+STG_GL!W82</f>
        <v>0</v>
      </c>
      <c r="V650" s="214">
        <f>+STG_GL!X82</f>
        <v>0</v>
      </c>
      <c r="W650" s="214">
        <f>+STG_GL!Y82</f>
        <v>0</v>
      </c>
      <c r="X650" s="214">
        <f>+STG_GL!Z82</f>
        <v>0</v>
      </c>
      <c r="Y650" s="214">
        <f>+STG_GL!AA82</f>
        <v>0</v>
      </c>
      <c r="Z650" s="214">
        <f>+STG_GL!AB82</f>
        <v>0</v>
      </c>
      <c r="AA650" s="214">
        <f>+STG_GL!AC82</f>
        <v>0</v>
      </c>
      <c r="AB650" s="214">
        <f>+STG_GL!AD82</f>
        <v>0</v>
      </c>
      <c r="AC650" s="214">
        <f>+STG_GL!AE82</f>
        <v>0</v>
      </c>
      <c r="AD650" s="205"/>
      <c r="AE650" s="205"/>
    </row>
    <row r="651" spans="4:31" s="204" customFormat="1" x14ac:dyDescent="0.25">
      <c r="D651" s="212" t="s">
        <v>160</v>
      </c>
      <c r="E651" s="213"/>
      <c r="F651" s="214">
        <f>+'ONT_GL '!H82</f>
        <v>0</v>
      </c>
      <c r="G651" s="215">
        <f>+'ONT_GL '!I82</f>
        <v>-2525773.5552000012</v>
      </c>
      <c r="H651" s="214">
        <f>+'ONT_GL '!J82</f>
        <v>0</v>
      </c>
      <c r="I651" s="215">
        <f>+'ONT_GL '!K82</f>
        <v>3677971.67</v>
      </c>
      <c r="J651" s="214">
        <f>+'ONT_GL '!L82</f>
        <v>0</v>
      </c>
      <c r="K651" s="215">
        <f>+'ONT_GL '!M82</f>
        <v>-11718.309999999998</v>
      </c>
      <c r="L651" s="214">
        <f>+'ONT_GL '!N82</f>
        <v>0</v>
      </c>
      <c r="M651" s="215">
        <f>+'ONT_GL '!O82</f>
        <v>-7.45</v>
      </c>
      <c r="N651" s="214">
        <f>+'ONT_GL '!P82</f>
        <v>0</v>
      </c>
      <c r="O651" s="215">
        <f>+'ONT_GL '!Q82</f>
        <v>39742.240000000056</v>
      </c>
      <c r="P651" s="214">
        <f>+'ONT_GL '!R82</f>
        <v>0</v>
      </c>
      <c r="Q651" s="215">
        <f>+'ONT_GL '!S82</f>
        <v>44.52</v>
      </c>
      <c r="R651" s="214">
        <f>+'ONT_GL '!T82</f>
        <v>0</v>
      </c>
      <c r="S651" s="214">
        <f>+'ONT_GL '!U82</f>
        <v>-178337.15999999968</v>
      </c>
      <c r="T651" s="214">
        <f>+'ONT_GL '!V82</f>
        <v>0</v>
      </c>
      <c r="U651" s="214">
        <f>+'ONT_GL '!W82</f>
        <v>83267.34</v>
      </c>
      <c r="V651" s="214">
        <f>+'ONT_GL '!X82</f>
        <v>-0.22999999998137355</v>
      </c>
      <c r="W651" s="214">
        <f>+'ONT_GL '!Y82</f>
        <v>2985192.0900000003</v>
      </c>
      <c r="X651" s="214">
        <f>+'ONT_GL '!Z82</f>
        <v>0.22999999998137355</v>
      </c>
      <c r="Y651" s="214">
        <f>+'ONT_GL '!AA82</f>
        <v>-2897250.2800000003</v>
      </c>
      <c r="Z651" s="214">
        <f>+'ONT_GL '!AB82</f>
        <v>0</v>
      </c>
      <c r="AA651" s="214">
        <f>+'ONT_GL '!AC82</f>
        <v>0</v>
      </c>
      <c r="AB651" s="214">
        <f>+'ONT_GL '!AD82</f>
        <v>0</v>
      </c>
      <c r="AC651" s="214">
        <f>+'ONT_GL '!AE82</f>
        <v>0</v>
      </c>
      <c r="AD651" s="205"/>
      <c r="AE651" s="205"/>
    </row>
    <row r="652" spans="4:31" s="204" customFormat="1" x14ac:dyDescent="0.25">
      <c r="D652" s="212" t="s">
        <v>193</v>
      </c>
      <c r="E652" s="213"/>
      <c r="F652" s="214">
        <f>+ARUBA_GL!H82</f>
        <v>0</v>
      </c>
      <c r="G652" s="215">
        <f>+ARUBA_GL!I82</f>
        <v>-463956.93800000893</v>
      </c>
      <c r="H652" s="214">
        <f>+ARUBA_GL!J82</f>
        <v>0</v>
      </c>
      <c r="I652" s="215">
        <f>+ARUBA_GL!K82</f>
        <v>5129482.0710000014</v>
      </c>
      <c r="J652" s="214">
        <f>+ARUBA_GL!L82</f>
        <v>0</v>
      </c>
      <c r="K652" s="215">
        <f>+ARUBA_GL!M82</f>
        <v>-2773623.02</v>
      </c>
      <c r="L652" s="214">
        <f>+ARUBA_GL!N82</f>
        <v>0</v>
      </c>
      <c r="M652" s="215">
        <f>+ARUBA_GL!O82</f>
        <v>-478918.78299999994</v>
      </c>
      <c r="N652" s="214">
        <f>+ARUBA_GL!P82</f>
        <v>0</v>
      </c>
      <c r="O652" s="214">
        <f>+ARUBA_GL!Q82</f>
        <v>0</v>
      </c>
      <c r="P652" s="214">
        <f>+ARUBA_GL!R82</f>
        <v>0</v>
      </c>
      <c r="Q652" s="214">
        <f>+ARUBA_GL!S82</f>
        <v>0</v>
      </c>
      <c r="R652" s="214">
        <f>+ARUBA_GL!T82</f>
        <v>0</v>
      </c>
      <c r="S652" s="214">
        <f>+ARUBA_GL!U82</f>
        <v>23131.702000000005</v>
      </c>
      <c r="T652" s="214">
        <f>+ARUBA_GL!V82</f>
        <v>0</v>
      </c>
      <c r="U652" s="214">
        <f>+ARUBA_GL!W82</f>
        <v>0</v>
      </c>
      <c r="V652" s="214">
        <f>+ARUBA_GL!X82</f>
        <v>0</v>
      </c>
      <c r="W652" s="214">
        <f>+ARUBA_GL!Y82</f>
        <v>0</v>
      </c>
      <c r="X652" s="214">
        <f>+ARUBA_GL!Z82</f>
        <v>0</v>
      </c>
      <c r="Y652" s="214">
        <f>+ARUBA_GL!AA82</f>
        <v>0</v>
      </c>
      <c r="Z652" s="214">
        <f>+ARUBA_GL!AB82</f>
        <v>0</v>
      </c>
      <c r="AA652" s="214">
        <f>+ARUBA_GL!AC82</f>
        <v>0</v>
      </c>
      <c r="AB652" s="214">
        <f>+ARUBA_GL!AD82</f>
        <v>0</v>
      </c>
      <c r="AC652" s="214">
        <f>+ARUBA_GL!AE82</f>
        <v>0</v>
      </c>
      <c r="AD652" s="205"/>
      <c r="AE652" s="205"/>
    </row>
    <row r="653" spans="4:31" s="204" customFormat="1" x14ac:dyDescent="0.25">
      <c r="D653" s="212" t="s">
        <v>197</v>
      </c>
      <c r="E653" s="213"/>
      <c r="F653" s="214">
        <f>+SITHE_GL!H82</f>
        <v>0</v>
      </c>
      <c r="G653" s="215">
        <f>+SITHE_GL!I82</f>
        <v>2541166.8919999963</v>
      </c>
      <c r="H653" s="214">
        <f>+SITHE_GL!J82</f>
        <v>0</v>
      </c>
      <c r="I653" s="215">
        <f>+SITHE_GL!K82</f>
        <v>1323588.3739999994</v>
      </c>
      <c r="J653" s="214">
        <f>+SITHE_GL!L82</f>
        <v>0</v>
      </c>
      <c r="K653" s="215">
        <f>+SITHE_GL!M82</f>
        <v>17711.423999999999</v>
      </c>
      <c r="L653" s="214">
        <f>+SITHE_GL!N82</f>
        <v>0</v>
      </c>
      <c r="M653" s="214">
        <f>+SITHE_GL!O82</f>
        <v>0</v>
      </c>
      <c r="N653" s="214">
        <f>+SITHE_GL!P82</f>
        <v>0</v>
      </c>
      <c r="O653" s="215">
        <f>+SITHE_GL!Q82</f>
        <v>-502.27199999999721</v>
      </c>
      <c r="P653" s="214">
        <f>+SITHE_GL!R82</f>
        <v>0</v>
      </c>
      <c r="Q653" s="215">
        <f>+SITHE_GL!S82</f>
        <v>271644.00199999998</v>
      </c>
      <c r="R653" s="214">
        <f>+SITHE_GL!T82</f>
        <v>0</v>
      </c>
      <c r="S653" s="214">
        <f>+SITHE_GL!U82</f>
        <v>1044785.3079999996</v>
      </c>
      <c r="T653" s="214">
        <f>+SITHE_GL!V82</f>
        <v>0</v>
      </c>
      <c r="U653" s="214">
        <f>+SITHE_GL!W82</f>
        <v>-198.2</v>
      </c>
      <c r="V653" s="214">
        <f>+SITHE_GL!X82</f>
        <v>0</v>
      </c>
      <c r="W653" s="214">
        <f>+SITHE_GL!Y82</f>
        <v>969.87</v>
      </c>
      <c r="X653" s="214">
        <f>+SITHE_GL!Z82</f>
        <v>0</v>
      </c>
      <c r="Y653" s="214">
        <f>+SITHE_GL!AA82</f>
        <v>127792.64</v>
      </c>
      <c r="Z653" s="214">
        <f>+SITHE_GL!AB82</f>
        <v>0</v>
      </c>
      <c r="AA653" s="214">
        <f>+SITHE_GL!AC82</f>
        <v>0</v>
      </c>
      <c r="AB653" s="214">
        <f>+SITHE_GL!AD82</f>
        <v>0</v>
      </c>
      <c r="AC653" s="214">
        <f>+SITHE_GL!AE82</f>
        <v>0</v>
      </c>
      <c r="AD653" s="205"/>
      <c r="AE653" s="205"/>
    </row>
    <row r="655" spans="4:31" x14ac:dyDescent="0.25">
      <c r="J655" s="207"/>
      <c r="K655" s="207"/>
    </row>
    <row r="656" spans="4:31" x14ac:dyDescent="0.25">
      <c r="J656" s="207"/>
      <c r="K656" s="207"/>
    </row>
    <row r="657" spans="10:11" x14ac:dyDescent="0.25">
      <c r="J657" s="207"/>
      <c r="K657" s="207"/>
    </row>
    <row r="658" spans="10:11" x14ac:dyDescent="0.25">
      <c r="J658" s="207"/>
      <c r="K658" s="207"/>
    </row>
    <row r="659" spans="10:11" x14ac:dyDescent="0.25">
      <c r="J659" s="207"/>
      <c r="K659" s="207"/>
    </row>
    <row r="660" spans="10:11" x14ac:dyDescent="0.25">
      <c r="J660" s="207"/>
      <c r="K660" s="207"/>
    </row>
    <row r="661" spans="10:11" x14ac:dyDescent="0.25">
      <c r="J661" s="207"/>
      <c r="K661" s="207"/>
    </row>
    <row r="662" spans="10:11" x14ac:dyDescent="0.25">
      <c r="J662" s="207"/>
      <c r="K662" s="207"/>
    </row>
    <row r="663" spans="10:11" x14ac:dyDescent="0.25">
      <c r="J663" s="207"/>
      <c r="K663" s="207"/>
    </row>
    <row r="664" spans="10:11" x14ac:dyDescent="0.25">
      <c r="J664" s="207"/>
      <c r="K664" s="207"/>
    </row>
    <row r="665" spans="10:11" x14ac:dyDescent="0.25">
      <c r="J665" s="207"/>
      <c r="K665" s="207"/>
    </row>
    <row r="666" spans="10:11" x14ac:dyDescent="0.25">
      <c r="J666" s="207"/>
      <c r="K666" s="207"/>
    </row>
    <row r="667" spans="10:11" x14ac:dyDescent="0.25">
      <c r="J667" s="207"/>
      <c r="K667" s="207"/>
    </row>
    <row r="668" spans="10:11" x14ac:dyDescent="0.25">
      <c r="J668" s="207"/>
      <c r="K668" s="207"/>
    </row>
    <row r="669" spans="10:11" x14ac:dyDescent="0.25">
      <c r="J669" s="207"/>
      <c r="K669" s="207"/>
    </row>
    <row r="670" spans="10:11" x14ac:dyDescent="0.25">
      <c r="J670" s="207"/>
      <c r="K670" s="207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2000-02-22T16:35:47Z</cp:lastPrinted>
  <dcterms:created xsi:type="dcterms:W3CDTF">1997-07-11T21:57:33Z</dcterms:created>
  <dcterms:modified xsi:type="dcterms:W3CDTF">2023-09-10T12:18:43Z</dcterms:modified>
</cp:coreProperties>
</file>