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L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N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R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R23" i="20"/>
  <c r="S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R51" i="20"/>
  <c r="S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R74" i="20"/>
  <c r="S74" i="20"/>
  <c r="T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R54" i="55"/>
  <c r="S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E55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E77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L12" i="21"/>
  <c r="N12" i="21"/>
  <c r="O12" i="21"/>
  <c r="P12" i="21"/>
  <c r="Q12" i="21"/>
  <c r="R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R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S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R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L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S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J74" i="31"/>
  <c r="K74" i="31"/>
  <c r="L74" i="31"/>
  <c r="N74" i="31"/>
  <c r="O74" i="31"/>
  <c r="P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G11" i="6"/>
  <c r="I11" i="6"/>
  <c r="AA11" i="6"/>
  <c r="AC11" i="6"/>
  <c r="AG11" i="6"/>
  <c r="D12" i="6"/>
  <c r="E12" i="6"/>
  <c r="O12" i="6"/>
  <c r="D13" i="6"/>
  <c r="E13" i="6"/>
  <c r="D14" i="6"/>
  <c r="E14" i="6"/>
  <c r="D15" i="6"/>
  <c r="E15" i="6"/>
  <c r="W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G19" i="6"/>
  <c r="I19" i="6"/>
  <c r="AC19" i="6"/>
  <c r="AG19" i="6"/>
  <c r="D20" i="6"/>
  <c r="E20" i="6"/>
  <c r="O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G35" i="6"/>
  <c r="O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G54" i="6"/>
  <c r="I54" i="6"/>
  <c r="O54" i="6"/>
  <c r="AG54" i="6"/>
  <c r="D55" i="6"/>
  <c r="E55" i="6"/>
  <c r="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O74" i="6"/>
  <c r="W74" i="6"/>
  <c r="Y74" i="6"/>
  <c r="AA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J81" i="54"/>
  <c r="K81" i="54"/>
  <c r="L81" i="54"/>
  <c r="M81" i="54"/>
  <c r="N81" i="54"/>
  <c r="P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I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M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I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I71" i="7"/>
  <c r="AA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G74" i="7"/>
  <c r="K74" i="7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Y86" i="7"/>
  <c r="AC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E98" i="7"/>
  <c r="E100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T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M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K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K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R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R35" i="28"/>
  <c r="S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S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8 mm is weather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M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359 is cilco</t>
        </r>
      </text>
    </comment>
    <comment ref="U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qualitech pma</t>
        </r>
      </text>
    </commen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 database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I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U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per j. valdes
</t>
        </r>
      </text>
    </comment>
    <comment ref="U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per j. valdes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K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p. love</t>
        </r>
      </text>
    </comment>
    <comment ref="M5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producer services</t>
        </r>
      </text>
    </commen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trans exp per p. love</t>
        </r>
      </text>
    </comment>
    <comment ref="O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entry per D.S.
</t>
        </r>
      </text>
    </comment>
    <comment ref="I86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Texas EOL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I4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Reclassed in March</t>
        </r>
      </text>
    </comment>
    <comment ref="M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Adjustment to remove value caputed for NGPL adj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<sst xmlns="http://schemas.openxmlformats.org/spreadsheetml/2006/main" count="6627" uniqueCount="226">
  <si>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</si>
  <si>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</si>
  <si>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</si>
  <si>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</si>
  <si>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</si>
  <si>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</si>
  <si>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</si>
  <si>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</si>
  <si>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</si>
  <si>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</si>
  <si>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</si>
  <si>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</si>
  <si>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</si>
  <si>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</si>
  <si>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</si>
  <si>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</si>
  <si>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</si>
  <si>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</si>
  <si>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</si>
  <si>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</si>
  <si>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</si>
  <si>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</si>
  <si>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</si>
  <si>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</si>
  <si>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</si>
  <si>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</si>
  <si>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</si>
  <si>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</si>
  <si>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</si>
  <si>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</si>
  <si>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</si>
  <si>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</si>
  <si>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</si>
  <si>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</si>
  <si>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</si>
  <si>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</si>
  <si>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</si>
  <si>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</si>
  <si>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</si>
  <si>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</si>
  <si>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</si>
  <si>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</si>
  <si>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</si>
  <si>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</si>
  <si>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</si>
  <si>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</si>
  <si>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</si>
  <si>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</si>
  <si>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</si>
  <si>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</si>
  <si>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</si>
  <si>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</si>
  <si>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</si>
  <si>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</si>
  <si>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</si>
  <si>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</si>
  <si>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</si>
  <si>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</si>
  <si>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</si>
  <si>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</si>
  <si>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</si>
  <si>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</si>
  <si>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</si>
  <si>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</si>
  <si>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</si>
  <si>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</si>
  <si>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</si>
  <si>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</si>
  <si>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</si>
  <si>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</si>
  <si>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</si>
  <si>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</si>
  <si>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</si>
  <si>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</si>
  <si>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</si>
  <si>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</si>
  <si>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</si>
  <si>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</si>
  <si>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</si>
  <si>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</si>
  <si>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</si>
  <si>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</si>
  <si>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</si>
  <si>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</si>
  <si>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</si>
  <si>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</si>
  <si>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</si>
  <si>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</si>
  <si>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</si>
  <si>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</si>
  <si>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</si>
  <si>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</si>
  <si>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</si>
  <si>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</si>
  <si>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</si>
  <si>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</si>
  <si>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</si>
  <si>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</si>
  <si>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</si>
  <si>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</si>
  <si>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</si>
  <si>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</si>
  <si>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</si>
  <si>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</si>
  <si>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</si>
  <si>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</si>
  <si>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</si>
  <si>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</si>
  <si>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</si>
  <si>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</si>
  <si>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</si>
  <si>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</si>
  <si>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</si>
  <si>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</si>
  <si>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</si>
  <si>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</si>
  <si>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</si>
  <si>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</si>
  <si>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</si>
  <si>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</si>
  <si>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</si>
  <si>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</si>
  <si>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</si>
  <si>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</si>
  <si>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</si>
  <si>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</si>
  <si>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</si>
  <si>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</si>
  <si>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</si>
  <si>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</si>
  <si>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</si>
  <si>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</si>
  <si>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</si>
  <si>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</si>
  <si>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</si>
  <si>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</si>
  <si>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</si>
  <si>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</si>
  <si>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</si>
  <si>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</si>
  <si>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</si>
  <si>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</si>
  <si>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</si>
  <si>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</si>
  <si>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</si>
  <si>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</si>
  <si>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</si>
  <si>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</si>
  <si>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</si>
  <si>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</si>
  <si>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</si>
  <si>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</si>
  <si>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</si>
  <si>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</si>
  <si>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</si>
  <si>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</si>
  <si>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</si>
  <si>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</si>
  <si>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</si>
  <si>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</si>
  <si>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</si>
  <si>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</si>
  <si>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</si>
  <si>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</si>
  <si>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</si>
  <si>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</si>
  <si>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</si>
  <si>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</si>
  <si>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</si>
  <si>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</si>
  <si>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</si>
  <si>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</si>
  <si>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</si>
  <si>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</si>
  <si>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</si>
  <si>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</si>
  <si>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</si>
  <si>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</si>
  <si>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</si>
  <si>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</si>
  <si>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</si>
  <si>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</si>
  <si>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</si>
  <si>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</si>
  <si>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</si>
  <si>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</si>
  <si>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</si>
  <si>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</si>
  <si>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</si>
  <si>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</si>
  <si>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</si>
  <si>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</si>
  <si>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</si>
  <si>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</si>
  <si>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</si>
  <si>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</si>
  <si>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</si>
  <si>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</si>
  <si>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</si>
  <si>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</si>
  <si>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</si>
  <si>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</si>
  <si>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</si>
  <si>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</si>
  <si>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</si>
  <si>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</si>
  <si>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</si>
  <si>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</si>
  <si>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</si>
  <si>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</si>
  <si>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</si>
  <si>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</si>
  <si>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</si>
  <si>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</si>
  <si>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</si>
  <si>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</si>
  <si>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March</t>
  </si>
  <si>
    <t>0003V</t>
  </si>
  <si>
    <t>0003A</t>
  </si>
  <si>
    <t>PRODUCTION MONTH: 0003</t>
  </si>
  <si>
    <t>April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</si>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</sst>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7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3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65" fontId="19" fillId="6" borderId="23" xfId="1" applyNumberFormat="1" applyFont="1" applyFill="1" applyBorder="1" applyAlignment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5" borderId="2" xfId="1" applyNumberFormat="1" applyFont="1" applyFill="1" applyBorder="1"/>
    <xf numFmtId="165" fontId="24" fillId="0" borderId="2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9">
          <cell r="G59">
            <v>-3009903.7099999953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7">
          <cell r="B7">
            <v>-307000</v>
          </cell>
          <cell r="C7">
            <v>-1999000</v>
          </cell>
          <cell r="D7">
            <v>0</v>
          </cell>
          <cell r="E7">
            <v>66000</v>
          </cell>
          <cell r="G7">
            <v>-268000</v>
          </cell>
          <cell r="H7">
            <v>636000</v>
          </cell>
          <cell r="I7">
            <v>0</v>
          </cell>
          <cell r="J7">
            <v>993000</v>
          </cell>
          <cell r="K7">
            <v>-167000</v>
          </cell>
          <cell r="L7">
            <v>3782000</v>
          </cell>
          <cell r="M7">
            <v>3815000</v>
          </cell>
          <cell r="N7">
            <v>-25000</v>
          </cell>
          <cell r="O7">
            <v>150000</v>
          </cell>
          <cell r="P7">
            <v>166000</v>
          </cell>
          <cell r="Q7">
            <v>-288000</v>
          </cell>
          <cell r="R7">
            <v>-275000</v>
          </cell>
          <cell r="S7">
            <v>-89000</v>
          </cell>
          <cell r="V7">
            <v>6190000</v>
          </cell>
        </row>
        <row r="24">
          <cell r="V24">
            <v>5198042</v>
          </cell>
        </row>
        <row r="41">
          <cell r="B41">
            <v>204635</v>
          </cell>
          <cell r="C41">
            <v>-1257479</v>
          </cell>
          <cell r="D41">
            <v>0</v>
          </cell>
          <cell r="E41">
            <v>66000</v>
          </cell>
          <cell r="G41">
            <v>1824971</v>
          </cell>
          <cell r="H41">
            <v>870888</v>
          </cell>
          <cell r="I41">
            <v>0</v>
          </cell>
          <cell r="J41">
            <v>993000</v>
          </cell>
          <cell r="K41">
            <v>-167000</v>
          </cell>
          <cell r="L41">
            <v>8860621</v>
          </cell>
          <cell r="M41">
            <v>3746591</v>
          </cell>
          <cell r="N41">
            <v>-290196</v>
          </cell>
          <cell r="O41">
            <v>-2641264</v>
          </cell>
          <cell r="P41">
            <v>166000</v>
          </cell>
          <cell r="Q41">
            <v>-683492</v>
          </cell>
          <cell r="R41">
            <v>-275000</v>
          </cell>
          <cell r="S41">
            <v>-30233</v>
          </cell>
          <cell r="V41">
            <v>11388042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9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G41" sqref="G4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499181715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1325809108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503855490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1321724019.3100002</v>
      </c>
      <c r="H11" s="60">
        <f>F11-D11</f>
        <v>4673775</v>
      </c>
      <c r="I11" s="38">
        <f>G11-E11</f>
        <v>-4085088.6899998188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-24967723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17910367.440000001</v>
      </c>
      <c r="H12" s="60">
        <f>F12-D12</f>
        <v>0</v>
      </c>
      <c r="I12" s="38">
        <f>G12-E12</f>
        <v>42878090.439999998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244349803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684813976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258293105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698381020</v>
      </c>
      <c r="H13" s="60">
        <f t="shared" ref="H13:I15" si="0">F13-D13</f>
        <v>13943302</v>
      </c>
      <c r="I13" s="38">
        <f t="shared" si="0"/>
        <v>13567044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10354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-10354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13515715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33315435.32</v>
      </c>
      <c r="H15" s="60">
        <f t="shared" si="0"/>
        <v>0</v>
      </c>
      <c r="I15" s="38">
        <f t="shared" si="0"/>
        <v>19799720.32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743531518</v>
      </c>
      <c r="E16" s="39">
        <f t="shared" si="1"/>
        <v>1999181430</v>
      </c>
      <c r="F16" s="61">
        <f t="shared" si="1"/>
        <v>762148595</v>
      </c>
      <c r="G16" s="39">
        <f t="shared" si="1"/>
        <v>2071330842.0700002</v>
      </c>
      <c r="H16" s="61">
        <f t="shared" si="1"/>
        <v>18617077</v>
      </c>
      <c r="I16" s="39">
        <f t="shared" si="1"/>
        <v>72149412.070000172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-505462232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-1329240790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-515335198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-1358594719.9599998</v>
      </c>
      <c r="H19" s="60">
        <f>F19-D19</f>
        <v>-9872966</v>
      </c>
      <c r="I19" s="38">
        <f>G19-E19</f>
        <v>-29353929.9599998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-9346053.0199999996</v>
      </c>
      <c r="H20" s="60">
        <f>F20-D20</f>
        <v>0</v>
      </c>
      <c r="I20" s="38">
        <f>G20-E20</f>
        <v>-9346053.0199999996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-246177313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-689876800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-258293105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-723866739</v>
      </c>
      <c r="H21" s="60">
        <f t="shared" ref="H21:I23" si="2">F21-D21</f>
        <v>-12115792</v>
      </c>
      <c r="I21" s="38">
        <f t="shared" si="2"/>
        <v>-33989939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2030065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5588673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2135007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5529540.8340000017</v>
      </c>
      <c r="H23" s="60">
        <f t="shared" si="2"/>
        <v>104942</v>
      </c>
      <c r="I23" s="38">
        <f t="shared" si="2"/>
        <v>-59132.165999998339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-749609480</v>
      </c>
      <c r="E24" s="39">
        <f t="shared" si="3"/>
        <v>-2013528917</v>
      </c>
      <c r="F24" s="61">
        <f t="shared" si="3"/>
        <v>-771493296</v>
      </c>
      <c r="G24" s="39">
        <f t="shared" si="3"/>
        <v>-2086277971.1459997</v>
      </c>
      <c r="H24" s="61">
        <f t="shared" si="3"/>
        <v>-21883816</v>
      </c>
      <c r="I24" s="39">
        <f t="shared" si="3"/>
        <v>-72749054.145999789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111548603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305574800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32250276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90066087.189999998</v>
      </c>
      <c r="H27" s="60">
        <f>F27-D27</f>
        <v>-79298327</v>
      </c>
      <c r="I27" s="38">
        <f>G27-E27</f>
        <v>-215508712.81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-109711946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-300671408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-32259652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-90089164.610000014</v>
      </c>
      <c r="H28" s="60">
        <f>F28-D28</f>
        <v>77452294</v>
      </c>
      <c r="I28" s="38">
        <f>G28-E28</f>
        <v>210582243.38999999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1836657</v>
      </c>
      <c r="E29" s="70">
        <f t="shared" si="4"/>
        <v>4903392</v>
      </c>
      <c r="F29" s="69">
        <f t="shared" si="4"/>
        <v>-9376</v>
      </c>
      <c r="G29" s="70">
        <f t="shared" si="4"/>
        <v>-23077.420000016689</v>
      </c>
      <c r="H29" s="69">
        <f t="shared" si="4"/>
        <v>-1846033</v>
      </c>
      <c r="I29" s="70">
        <f t="shared" si="4"/>
        <v>-4926469.4200000167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173084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518044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1723376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4108160.7759999991</v>
      </c>
      <c r="H32" s="60">
        <f>F32-D32</f>
        <v>1550292</v>
      </c>
      <c r="I32" s="38">
        <f>G32-E32</f>
        <v>3590116.7759999991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579330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1546257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-1017295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-2158110.42</v>
      </c>
      <c r="H33" s="60">
        <f t="shared" ref="H33:I35" si="5">F33-D33</f>
        <v>-1596625</v>
      </c>
      <c r="I33" s="38">
        <f t="shared" si="5"/>
        <v>-3704367.42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-721131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-1967200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573026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959792.04</v>
      </c>
      <c r="H34" s="60">
        <f t="shared" si="5"/>
        <v>1294157</v>
      </c>
      <c r="I34" s="38">
        <f t="shared" si="5"/>
        <v>2926992.04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1952346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4438132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2054460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5599226.8599999994</v>
      </c>
      <c r="H35" s="60">
        <f t="shared" si="5"/>
        <v>102114</v>
      </c>
      <c r="I35" s="38">
        <f t="shared" si="5"/>
        <v>1161094.8599999994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1983629</v>
      </c>
      <c r="E36" s="39">
        <f t="shared" si="6"/>
        <v>4535233</v>
      </c>
      <c r="F36" s="61">
        <f t="shared" si="6"/>
        <v>3333567</v>
      </c>
      <c r="G36" s="39">
        <f t="shared" si="6"/>
        <v>8509069.2559999991</v>
      </c>
      <c r="H36" s="61">
        <f t="shared" si="6"/>
        <v>1349938</v>
      </c>
      <c r="I36" s="39">
        <f t="shared" si="6"/>
        <v>3973836.2559999987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11441822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30346311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10158945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26722761.579999998</v>
      </c>
      <c r="H39" s="60">
        <f t="shared" ref="H39:I41" si="7">F39-D39</f>
        <v>-1282877</v>
      </c>
      <c r="I39" s="38">
        <f t="shared" si="7"/>
        <v>-3623549.4200000018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-9088379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-19651386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-4181066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-8861021.0800000019</v>
      </c>
      <c r="H40" s="60">
        <f t="shared" si="7"/>
        <v>4907313</v>
      </c>
      <c r="I40" s="38">
        <f t="shared" si="7"/>
        <v>10790364.919999998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-9088379</v>
      </c>
      <c r="E42" s="70">
        <f t="shared" si="8"/>
        <v>-19651386</v>
      </c>
      <c r="F42" s="69">
        <f t="shared" si="8"/>
        <v>-4181066</v>
      </c>
      <c r="G42" s="70">
        <f t="shared" si="8"/>
        <v>-8861021.0800000019</v>
      </c>
      <c r="H42" s="69">
        <f t="shared" si="8"/>
        <v>4907313</v>
      </c>
      <c r="I42" s="70">
        <f t="shared" si="8"/>
        <v>10790364.919999998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2353443</v>
      </c>
      <c r="E43" s="39">
        <f t="shared" si="9"/>
        <v>10694925</v>
      </c>
      <c r="F43" s="61">
        <f t="shared" si="9"/>
        <v>5977879</v>
      </c>
      <c r="G43" s="39">
        <f t="shared" si="9"/>
        <v>17861740.499999996</v>
      </c>
      <c r="H43" s="61">
        <f t="shared" si="9"/>
        <v>3624436</v>
      </c>
      <c r="I43" s="39">
        <f t="shared" si="9"/>
        <v>7166815.4999999963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-0.40000000000145519</v>
      </c>
      <c r="H47" s="60">
        <f>F47-D47</f>
        <v>0</v>
      </c>
      <c r="I47" s="38">
        <f>G47-E47</f>
        <v>-0.40000000000145519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-72799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-186938.57649140671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312631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346094.26949999901</v>
      </c>
      <c r="H49" s="60">
        <f>F49-D49</f>
        <v>385430</v>
      </c>
      <c r="I49" s="38">
        <f>G49-E49</f>
        <v>533032.84599140566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-2010772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-5536187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-2135007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-5579425.1640000017</v>
      </c>
      <c r="H51" s="60">
        <f>F51-D51</f>
        <v>-124235</v>
      </c>
      <c r="I51" s="38">
        <f>G51-E51</f>
        <v>-43238.164000001736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-6700800.9500000002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-331803274.79000002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-5756269.5599999996</v>
      </c>
      <c r="H54" s="60">
        <f>F54-D54</f>
        <v>-331803274.79000002</v>
      </c>
      <c r="I54" s="38">
        <f>G54-E54</f>
        <v>944531.3900000006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-18660042.249999996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-662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-27123530.569999993</v>
      </c>
      <c r="H55" s="60">
        <f>F55-D55</f>
        <v>-662</v>
      </c>
      <c r="I55" s="38">
        <f>G55-E55</f>
        <v>-8463488.3199999966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-25360843.199999996</v>
      </c>
      <c r="F56" s="61">
        <f t="shared" si="10"/>
        <v>-331803936.79000002</v>
      </c>
      <c r="G56" s="39">
        <f t="shared" si="10"/>
        <v>-32879800.129999992</v>
      </c>
      <c r="H56" s="61">
        <f t="shared" si="10"/>
        <v>-331803936.79000002</v>
      </c>
      <c r="I56" s="39">
        <f t="shared" si="10"/>
        <v>-7518956.929999996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65509.369999999995</v>
      </c>
      <c r="H59" s="60">
        <f>F59-D59</f>
        <v>0</v>
      </c>
      <c r="I59" s="38">
        <f>G59-E59</f>
        <v>65509.369999999995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450000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496833</v>
      </c>
      <c r="H60" s="60">
        <f>F60-D60</f>
        <v>0</v>
      </c>
      <c r="I60" s="38">
        <f>G60-E60</f>
        <v>46833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562342.37</v>
      </c>
      <c r="H61" s="69">
        <f t="shared" si="11"/>
        <v>0</v>
      </c>
      <c r="I61" s="70">
        <f t="shared" si="11"/>
        <v>112342.37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49452.31</v>
      </c>
      <c r="H64" s="60">
        <f>F64-D64</f>
        <v>0</v>
      </c>
      <c r="I64" s="38">
        <f>G64-E64</f>
        <v>49452.31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49452.31</v>
      </c>
      <c r="H66" s="61">
        <f t="shared" si="12"/>
        <v>0</v>
      </c>
      <c r="I66" s="39">
        <f t="shared" si="12"/>
        <v>49452.31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98539211.686099097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116078060.64999999</v>
      </c>
      <c r="H70" s="60">
        <f>F70-D70</f>
        <v>0</v>
      </c>
      <c r="I70" s="38">
        <f>G70-E70</f>
        <v>17538848.963900894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-82381005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-100320511.95999998</v>
      </c>
      <c r="H71" s="60">
        <f>F71-D71</f>
        <v>0</v>
      </c>
      <c r="I71" s="38">
        <f>G71-E71</f>
        <v>-17939506.959999979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16158206.686099097</v>
      </c>
      <c r="F72" s="69">
        <f t="shared" si="13"/>
        <v>0</v>
      </c>
      <c r="G72" s="70">
        <f t="shared" si="13"/>
        <v>15757548.690000013</v>
      </c>
      <c r="H72" s="69">
        <f t="shared" si="13"/>
        <v>0</v>
      </c>
      <c r="I72" s="70">
        <f t="shared" si="13"/>
        <v>-400657.99609908462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-328270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-909291</v>
      </c>
      <c r="H73" s="60">
        <f>F73-D73</f>
        <v>0</v>
      </c>
      <c r="I73" s="38">
        <f>G73-E73</f>
        <v>-581021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19504834.9518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18308125.670000002</v>
      </c>
      <c r="H74" s="60">
        <f t="shared" ref="H74:I79" si="14">F74-D74</f>
        <v>0</v>
      </c>
      <c r="I74" s="38">
        <f t="shared" si="14"/>
        <v>-1196709.2817999981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-864878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44400</v>
      </c>
      <c r="H75" s="60">
        <f t="shared" si="14"/>
        <v>0</v>
      </c>
      <c r="I75" s="38">
        <f t="shared" si="14"/>
        <v>909278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-36899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-19754.009999999995</v>
      </c>
      <c r="H76" s="60">
        <f t="shared" si="14"/>
        <v>0</v>
      </c>
      <c r="I76" s="38">
        <f t="shared" si="14"/>
        <v>17144.990000000005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-460726.5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-579883</v>
      </c>
      <c r="H77" s="60">
        <f t="shared" si="14"/>
        <v>0</v>
      </c>
      <c r="I77" s="38">
        <f t="shared" si="14"/>
        <v>-119156.5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0</v>
      </c>
      <c r="H78" s="60">
        <f t="shared" si="14"/>
        <v>0</v>
      </c>
      <c r="I78" s="38">
        <f t="shared" si="14"/>
        <v>-842941.755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-103047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13052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-114082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-202500</v>
      </c>
      <c r="H80" s="60">
        <f>F80-D80</f>
        <v>0</v>
      </c>
      <c r="I80" s="38">
        <f>G80-E80</f>
        <v>-88418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-3304394.11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2380154.9</v>
      </c>
      <c r="H81" s="60">
        <f>F81-D81</f>
        <v>0</v>
      </c>
      <c r="I81" s="38">
        <f>G81-E81</f>
        <v>5684549.0099999998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22968</v>
      </c>
      <c r="E82" s="92">
        <f>SUM(E72:E81)+E16+E24+E29+E36+E43+E45+E47+E49+E51+E56+E61+E66</f>
        <v>6445781.0064077377</v>
      </c>
      <c r="F82" s="91">
        <f>F16+F24+F29+F36+F43+F45+F47+F49</f>
        <v>270000</v>
      </c>
      <c r="G82" s="92">
        <f>SUM(G72:G81)+G16+G24+G29+G36+G43+G45+G47+G49+G51+G56+G61+G66</f>
        <v>8588072.7655004896</v>
      </c>
      <c r="H82" s="91">
        <f>H16+H24+H29+H36+H43+H45+H47+H49</f>
        <v>247032</v>
      </c>
      <c r="I82" s="92">
        <f>SUM(I72:I81)+I16+I24+I29+I36+I43+I45+I47+I49+I51+I56+I61+I66</f>
        <v>2142291.759092689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-209230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1282834.73</v>
      </c>
      <c r="H86" s="145">
        <f t="shared" ref="H86:I88" si="15">F86-D86</f>
        <v>0</v>
      </c>
      <c r="I86" s="145">
        <f t="shared" si="15"/>
        <v>1492064.73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-37835</v>
      </c>
      <c r="H87" s="146">
        <f t="shared" si="15"/>
        <v>0</v>
      </c>
      <c r="I87" s="146">
        <f t="shared" si="15"/>
        <v>-37835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-1455000</v>
      </c>
      <c r="H88" s="147">
        <f t="shared" si="15"/>
        <v>0</v>
      </c>
      <c r="I88" s="147">
        <f t="shared" si="15"/>
        <v>-1455000</v>
      </c>
    </row>
    <row r="89" spans="1:9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-209230</v>
      </c>
      <c r="F89" s="160">
        <f t="shared" si="16"/>
        <v>0</v>
      </c>
      <c r="G89" s="160">
        <f t="shared" si="16"/>
        <v>-210000.27000000002</v>
      </c>
      <c r="H89" s="160">
        <f t="shared" si="16"/>
        <v>0</v>
      </c>
      <c r="I89" s="160">
        <f t="shared" si="16"/>
        <v>-770.27000000001863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6236551.0064077377</v>
      </c>
      <c r="F91" s="160">
        <f t="shared" si="17"/>
        <v>270000</v>
      </c>
      <c r="G91" s="160">
        <f t="shared" si="17"/>
        <v>8378072.4955004901</v>
      </c>
      <c r="H91" s="160">
        <f t="shared" si="17"/>
        <v>247032</v>
      </c>
      <c r="I91" s="160">
        <f t="shared" si="17"/>
        <v>2141521.489092689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8"/>
  <sheetViews>
    <sheetView tabSelected="1" topLeftCell="A3" zoomScale="75" workbookViewId="0">
      <pane xSplit="1" ySplit="8" topLeftCell="D11" activePane="bottomRight" state="frozen"/>
      <selection activeCell="R86" sqref="R86"/>
      <selection pane="topRight" activeCell="R86" sqref="R86"/>
      <selection pane="bottomLeft" activeCell="R86" sqref="R86"/>
      <selection pane="bottomRight" activeCell="F25" sqref="F25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  <col min="20" max="41" width="0" hidden="1" customWidth="1"/>
  </cols>
  <sheetData>
    <row r="1" spans="1:18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8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8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8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8" s="33" customFormat="1" x14ac:dyDescent="0.25">
      <c r="A5" s="5" t="s">
        <v>219</v>
      </c>
      <c r="B5" s="50"/>
      <c r="C5" s="50"/>
      <c r="D5" s="50"/>
      <c r="E5" s="50"/>
      <c r="F5" s="50"/>
      <c r="G5" s="50"/>
      <c r="H5" s="50"/>
    </row>
    <row r="8" spans="1:18" x14ac:dyDescent="0.25">
      <c r="R8" t="s">
        <v>224</v>
      </c>
    </row>
    <row r="9" spans="1:18" ht="13.8" thickBot="1" x14ac:dyDescent="0.3"/>
    <row r="10" spans="1:18" s="87" customFormat="1" ht="36.6" thickBot="1" x14ac:dyDescent="0.4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8" x14ac:dyDescent="0.25">
      <c r="A11" s="101" t="s">
        <v>13</v>
      </c>
      <c r="B11" s="124">
        <f>'CE-FLSH'!$M$82</f>
        <v>-262837.91920000082</v>
      </c>
      <c r="C11" s="65">
        <f t="shared" ref="C11:C27" si="0">+D11-B11</f>
        <v>-44162.080799999181</v>
      </c>
      <c r="D11" s="124">
        <f>+'[2]ST Warroom 99'!$B$7</f>
        <v>-307000</v>
      </c>
      <c r="E11" s="124">
        <f>+F11-D11</f>
        <v>511635</v>
      </c>
      <c r="F11" s="124">
        <f>+'[2]ST Warroom 99'!$B$41</f>
        <v>204635</v>
      </c>
      <c r="G11" s="231">
        <f>CE_GL!$E$82</f>
        <v>-618538.90900001372</v>
      </c>
      <c r="H11" s="107">
        <f t="shared" ref="H11:H28" si="1">G11-F11</f>
        <v>-823173.90900001372</v>
      </c>
      <c r="I11" s="31"/>
      <c r="J11" s="31"/>
    </row>
    <row r="12" spans="1:18" x14ac:dyDescent="0.25">
      <c r="A12" s="101" t="s">
        <v>195</v>
      </c>
      <c r="B12" s="124">
        <f>'SITHE-FLSH'!$M$82</f>
        <v>-25225.545106960606</v>
      </c>
      <c r="C12" s="65">
        <f>+D12-B12</f>
        <v>225.54510696060606</v>
      </c>
      <c r="D12" s="124">
        <f>+'[2]ST Warroom 99'!$N$7</f>
        <v>-25000</v>
      </c>
      <c r="E12" s="124">
        <f>+F12-D12</f>
        <v>-265196</v>
      </c>
      <c r="F12" s="124">
        <f>+'[2]ST Warroom 99'!$N$41</f>
        <v>-290196</v>
      </c>
      <c r="G12" s="168">
        <f>SITHE_GL!$E$82</f>
        <v>-374076.66500000271</v>
      </c>
      <c r="H12" s="107">
        <f>G12-F12</f>
        <v>-83880.665000002715</v>
      </c>
      <c r="I12" s="31"/>
      <c r="J12" s="31"/>
    </row>
    <row r="13" spans="1:18" x14ac:dyDescent="0.25">
      <c r="A13" s="101" t="s">
        <v>189</v>
      </c>
      <c r="B13" s="124">
        <f>'ARUBA-FLSH'!$M$82</f>
        <v>-288087.42499999981</v>
      </c>
      <c r="C13" s="65">
        <f>+D13-B13</f>
        <v>87.424999999813735</v>
      </c>
      <c r="D13" s="124">
        <f>+'[2]ST Warroom 99'!$Q$7</f>
        <v>-288000</v>
      </c>
      <c r="E13" s="124">
        <f>+F13-D13</f>
        <v>-395492</v>
      </c>
      <c r="F13" s="124">
        <f>+'[2]ST Warroom 99'!$Q$41</f>
        <v>-683492</v>
      </c>
      <c r="G13" s="168">
        <f>ARUBA_GL!$E$82</f>
        <v>-685084.36750001647</v>
      </c>
      <c r="H13" s="107">
        <f>G13-F13</f>
        <v>-1592.3675000164658</v>
      </c>
      <c r="I13" s="31"/>
      <c r="J13" s="31"/>
    </row>
    <row r="14" spans="1:18" x14ac:dyDescent="0.25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8" x14ac:dyDescent="0.25">
      <c r="A15" s="101" t="s">
        <v>156</v>
      </c>
      <c r="B15" s="123">
        <f>'BGC-EGM-FLSH'!$M$82+'EAST-EGM-FLSH'!M82</f>
        <v>-1996625.3689000462</v>
      </c>
      <c r="C15" s="65">
        <f t="shared" si="0"/>
        <v>-2374.6310999537818</v>
      </c>
      <c r="D15" s="123">
        <f>+'[2]ST Warroom 99'!$C$7</f>
        <v>-1999000</v>
      </c>
      <c r="E15" s="124">
        <f t="shared" si="2"/>
        <v>741521</v>
      </c>
      <c r="F15" s="123">
        <f>+'[2]ST Warroom 99'!$C$41</f>
        <v>-1257479</v>
      </c>
      <c r="G15" s="168">
        <f>'BGC-EGM-GL'!$E$82+'EAST-EGM-GL'!E82</f>
        <v>176235.80499979563</v>
      </c>
      <c r="H15" s="107">
        <f t="shared" si="1"/>
        <v>1433714.8049997957</v>
      </c>
      <c r="I15" s="31"/>
      <c r="J15" s="31"/>
    </row>
    <row r="16" spans="1:18" x14ac:dyDescent="0.25">
      <c r="A16" s="101" t="s">
        <v>157</v>
      </c>
      <c r="B16" s="123">
        <f>'EAST-LRC-FLSH'!$M$82</f>
        <v>0</v>
      </c>
      <c r="C16" s="65">
        <f t="shared" si="0"/>
        <v>0</v>
      </c>
      <c r="D16" s="123">
        <f>+'[2]ST Warroom 99'!$D$7</f>
        <v>0</v>
      </c>
      <c r="E16" s="124">
        <f t="shared" si="2"/>
        <v>0</v>
      </c>
      <c r="F16" s="123">
        <f>+'[2]ST Warroom 99'!$D$41</f>
        <v>0</v>
      </c>
      <c r="G16" s="168">
        <f>'EAST-LRC-GL'!$E$82</f>
        <v>-232553.55000000005</v>
      </c>
      <c r="H16" s="107">
        <f t="shared" si="1"/>
        <v>-232553.55000000005</v>
      </c>
      <c r="I16" s="31"/>
      <c r="J16" s="31"/>
    </row>
    <row r="17" spans="1:10" x14ac:dyDescent="0.25">
      <c r="A17" s="101" t="s">
        <v>164</v>
      </c>
      <c r="B17" s="123">
        <f>+'EAST-EGM-FLSH'!M89</f>
        <v>65612</v>
      </c>
      <c r="C17" s="65">
        <f t="shared" si="0"/>
        <v>388</v>
      </c>
      <c r="D17" s="123">
        <f>+'[2]ST Warroom 99'!$E$7</f>
        <v>66000</v>
      </c>
      <c r="E17" s="124">
        <f t="shared" si="2"/>
        <v>0</v>
      </c>
      <c r="F17" s="123">
        <f>+'[2]ST Warroom 99'!$E$41</f>
        <v>66000</v>
      </c>
      <c r="G17" s="168">
        <f>+'EAST-EGM-GL'!E89</f>
        <v>65999.69</v>
      </c>
      <c r="H17" s="107">
        <f t="shared" si="1"/>
        <v>-0.30999999999767169</v>
      </c>
      <c r="I17" s="31"/>
      <c r="J17" s="31"/>
    </row>
    <row r="18" spans="1:10" x14ac:dyDescent="0.25">
      <c r="A18" s="101" t="s">
        <v>16</v>
      </c>
      <c r="B18" s="123">
        <f>'TX-EGM-FLSH'!$M$82</f>
        <v>635861.39739185944</v>
      </c>
      <c r="C18" s="65">
        <f t="shared" si="0"/>
        <v>138.602608140558</v>
      </c>
      <c r="D18" s="123">
        <f>+'[2]ST Warroom 99'!$H$7</f>
        <v>636000</v>
      </c>
      <c r="E18" s="124">
        <f t="shared" si="2"/>
        <v>234888</v>
      </c>
      <c r="F18" s="123">
        <f>+'[2]ST Warroom 99'!$H$41</f>
        <v>870888</v>
      </c>
      <c r="G18" s="168">
        <f>'TX-EGM-GL'!$E$91</f>
        <v>-1385824.0300000119</v>
      </c>
      <c r="H18" s="107">
        <f t="shared" si="1"/>
        <v>-2256712.0300000119</v>
      </c>
      <c r="I18" s="31"/>
      <c r="J18" s="31"/>
    </row>
    <row r="19" spans="1:10" x14ac:dyDescent="0.25">
      <c r="A19" s="101" t="s">
        <v>182</v>
      </c>
      <c r="B19" s="123">
        <f>'TX-HPLR-FLSH'!$M$82</f>
        <v>-71.340000001364388</v>
      </c>
      <c r="C19" s="65">
        <f t="shared" si="0"/>
        <v>71.340000001364388</v>
      </c>
      <c r="D19" s="123">
        <f>+'[2]ST Warroom 99'!$I$7</f>
        <v>0</v>
      </c>
      <c r="E19" s="124">
        <f t="shared" si="2"/>
        <v>0</v>
      </c>
      <c r="F19" s="123">
        <f>+'[2]ST Warroom 99'!$I$41</f>
        <v>0</v>
      </c>
      <c r="G19" s="168">
        <f>'TX-HPLR-GL '!$E$82</f>
        <v>674.63999999991938</v>
      </c>
      <c r="H19" s="107">
        <f t="shared" si="1"/>
        <v>674.63999999991938</v>
      </c>
      <c r="I19" s="31"/>
      <c r="J19" s="31"/>
    </row>
    <row r="20" spans="1:10" x14ac:dyDescent="0.25">
      <c r="A20" s="101" t="s">
        <v>183</v>
      </c>
      <c r="B20" s="123">
        <f>'TX-HPLC-FLSH'!$M$82</f>
        <v>993180.98577122018</v>
      </c>
      <c r="C20" s="65">
        <f t="shared" si="0"/>
        <v>-180.98577122017741</v>
      </c>
      <c r="D20" s="123">
        <f>+'[2]ST Warroom 99'!$J$7</f>
        <v>993000</v>
      </c>
      <c r="E20" s="124">
        <f t="shared" si="2"/>
        <v>0</v>
      </c>
      <c r="F20" s="123">
        <f>+'[2]ST Warroom 99'!$J$41</f>
        <v>993000</v>
      </c>
      <c r="G20" s="168">
        <f>'TX-HPLC-GL'!$E$82</f>
        <v>2765197.7700000028</v>
      </c>
      <c r="H20" s="107">
        <f t="shared" si="1"/>
        <v>1772197.7700000028</v>
      </c>
      <c r="I20" s="31"/>
      <c r="J20" s="31"/>
    </row>
    <row r="21" spans="1:10" x14ac:dyDescent="0.25">
      <c r="A21" s="101" t="s">
        <v>176</v>
      </c>
      <c r="B21" s="123">
        <f>'TX-EGM-FLSH'!$M$89</f>
        <v>-166392</v>
      </c>
      <c r="C21" s="65">
        <f t="shared" si="0"/>
        <v>-608</v>
      </c>
      <c r="D21" s="60">
        <f>+'[2]ST Warroom 99'!$K$7</f>
        <v>-167000</v>
      </c>
      <c r="E21" s="124">
        <f t="shared" si="2"/>
        <v>0</v>
      </c>
      <c r="F21" s="60">
        <f>+'[2]ST Warroom 99'!$K$41</f>
        <v>-167000</v>
      </c>
      <c r="G21" s="168">
        <f>'TX-HPLC-GL'!$E$89</f>
        <v>-166999.69999999995</v>
      </c>
      <c r="H21" s="107">
        <f t="shared" si="1"/>
        <v>0.30000000004656613</v>
      </c>
      <c r="I21" s="31"/>
      <c r="J21" s="31"/>
    </row>
    <row r="22" spans="1:10" x14ac:dyDescent="0.25">
      <c r="A22" s="101" t="s">
        <v>17</v>
      </c>
      <c r="B22" s="123">
        <f>'WE-FLSH'!$M$82</f>
        <v>3781657.8965133359</v>
      </c>
      <c r="C22" s="65">
        <f t="shared" si="0"/>
        <v>342.10348666412756</v>
      </c>
      <c r="D22" s="123">
        <f>+'[2]ST Warroom 99'!$L$7</f>
        <v>3782000</v>
      </c>
      <c r="E22" s="124">
        <f t="shared" si="2"/>
        <v>5078621</v>
      </c>
      <c r="F22" s="123">
        <f>+'[2]ST Warroom 99'!$L$41</f>
        <v>8860621</v>
      </c>
      <c r="G22" s="168">
        <f>'WE-GL '!$E$82</f>
        <v>7549883.7180000199</v>
      </c>
      <c r="H22" s="107">
        <f t="shared" si="1"/>
        <v>-1310737.2819999801</v>
      </c>
      <c r="I22" s="31"/>
      <c r="J22" s="31"/>
    </row>
    <row r="23" spans="1:10" x14ac:dyDescent="0.25">
      <c r="A23" s="101" t="s">
        <v>199</v>
      </c>
      <c r="B23" s="123">
        <f>'DEN-FLSH'!$M$82</f>
        <v>-89147.870060864603</v>
      </c>
      <c r="C23" s="65">
        <f>+D23-B23</f>
        <v>147.87006086460315</v>
      </c>
      <c r="D23" s="123">
        <f>+'[2]ST Warroom 99'!$S$7</f>
        <v>-89000</v>
      </c>
      <c r="E23" s="124">
        <f>+F23-D23</f>
        <v>58767</v>
      </c>
      <c r="F23" s="123">
        <f>+'[2]ST Warroom 99'!$S$41</f>
        <v>-30233</v>
      </c>
      <c r="G23" s="168">
        <f>'DEN-GL'!$E$82</f>
        <v>4676.1700000017881</v>
      </c>
      <c r="H23" s="107">
        <f>G23-F23</f>
        <v>34909.170000001788</v>
      </c>
      <c r="I23" s="31"/>
      <c r="J23" s="31"/>
    </row>
    <row r="24" spans="1:10" x14ac:dyDescent="0.25">
      <c r="A24" s="101" t="s">
        <v>211</v>
      </c>
      <c r="B24" s="123">
        <f>'DEN-FLSH'!$M$89</f>
        <v>-274501</v>
      </c>
      <c r="C24" s="65">
        <f>+D24-B24</f>
        <v>-499</v>
      </c>
      <c r="D24" s="123">
        <f>+'[2]ST Warroom 99'!$R$7</f>
        <v>-275000</v>
      </c>
      <c r="E24" s="124">
        <f>+F24-D24</f>
        <v>0</v>
      </c>
      <c r="F24" s="123">
        <f>+'[2]ST Warroom 99'!$R$41</f>
        <v>-275000</v>
      </c>
      <c r="G24" s="168">
        <f>'DEN-GL'!$E$89</f>
        <v>-274999.77</v>
      </c>
      <c r="H24" s="107">
        <f>G24-F24</f>
        <v>0.22999999998137355</v>
      </c>
      <c r="I24" s="31"/>
      <c r="J24" s="31"/>
    </row>
    <row r="25" spans="1:10" x14ac:dyDescent="0.25">
      <c r="A25" s="101" t="s">
        <v>18</v>
      </c>
      <c r="B25" s="123">
        <f>STG_FLSH!$M$82</f>
        <v>3814751</v>
      </c>
      <c r="C25" s="65">
        <f t="shared" si="0"/>
        <v>249</v>
      </c>
      <c r="D25" s="123">
        <f>+'[2]ST Warroom 99'!$M$7</f>
        <v>3815000</v>
      </c>
      <c r="E25" s="124">
        <f t="shared" si="2"/>
        <v>-68409</v>
      </c>
      <c r="F25" s="123">
        <f>+'[2]ST Warroom 99'!$M$41</f>
        <v>3746591</v>
      </c>
      <c r="G25" s="168">
        <f>STG_GL!$E$82</f>
        <v>2969162.4300000034</v>
      </c>
      <c r="H25" s="107">
        <f t="shared" si="1"/>
        <v>-777428.56999999657</v>
      </c>
      <c r="I25" s="31"/>
      <c r="J25" s="31"/>
    </row>
    <row r="26" spans="1:10" x14ac:dyDescent="0.25">
      <c r="A26" s="101" t="s">
        <v>158</v>
      </c>
      <c r="B26" s="123">
        <f>ONT_FLSH!$M$82</f>
        <v>149869.00289828659</v>
      </c>
      <c r="C26" s="65">
        <f t="shared" si="0"/>
        <v>130.99710171340848</v>
      </c>
      <c r="D26" s="123">
        <f>+'[2]ST Warroom 99'!$O$7</f>
        <v>150000</v>
      </c>
      <c r="E26" s="124">
        <f t="shared" si="2"/>
        <v>-2791264</v>
      </c>
      <c r="F26" s="123">
        <f>+'[2]ST Warroom 99'!$O$41</f>
        <v>-2641264</v>
      </c>
      <c r="G26" s="168">
        <f>'ONT_GL '!$E$82</f>
        <v>-3406651.0499999942</v>
      </c>
      <c r="H26" s="107">
        <f t="shared" si="1"/>
        <v>-765387.04999999423</v>
      </c>
      <c r="I26" s="31"/>
      <c r="J26" s="31"/>
    </row>
    <row r="27" spans="1:10" x14ac:dyDescent="0.25">
      <c r="A27" s="101" t="s">
        <v>163</v>
      </c>
      <c r="B27" s="123">
        <f>ONT_FLSH!$M$89</f>
        <v>166051</v>
      </c>
      <c r="C27" s="65">
        <f t="shared" si="0"/>
        <v>-51</v>
      </c>
      <c r="D27" s="168">
        <f>+'[2]ST Warroom 99'!$P$7</f>
        <v>166000</v>
      </c>
      <c r="E27" s="124">
        <f t="shared" si="2"/>
        <v>0</v>
      </c>
      <c r="F27" s="168">
        <f>+'[2]ST Warroom 99'!$P$41</f>
        <v>166000</v>
      </c>
      <c r="G27" s="168">
        <f>+'ONT_GL '!E89</f>
        <v>165999.51</v>
      </c>
      <c r="H27" s="107">
        <f t="shared" si="1"/>
        <v>-0.48999999999068677</v>
      </c>
      <c r="I27" s="31"/>
      <c r="J27" s="31"/>
    </row>
    <row r="28" spans="1:10" x14ac:dyDescent="0.25">
      <c r="A28" s="138" t="s">
        <v>113</v>
      </c>
      <c r="B28" s="123">
        <f>+BUG_FLSH!M82</f>
        <v>-267543.80789919011</v>
      </c>
      <c r="C28" s="65">
        <f>+D28-B28</f>
        <v>-456.19210080988705</v>
      </c>
      <c r="D28" s="123">
        <f>+'[2]ST Warroom 99'!$G$7</f>
        <v>-268000</v>
      </c>
      <c r="E28" s="124">
        <f t="shared" si="2"/>
        <v>2092971</v>
      </c>
      <c r="F28" s="123">
        <f>+'[2]ST Warroom 99'!$G$41</f>
        <v>1824971</v>
      </c>
      <c r="G28" s="168">
        <f>+BUG_GL!E82</f>
        <v>1824970.804000007</v>
      </c>
      <c r="H28" s="107">
        <f t="shared" si="1"/>
        <v>-0.1959999930113554</v>
      </c>
      <c r="I28" s="31"/>
      <c r="J28" s="31"/>
    </row>
    <row r="29" spans="1:10" ht="21.75" customHeight="1" thickBot="1" x14ac:dyDescent="0.3">
      <c r="A29" s="101" t="s">
        <v>10</v>
      </c>
      <c r="B29" s="61">
        <f t="shared" ref="B29:H29" si="3">SUM(B11:B28)</f>
        <v>6236551.006407639</v>
      </c>
      <c r="C29" s="61">
        <f t="shared" si="3"/>
        <v>-46551.006407638546</v>
      </c>
      <c r="D29" s="61">
        <f t="shared" si="3"/>
        <v>6190000</v>
      </c>
      <c r="E29" s="61">
        <f t="shared" si="3"/>
        <v>5198042</v>
      </c>
      <c r="F29" s="61">
        <f t="shared" si="3"/>
        <v>11388042</v>
      </c>
      <c r="G29" s="61">
        <f>SUM(G11:G28)</f>
        <v>8378072.4954997906</v>
      </c>
      <c r="H29" s="108">
        <f t="shared" si="3"/>
        <v>-3009969.5045002084</v>
      </c>
      <c r="I29" s="31"/>
      <c r="J29" s="31"/>
    </row>
    <row r="30" spans="1:10" ht="21" customHeight="1" thickBot="1" x14ac:dyDescent="0.3">
      <c r="A30" s="102" t="s">
        <v>19</v>
      </c>
      <c r="B30" s="103">
        <f>TOTAL!$E$91</f>
        <v>6236551.0064077377</v>
      </c>
      <c r="C30" s="103">
        <f>+C29</f>
        <v>-46551.006407638546</v>
      </c>
      <c r="D30" s="103">
        <f>+'[2]ST Warroom 99'!$V$7</f>
        <v>6190000</v>
      </c>
      <c r="E30" s="103">
        <f>+'[2]ST Warroom 99'!$V$24</f>
        <v>5198042</v>
      </c>
      <c r="F30" s="103">
        <f>+'[2]ST Warroom 99'!$V$41</f>
        <v>11388042</v>
      </c>
      <c r="G30" s="103">
        <f>TOTAL!$G$91</f>
        <v>8378072.4955004901</v>
      </c>
      <c r="H30" s="179">
        <f>+[1]OAvsACT!$G$59</f>
        <v>-3009903.7099999953</v>
      </c>
      <c r="I30" s="31"/>
      <c r="J30" s="31"/>
    </row>
    <row r="31" spans="1:10" x14ac:dyDescent="0.25">
      <c r="B31" s="45"/>
      <c r="C31" s="45"/>
      <c r="D31" s="45"/>
      <c r="E31" s="45"/>
      <c r="F31" s="45"/>
      <c r="G31" s="45"/>
      <c r="H31" s="45">
        <f>+H30-H29</f>
        <v>65.794500213116407</v>
      </c>
      <c r="I31" s="45"/>
      <c r="J31" s="45"/>
    </row>
    <row r="32" spans="1:10" x14ac:dyDescent="0.25">
      <c r="B32" s="45">
        <f t="shared" ref="B32:G32" si="4">+B29-B30</f>
        <v>-9.8720192909240723E-8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-6.9942325353622437E-7</v>
      </c>
      <c r="H32" s="45">
        <v>0</v>
      </c>
      <c r="I32" s="45"/>
      <c r="J32" s="45"/>
    </row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>
      <c r="C61" s="2"/>
      <c r="D61" s="2"/>
      <c r="E61" s="2"/>
      <c r="F61" s="2"/>
      <c r="G61" s="2"/>
    </row>
    <row r="62" spans="3:7" hidden="1" x14ac:dyDescent="0.25"/>
    <row r="63" spans="3:7" hidden="1" x14ac:dyDescent="0.25"/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4" spans="7:7" hidden="1" x14ac:dyDescent="0.25"/>
    <row r="86" spans="7:7" x14ac:dyDescent="0.25">
      <c r="G86" s="45"/>
    </row>
    <row r="88" spans="7:7" x14ac:dyDescent="0.25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W66" activePane="bottomRight" state="frozen"/>
      <selection activeCell="D10" sqref="D10"/>
      <selection pane="topRight" activeCell="D10" sqref="D10"/>
      <selection pane="bottomLeft" activeCell="D10" sqref="D10"/>
      <selection pane="bottomRight" activeCell="W71" sqref="W71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0003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-138</v>
      </c>
      <c r="E11" s="66">
        <f t="shared" si="0"/>
        <v>12346133</v>
      </c>
      <c r="F11" s="60"/>
      <c r="G11" s="38">
        <f>-1513500-183137-80000+77500-71610+7500</f>
        <v>-1763247</v>
      </c>
      <c r="H11" s="60"/>
      <c r="I11" s="38">
        <f>-2525387-2029585</f>
        <v>-4554972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>
        <v>-138</v>
      </c>
      <c r="AA11" s="38">
        <f>2887352+71610-64775</f>
        <v>2894187</v>
      </c>
      <c r="AB11" s="60"/>
      <c r="AC11" s="38">
        <f>80000-77500-70448-70062-51161-23483-13709-7500</f>
        <v>-233863</v>
      </c>
      <c r="AD11" s="60"/>
      <c r="AE11" s="38">
        <v>0</v>
      </c>
      <c r="AF11" s="60"/>
      <c r="AG11" s="38">
        <f>12000000+4004028</f>
        <v>16004028</v>
      </c>
    </row>
    <row r="12" spans="1:33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-7528416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>
        <f>-7440290-93126</f>
        <v>-7533416</v>
      </c>
      <c r="P12" s="60"/>
      <c r="Q12" s="38"/>
      <c r="R12" s="60"/>
      <c r="S12" s="38"/>
      <c r="T12" s="60"/>
      <c r="U12" s="38">
        <v>0</v>
      </c>
      <c r="V12" s="60"/>
      <c r="W12" s="38">
        <v>5000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-4390578</v>
      </c>
      <c r="F15" s="60"/>
      <c r="G15" s="38">
        <v>0</v>
      </c>
      <c r="H15" s="60"/>
      <c r="I15" s="38">
        <v>2029585</v>
      </c>
      <c r="J15" s="60"/>
      <c r="K15" s="38"/>
      <c r="L15" s="60"/>
      <c r="M15" s="38"/>
      <c r="N15" s="60"/>
      <c r="O15" s="38">
        <v>214900</v>
      </c>
      <c r="P15" s="60"/>
      <c r="Q15" s="38"/>
      <c r="R15" s="60"/>
      <c r="S15" s="38"/>
      <c r="T15" s="60"/>
      <c r="U15" s="38"/>
      <c r="V15" s="60"/>
      <c r="W15" s="38">
        <f>-1875810-820000</f>
        <v>-2695810</v>
      </c>
      <c r="X15" s="60"/>
      <c r="Y15" s="38"/>
      <c r="Z15" s="60"/>
      <c r="AA15" s="38">
        <v>64775</v>
      </c>
      <c r="AB15" s="60"/>
      <c r="AC15" s="38"/>
      <c r="AD15" s="60"/>
      <c r="AE15" s="38">
        <v>0</v>
      </c>
      <c r="AF15" s="60"/>
      <c r="AG15" s="38">
        <v>-4004028</v>
      </c>
    </row>
    <row r="16" spans="1:33" x14ac:dyDescent="0.25">
      <c r="A16" s="9"/>
      <c r="B16" s="7" t="s">
        <v>30</v>
      </c>
      <c r="C16" s="6"/>
      <c r="D16" s="61">
        <f t="shared" ref="D16:M16" si="1">SUM(D11:D15)</f>
        <v>-138</v>
      </c>
      <c r="E16" s="39">
        <f t="shared" si="1"/>
        <v>427139</v>
      </c>
      <c r="F16" s="61">
        <f t="shared" si="1"/>
        <v>0</v>
      </c>
      <c r="G16" s="39">
        <f t="shared" si="1"/>
        <v>-1763247</v>
      </c>
      <c r="H16" s="61">
        <f t="shared" si="1"/>
        <v>0</v>
      </c>
      <c r="I16" s="39">
        <f t="shared" si="1"/>
        <v>-2525387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-7318516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-2690810</v>
      </c>
      <c r="X16" s="61">
        <f t="shared" si="2"/>
        <v>0</v>
      </c>
      <c r="Y16" s="39">
        <f t="shared" si="2"/>
        <v>0</v>
      </c>
      <c r="Z16" s="61">
        <f t="shared" si="2"/>
        <v>-138</v>
      </c>
      <c r="AA16" s="39">
        <f t="shared" si="2"/>
        <v>2958962</v>
      </c>
      <c r="AB16" s="61">
        <f>SUM(AB11:AB15)</f>
        <v>0</v>
      </c>
      <c r="AC16" s="39">
        <f>SUM(AC11:AC15)</f>
        <v>-233863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12000000</v>
      </c>
    </row>
    <row r="17" spans="1:3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138</v>
      </c>
      <c r="E19" s="66">
        <f t="shared" si="3"/>
        <v>-11234359</v>
      </c>
      <c r="F19" s="60"/>
      <c r="G19" s="38">
        <f>744750-528798+183137+70448-43698-32968+23483</f>
        <v>416354</v>
      </c>
      <c r="H19" s="60"/>
      <c r="I19" s="38">
        <f>2525387+528798+43698+3824</f>
        <v>3101707</v>
      </c>
      <c r="J19" s="60"/>
      <c r="K19" s="38"/>
      <c r="L19" s="60"/>
      <c r="M19" s="38"/>
      <c r="N19" s="60"/>
      <c r="O19" s="38">
        <v>-6444</v>
      </c>
      <c r="P19" s="60"/>
      <c r="Q19" s="38">
        <v>6444</v>
      </c>
      <c r="R19" s="60"/>
      <c r="S19" s="38"/>
      <c r="T19" s="60"/>
      <c r="U19" s="38"/>
      <c r="V19" s="60"/>
      <c r="W19" s="38"/>
      <c r="X19" s="60"/>
      <c r="Y19" s="38"/>
      <c r="Z19" s="60">
        <v>138</v>
      </c>
      <c r="AA19" s="38">
        <v>-2887352</v>
      </c>
      <c r="AB19" s="60"/>
      <c r="AC19" s="38">
        <f>70062+51161+13709</f>
        <v>134932</v>
      </c>
      <c r="AD19" s="60"/>
      <c r="AE19" s="38"/>
      <c r="AF19" s="60"/>
      <c r="AG19" s="38">
        <f>-12000000+4004028-4004028</f>
        <v>-12000000</v>
      </c>
    </row>
    <row r="20" spans="1:33" x14ac:dyDescent="0.25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2477140</v>
      </c>
      <c r="F20" s="60"/>
      <c r="G20" s="38"/>
      <c r="H20" s="60"/>
      <c r="I20" s="38"/>
      <c r="J20" s="60"/>
      <c r="K20" s="38"/>
      <c r="L20" s="60"/>
      <c r="M20" s="38"/>
      <c r="N20" s="60"/>
      <c r="O20" s="38">
        <f>1660050+766229+93126+284235-214900-111600</f>
        <v>2477140</v>
      </c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5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M24" si="4">SUM(D19:D23)</f>
        <v>138</v>
      </c>
      <c r="E24" s="39">
        <f t="shared" si="4"/>
        <v>-8757219</v>
      </c>
      <c r="F24" s="61">
        <f t="shared" si="4"/>
        <v>0</v>
      </c>
      <c r="G24" s="39">
        <f t="shared" si="4"/>
        <v>416354</v>
      </c>
      <c r="H24" s="61">
        <f t="shared" si="4"/>
        <v>0</v>
      </c>
      <c r="I24" s="39">
        <f t="shared" si="4"/>
        <v>3101707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2470696</v>
      </c>
      <c r="P24" s="61">
        <f>SUM(P19:P23)</f>
        <v>0</v>
      </c>
      <c r="Q24" s="39">
        <f>SUM(Q19:Q23)</f>
        <v>6444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138</v>
      </c>
      <c r="AA24" s="39">
        <f t="shared" si="5"/>
        <v>-2887352</v>
      </c>
      <c r="AB24" s="61">
        <f>SUM(AB19:AB23)</f>
        <v>0</v>
      </c>
      <c r="AC24" s="39">
        <f>SUM(AC19:AC23)</f>
        <v>134932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-12000000</v>
      </c>
    </row>
    <row r="25" spans="1:3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6">
        <f t="shared" si="8"/>
        <v>1797081</v>
      </c>
      <c r="E35" s="66">
        <f t="shared" si="8"/>
        <v>9950035</v>
      </c>
      <c r="F35" s="60"/>
      <c r="G35" s="38">
        <f>1513500-744750</f>
        <v>768750</v>
      </c>
      <c r="H35" s="60"/>
      <c r="I35" s="38"/>
      <c r="J35" s="60"/>
      <c r="K35" s="38"/>
      <c r="L35" s="60"/>
      <c r="M35" s="38"/>
      <c r="N35" s="60">
        <v>1797081</v>
      </c>
      <c r="O35" s="38">
        <f>7440290+4352530-1660050-766229+93126-93126-269818+111600-27038</f>
        <v>9181285</v>
      </c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1797081</v>
      </c>
      <c r="E36" s="39">
        <f>SUM(E32:E35)</f>
        <v>9950035</v>
      </c>
      <c r="F36" s="39">
        <f t="shared" ref="F36:AG36" si="9">SUM(F32:F35)</f>
        <v>0</v>
      </c>
      <c r="G36" s="39">
        <f t="shared" si="9"/>
        <v>768750</v>
      </c>
      <c r="H36" s="39">
        <f t="shared" si="9"/>
        <v>0</v>
      </c>
      <c r="I36" s="39">
        <f t="shared" si="9"/>
        <v>0</v>
      </c>
      <c r="J36" s="39">
        <f t="shared" si="9"/>
        <v>0</v>
      </c>
      <c r="K36" s="39">
        <f t="shared" si="9"/>
        <v>0</v>
      </c>
      <c r="L36" s="39">
        <f t="shared" si="9"/>
        <v>0</v>
      </c>
      <c r="M36" s="39">
        <f t="shared" si="9"/>
        <v>0</v>
      </c>
      <c r="N36" s="39">
        <f t="shared" si="9"/>
        <v>1797081</v>
      </c>
      <c r="O36" s="39">
        <f t="shared" si="9"/>
        <v>9181285</v>
      </c>
      <c r="P36" s="39">
        <f t="shared" si="9"/>
        <v>0</v>
      </c>
      <c r="Q36" s="39">
        <f t="shared" si="9"/>
        <v>0</v>
      </c>
      <c r="R36" s="39">
        <f t="shared" si="9"/>
        <v>0</v>
      </c>
      <c r="S36" s="39">
        <f t="shared" si="9"/>
        <v>0</v>
      </c>
      <c r="T36" s="39">
        <f t="shared" si="9"/>
        <v>0</v>
      </c>
      <c r="U36" s="39">
        <f t="shared" si="9"/>
        <v>0</v>
      </c>
      <c r="V36" s="39">
        <f t="shared" si="9"/>
        <v>0</v>
      </c>
      <c r="W36" s="39">
        <f t="shared" si="9"/>
        <v>0</v>
      </c>
      <c r="X36" s="39">
        <f t="shared" si="9"/>
        <v>0</v>
      </c>
      <c r="Y36" s="39">
        <f t="shared" si="9"/>
        <v>0</v>
      </c>
      <c r="Z36" s="39">
        <f t="shared" si="9"/>
        <v>0</v>
      </c>
      <c r="AA36" s="39">
        <f t="shared" si="9"/>
        <v>0</v>
      </c>
      <c r="AB36" s="39">
        <f t="shared" si="9"/>
        <v>0</v>
      </c>
      <c r="AC36" s="39">
        <f t="shared" si="9"/>
        <v>0</v>
      </c>
      <c r="AD36" s="39">
        <f t="shared" si="9"/>
        <v>0</v>
      </c>
      <c r="AE36" s="39">
        <f t="shared" si="9"/>
        <v>0</v>
      </c>
      <c r="AF36" s="39">
        <f t="shared" si="9"/>
        <v>0</v>
      </c>
      <c r="AG36" s="39">
        <f t="shared" si="9"/>
        <v>0</v>
      </c>
    </row>
    <row r="37" spans="1:3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6">
        <f t="shared" ref="D39:E41" si="10">F39+H39+J39+L39+N39+R39+T39+X39+Z39+AF39+P39+V39+AB39+AD39</f>
        <v>-1797081</v>
      </c>
      <c r="E39" s="66">
        <f t="shared" si="10"/>
        <v>-4352530</v>
      </c>
      <c r="F39" s="60"/>
      <c r="G39" s="38"/>
      <c r="H39" s="60"/>
      <c r="I39" s="38"/>
      <c r="J39" s="60"/>
      <c r="K39" s="38"/>
      <c r="L39" s="60"/>
      <c r="M39" s="38"/>
      <c r="N39" s="60">
        <v>-1797081</v>
      </c>
      <c r="O39" s="38">
        <v>-4352530</v>
      </c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6">
        <f t="shared" si="10"/>
        <v>0</v>
      </c>
      <c r="E40" s="66">
        <f t="shared" si="10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6">
        <f t="shared" si="10"/>
        <v>0</v>
      </c>
      <c r="E41" s="66">
        <f t="shared" si="10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5">
      <c r="A42" s="9"/>
      <c r="B42" s="7"/>
      <c r="C42" s="53" t="s">
        <v>48</v>
      </c>
      <c r="D42" s="61">
        <f t="shared" ref="D42:M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si="11"/>
        <v>0</v>
      </c>
      <c r="K42" s="39">
        <f t="shared" si="11"/>
        <v>0</v>
      </c>
      <c r="L42" s="61">
        <f t="shared" si="11"/>
        <v>0</v>
      </c>
      <c r="M42" s="39">
        <f t="shared" si="11"/>
        <v>0</v>
      </c>
      <c r="N42" s="61">
        <f t="shared" ref="N42:AG42" si="12">SUM(N40:N41)</f>
        <v>0</v>
      </c>
      <c r="O42" s="39">
        <f t="shared" si="12"/>
        <v>0</v>
      </c>
      <c r="P42" s="61">
        <f>SUM(P40:P41)</f>
        <v>0</v>
      </c>
      <c r="Q42" s="39">
        <f>SUM(Q40:Q41)</f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>SUM(V40:V41)</f>
        <v>0</v>
      </c>
      <c r="W42" s="39">
        <f>SUM(W40:W41)</f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2"/>
        <v>0</v>
      </c>
      <c r="AG42" s="39">
        <f t="shared" si="12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M43" si="13">D42+D39</f>
        <v>-1797081</v>
      </c>
      <c r="E43" s="39">
        <f t="shared" si="13"/>
        <v>-4352530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si="13"/>
        <v>0</v>
      </c>
      <c r="K43" s="39">
        <f t="shared" si="13"/>
        <v>0</v>
      </c>
      <c r="L43" s="61">
        <f t="shared" si="13"/>
        <v>0</v>
      </c>
      <c r="M43" s="39">
        <f t="shared" si="13"/>
        <v>0</v>
      </c>
      <c r="N43" s="61">
        <f t="shared" ref="N43:AG43" si="14">N42+N39</f>
        <v>-1797081</v>
      </c>
      <c r="O43" s="39">
        <f t="shared" si="14"/>
        <v>-4352530</v>
      </c>
      <c r="P43" s="61">
        <f>P42+P39</f>
        <v>0</v>
      </c>
      <c r="Q43" s="39">
        <f>Q42+Q39</f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>V42+V39</f>
        <v>0</v>
      </c>
      <c r="W43" s="39">
        <f>W42+W39</f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4"/>
        <v>0</v>
      </c>
      <c r="AG43" s="39">
        <f t="shared" si="14"/>
        <v>0</v>
      </c>
    </row>
    <row r="44" spans="1:3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208782</v>
      </c>
      <c r="F51" s="60"/>
      <c r="G51" s="38">
        <v>208782</v>
      </c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117218</v>
      </c>
      <c r="F54" s="60"/>
      <c r="G54" s="38">
        <f>-208782+32968</f>
        <v>-175814</v>
      </c>
      <c r="H54" s="60"/>
      <c r="I54" s="38">
        <f>4561-3824-215</f>
        <v>522</v>
      </c>
      <c r="J54" s="60"/>
      <c r="K54" s="38"/>
      <c r="L54" s="60"/>
      <c r="M54" s="38"/>
      <c r="N54" s="60"/>
      <c r="O54" s="38">
        <f>269818+27038</f>
        <v>296856</v>
      </c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-4561+215</f>
        <v>-4346</v>
      </c>
    </row>
    <row r="55" spans="1:33" x14ac:dyDescent="0.25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501952</v>
      </c>
      <c r="F55" s="60"/>
      <c r="G55" s="38">
        <f>-547052+96938</f>
        <v>-450114</v>
      </c>
      <c r="H55" s="60"/>
      <c r="I55" s="38">
        <v>34847</v>
      </c>
      <c r="J55" s="60"/>
      <c r="K55" s="38"/>
      <c r="L55" s="60"/>
      <c r="M55" s="38"/>
      <c r="N55" s="60"/>
      <c r="O55" s="38">
        <v>0</v>
      </c>
      <c r="P55" s="60"/>
      <c r="Q55" s="38">
        <v>311714</v>
      </c>
      <c r="R55" s="60"/>
      <c r="S55" s="38"/>
      <c r="T55" s="60"/>
      <c r="U55" s="38"/>
      <c r="V55" s="60"/>
      <c r="W55" s="38">
        <v>93300</v>
      </c>
      <c r="X55" s="60"/>
      <c r="Y55" s="38"/>
      <c r="Z55" s="60"/>
      <c r="AA55" s="38">
        <v>0</v>
      </c>
      <c r="AB55" s="60"/>
      <c r="AC55" s="38">
        <v>547052</v>
      </c>
      <c r="AD55" s="60"/>
      <c r="AE55" s="38"/>
      <c r="AF55" s="60"/>
      <c r="AG55" s="38">
        <v>-34847</v>
      </c>
    </row>
    <row r="56" spans="1:33" x14ac:dyDescent="0.25">
      <c r="A56" s="9"/>
      <c r="B56" s="7" t="s">
        <v>57</v>
      </c>
      <c r="C56" s="6"/>
      <c r="D56" s="61">
        <f t="shared" ref="D56:M56" si="15">SUM(D54:D55)</f>
        <v>0</v>
      </c>
      <c r="E56" s="39">
        <f t="shared" si="15"/>
        <v>619170</v>
      </c>
      <c r="F56" s="61">
        <f t="shared" si="15"/>
        <v>0</v>
      </c>
      <c r="G56" s="39">
        <f t="shared" si="15"/>
        <v>-625928</v>
      </c>
      <c r="H56" s="61">
        <f t="shared" si="15"/>
        <v>0</v>
      </c>
      <c r="I56" s="39">
        <f t="shared" si="15"/>
        <v>35369</v>
      </c>
      <c r="J56" s="61">
        <f t="shared" si="15"/>
        <v>0</v>
      </c>
      <c r="K56" s="39">
        <f t="shared" si="15"/>
        <v>0</v>
      </c>
      <c r="L56" s="61">
        <f t="shared" si="15"/>
        <v>0</v>
      </c>
      <c r="M56" s="39">
        <f t="shared" si="15"/>
        <v>0</v>
      </c>
      <c r="N56" s="61">
        <f t="shared" ref="N56:AG56" si="16">SUM(N54:N55)</f>
        <v>0</v>
      </c>
      <c r="O56" s="39">
        <f t="shared" si="16"/>
        <v>296856</v>
      </c>
      <c r="P56" s="61">
        <f>SUM(P54:P55)</f>
        <v>0</v>
      </c>
      <c r="Q56" s="39">
        <f>SUM(Q54:Q55)</f>
        <v>311714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>SUM(V54:V55)</f>
        <v>0</v>
      </c>
      <c r="W56" s="39">
        <f>SUM(W54:W55)</f>
        <v>93300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>SUM(AB54:AB55)</f>
        <v>0</v>
      </c>
      <c r="AC56" s="39">
        <f>SUM(AC54:AC55)</f>
        <v>547052</v>
      </c>
      <c r="AD56" s="61">
        <f>SUM(AD54:AD55)</f>
        <v>0</v>
      </c>
      <c r="AE56" s="39">
        <f>SUM(AE54:AE55)</f>
        <v>0</v>
      </c>
      <c r="AF56" s="61">
        <f t="shared" si="16"/>
        <v>0</v>
      </c>
      <c r="AG56" s="39">
        <f t="shared" si="16"/>
        <v>-39193</v>
      </c>
    </row>
    <row r="57" spans="1:33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5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M61" si="17">SUM(D59:D60)</f>
        <v>0</v>
      </c>
      <c r="E61" s="39">
        <f t="shared" si="17"/>
        <v>0</v>
      </c>
      <c r="F61" s="61">
        <f t="shared" si="17"/>
        <v>0</v>
      </c>
      <c r="G61" s="39">
        <f t="shared" si="17"/>
        <v>0</v>
      </c>
      <c r="H61" s="61">
        <f t="shared" si="17"/>
        <v>0</v>
      </c>
      <c r="I61" s="39">
        <f t="shared" si="17"/>
        <v>0</v>
      </c>
      <c r="J61" s="61">
        <f t="shared" si="17"/>
        <v>0</v>
      </c>
      <c r="K61" s="39">
        <f t="shared" si="17"/>
        <v>0</v>
      </c>
      <c r="L61" s="61">
        <f t="shared" si="17"/>
        <v>0</v>
      </c>
      <c r="M61" s="39">
        <f t="shared" si="17"/>
        <v>0</v>
      </c>
      <c r="N61" s="61">
        <f t="shared" ref="N61:AG61" si="18">SUM(N59:N60)</f>
        <v>0</v>
      </c>
      <c r="O61" s="39">
        <f t="shared" si="18"/>
        <v>0</v>
      </c>
      <c r="P61" s="61">
        <f>SUM(P59:P60)</f>
        <v>0</v>
      </c>
      <c r="Q61" s="39">
        <f>SUM(Q59:Q60)</f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>SUM(V59:V60)</f>
        <v>0</v>
      </c>
      <c r="W61" s="39">
        <f>SUM(W59:W60)</f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8"/>
        <v>0</v>
      </c>
      <c r="AG61" s="39">
        <f t="shared" si="18"/>
        <v>0</v>
      </c>
    </row>
    <row r="62" spans="1:33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M66" si="19">SUM(D64:D65)</f>
        <v>0</v>
      </c>
      <c r="E66" s="39">
        <f t="shared" si="19"/>
        <v>0</v>
      </c>
      <c r="F66" s="61">
        <f t="shared" si="19"/>
        <v>0</v>
      </c>
      <c r="G66" s="39">
        <f t="shared" si="19"/>
        <v>0</v>
      </c>
      <c r="H66" s="61">
        <f t="shared" si="19"/>
        <v>0</v>
      </c>
      <c r="I66" s="39">
        <f t="shared" si="19"/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  <c r="N66" s="61">
        <f t="shared" ref="N66:AG66" si="20">SUM(N64:N65)</f>
        <v>0</v>
      </c>
      <c r="O66" s="39">
        <f t="shared" si="20"/>
        <v>0</v>
      </c>
      <c r="P66" s="61">
        <f>SUM(P64:P65)</f>
        <v>0</v>
      </c>
      <c r="Q66" s="39">
        <f>SUM(Q64:Q65)</f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>SUM(V64:V65)</f>
        <v>0</v>
      </c>
      <c r="W66" s="39">
        <f>SUM(W64:W65)</f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0"/>
        <v>0</v>
      </c>
      <c r="AG66" s="39">
        <f t="shared" si="20"/>
        <v>0</v>
      </c>
    </row>
    <row r="67" spans="1:3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1556140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>
        <v>1556140</v>
      </c>
      <c r="AB70" s="60"/>
      <c r="AC70" s="38"/>
      <c r="AD70" s="60"/>
      <c r="AE70" s="38"/>
      <c r="AF70" s="60"/>
      <c r="AG70" s="38"/>
    </row>
    <row r="71" spans="1:33" x14ac:dyDescent="0.25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-1556140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>
        <v>-1556140</v>
      </c>
      <c r="AB71" s="60"/>
      <c r="AC71" s="38"/>
      <c r="AD71" s="60"/>
      <c r="AE71" s="38"/>
      <c r="AF71" s="60"/>
      <c r="AG71" s="38"/>
    </row>
    <row r="72" spans="1:33" x14ac:dyDescent="0.25">
      <c r="A72" s="9"/>
      <c r="B72" s="3"/>
      <c r="C72" s="55" t="s">
        <v>69</v>
      </c>
      <c r="D72" s="61">
        <f t="shared" ref="D72:M72" si="21">SUM(D70:D71)</f>
        <v>0</v>
      </c>
      <c r="E72" s="39">
        <f t="shared" si="21"/>
        <v>0</v>
      </c>
      <c r="F72" s="61">
        <f t="shared" si="21"/>
        <v>0</v>
      </c>
      <c r="G72" s="39">
        <f t="shared" si="21"/>
        <v>0</v>
      </c>
      <c r="H72" s="61">
        <f t="shared" si="21"/>
        <v>0</v>
      </c>
      <c r="I72" s="39">
        <f t="shared" si="21"/>
        <v>0</v>
      </c>
      <c r="J72" s="61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0</v>
      </c>
      <c r="N72" s="61">
        <f t="shared" ref="N72:AG72" si="22">SUM(N70:N71)</f>
        <v>0</v>
      </c>
      <c r="O72" s="39">
        <f t="shared" si="22"/>
        <v>0</v>
      </c>
      <c r="P72" s="61">
        <f>SUM(P70:P71)</f>
        <v>0</v>
      </c>
      <c r="Q72" s="39">
        <f>SUM(Q70:Q71)</f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>SUM(V70:V71)</f>
        <v>0</v>
      </c>
      <c r="W72" s="39">
        <f>SUM(W70:W71)</f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2"/>
        <v>0</v>
      </c>
      <c r="AG72" s="39">
        <f t="shared" si="22"/>
        <v>0</v>
      </c>
    </row>
    <row r="73" spans="1:33" x14ac:dyDescent="0.25">
      <c r="A73" s="9">
        <v>32</v>
      </c>
      <c r="B73" s="3"/>
      <c r="C73" s="10" t="s">
        <v>70</v>
      </c>
      <c r="D73" s="66">
        <f t="shared" ref="D73:D81" si="23">F73+H73+J73+L73+N73+R73+T73+X73+Z73+AF73+P73+V73+AB73+AD73</f>
        <v>0</v>
      </c>
      <c r="E73" s="66">
        <f t="shared" ref="E73:E81" si="24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6">
        <f t="shared" si="23"/>
        <v>0</v>
      </c>
      <c r="E74" s="66">
        <f t="shared" si="24"/>
        <v>2314637</v>
      </c>
      <c r="F74" s="60"/>
      <c r="G74" s="38">
        <f>-174746+119000+43800-15900-96938</f>
        <v>-124784</v>
      </c>
      <c r="H74" s="60"/>
      <c r="I74" s="38">
        <f>-532168-71770-51051-43800</f>
        <v>-698789</v>
      </c>
      <c r="J74" s="60"/>
      <c r="K74" s="38"/>
      <c r="L74" s="60"/>
      <c r="M74" s="38"/>
      <c r="N74" s="60"/>
      <c r="O74" s="38">
        <f>-78000-284235</f>
        <v>-362235</v>
      </c>
      <c r="P74" s="60"/>
      <c r="Q74" s="38"/>
      <c r="R74" s="60"/>
      <c r="S74" s="38"/>
      <c r="T74" s="60"/>
      <c r="U74" s="38">
        <v>0</v>
      </c>
      <c r="V74" s="60"/>
      <c r="W74" s="38">
        <f>1875810-300000+78000</f>
        <v>1653810</v>
      </c>
      <c r="X74" s="60"/>
      <c r="Y74" s="38">
        <f>820000+532168+300000+71770+51051</f>
        <v>1774989</v>
      </c>
      <c r="Z74" s="60"/>
      <c r="AA74" s="38">
        <f>-119000+15900</f>
        <v>-103100</v>
      </c>
      <c r="AB74" s="60"/>
      <c r="AC74" s="38">
        <v>174746</v>
      </c>
      <c r="AD74" s="60"/>
      <c r="AE74" s="38">
        <v>0</v>
      </c>
      <c r="AF74" s="60"/>
      <c r="AG74" s="38">
        <v>0</v>
      </c>
    </row>
    <row r="75" spans="1:33" x14ac:dyDescent="0.25">
      <c r="A75" s="9">
        <v>34</v>
      </c>
      <c r="B75" s="3"/>
      <c r="C75" s="10" t="s">
        <v>72</v>
      </c>
      <c r="D75" s="66">
        <f t="shared" si="23"/>
        <v>0</v>
      </c>
      <c r="E75" s="66">
        <f t="shared" si="24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5">
      <c r="A76" s="9">
        <v>35</v>
      </c>
      <c r="B76" s="3"/>
      <c r="C76" s="10" t="s">
        <v>73</v>
      </c>
      <c r="D76" s="66">
        <f t="shared" si="23"/>
        <v>0</v>
      </c>
      <c r="E76" s="66">
        <f t="shared" si="24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6">
        <f t="shared" si="23"/>
        <v>0</v>
      </c>
      <c r="E77" s="66">
        <f t="shared" si="24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5">
      <c r="A78" s="9">
        <v>37</v>
      </c>
      <c r="B78" s="3"/>
      <c r="C78" s="10" t="s">
        <v>75</v>
      </c>
      <c r="D78" s="66">
        <f t="shared" si="23"/>
        <v>0</v>
      </c>
      <c r="E78" s="66">
        <f t="shared" si="24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6">
        <f t="shared" si="23"/>
        <v>0</v>
      </c>
      <c r="E79" s="66">
        <f t="shared" si="24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6">
        <f t="shared" si="23"/>
        <v>0</v>
      </c>
      <c r="E80" s="66">
        <f t="shared" si="24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6">
        <f t="shared" si="23"/>
        <v>0</v>
      </c>
      <c r="E81" s="66">
        <f t="shared" si="24"/>
        <v>-311714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>
        <v>-311714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-1120073</v>
      </c>
      <c r="H82" s="91">
        <f>H16+H24+H29+H36+H43+H45+H47+H49</f>
        <v>0</v>
      </c>
      <c r="I82" s="92">
        <f>SUM(I72:I81)+I16+I24+I29+I36+I43+I45+I47+I49+I51+I56+I61+I66</f>
        <v>-87100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-84444</v>
      </c>
      <c r="P82" s="91">
        <f>P16+P24+P29+P36+P43+P45+P47+P49</f>
        <v>0</v>
      </c>
      <c r="Q82" s="92">
        <f>SUM(Q72:Q81)+Q16+Q24+Q29+Q36+Q43+Q45+Q47+Q49+Q51+Q56+Q61+Q66</f>
        <v>6444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-1042000</v>
      </c>
      <c r="X82" s="91">
        <f>X16+X24+X29+X36+X43+X45+X47+X49</f>
        <v>0</v>
      </c>
      <c r="Y82" s="92">
        <f>SUM(Y72:Y81)+Y16+Y24+Y29+Y36+Y43+Y45+Y47+Y49+Y51+Y56+Y61+Y66</f>
        <v>1774989</v>
      </c>
      <c r="Z82" s="91">
        <f>Z16+Z24+Z29+Z36+Z43+Z45+Z47+Z49</f>
        <v>0</v>
      </c>
      <c r="AA82" s="92">
        <f>SUM(AA72:AA81)+AA16+AA24+AA29+AA36+AA43+AA45+AA47+AA49+AA51+AA56+AA61+AA66</f>
        <v>-31490</v>
      </c>
      <c r="AB82" s="91">
        <f>AB16+AB24+AB29+AB36+AB43+AB45+AB47+AB49</f>
        <v>0</v>
      </c>
      <c r="AC82" s="92">
        <f>SUM(AC72:AC81)+AC16+AC24+AC29+AC36+AC43+AC45+AC47+AC49+AC51+AC56+AC61+AC66</f>
        <v>622867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-39193</v>
      </c>
      <c r="AH82" s="96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M84" s="45"/>
    </row>
    <row r="85" spans="1:34" x14ac:dyDescent="0.25">
      <c r="A85" s="4"/>
      <c r="B85" s="3"/>
      <c r="U85" s="45"/>
      <c r="W85" s="45"/>
    </row>
    <row r="86" spans="1:34" x14ac:dyDescent="0.25">
      <c r="A86" s="4"/>
      <c r="B86" s="3"/>
    </row>
    <row r="87" spans="1:34" x14ac:dyDescent="0.25">
      <c r="A87" s="4"/>
      <c r="B87" s="3"/>
    </row>
    <row r="88" spans="1:34" x14ac:dyDescent="0.25">
      <c r="A88" s="4"/>
      <c r="B88" s="3"/>
    </row>
    <row r="89" spans="1:34" x14ac:dyDescent="0.25">
      <c r="A89" s="4"/>
      <c r="B89" s="3"/>
    </row>
    <row r="90" spans="1:34" x14ac:dyDescent="0.25">
      <c r="A90" s="4"/>
      <c r="B90" s="3"/>
    </row>
    <row r="91" spans="1:34" x14ac:dyDescent="0.25">
      <c r="A91" s="4"/>
      <c r="B91" s="3"/>
    </row>
    <row r="92" spans="1:34" x14ac:dyDescent="0.25">
      <c r="A92" s="4"/>
      <c r="B92" s="3"/>
    </row>
    <row r="93" spans="1:34" x14ac:dyDescent="0.25">
      <c r="A93" s="4"/>
      <c r="B93" s="3"/>
    </row>
    <row r="94" spans="1:34" x14ac:dyDescent="0.25">
      <c r="A94" s="4"/>
      <c r="B94" s="3"/>
    </row>
    <row r="95" spans="1:34" x14ac:dyDescent="0.25">
      <c r="A95" s="4"/>
      <c r="B95" s="3"/>
    </row>
    <row r="96" spans="1:34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A38" sqref="A38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3" width="15" customWidth="1"/>
  </cols>
  <sheetData>
    <row r="1" spans="1:33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0003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5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16967780.34</v>
      </c>
      <c r="F12" s="65"/>
      <c r="G12" s="38">
        <v>-5370359.4800000004</v>
      </c>
      <c r="H12" s="65"/>
      <c r="I12" s="38">
        <v>715209.96</v>
      </c>
      <c r="J12" s="65">
        <v>0</v>
      </c>
      <c r="K12" s="38">
        <v>3306029.27</v>
      </c>
      <c r="L12" s="65"/>
      <c r="M12" s="38">
        <v>-147054.67000000001</v>
      </c>
      <c r="N12" s="65"/>
      <c r="O12" s="38">
        <v>0</v>
      </c>
      <c r="P12" s="65"/>
      <c r="Q12" s="38">
        <v>11346039.58</v>
      </c>
      <c r="R12" s="65"/>
      <c r="S12" s="38">
        <v>28116.17</v>
      </c>
      <c r="T12" s="65"/>
      <c r="U12" s="38">
        <v>-2901.6</v>
      </c>
      <c r="V12" s="65"/>
      <c r="W12" s="38">
        <v>-3186873.06</v>
      </c>
      <c r="X12" s="65">
        <v>0</v>
      </c>
      <c r="Y12" s="38">
        <v>-289230.28000000003</v>
      </c>
      <c r="Z12" s="65"/>
      <c r="AA12" s="38">
        <v>0</v>
      </c>
      <c r="AB12" s="65">
        <v>0</v>
      </c>
      <c r="AC12" s="38">
        <v>11259097.26</v>
      </c>
      <c r="AD12" s="65"/>
      <c r="AE12" s="38">
        <v>-690292.81</v>
      </c>
      <c r="AF12" s="65"/>
      <c r="AG12" s="38">
        <v>0</v>
      </c>
    </row>
    <row r="13" spans="1:33" x14ac:dyDescent="0.25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5">
      <c r="A16" s="9"/>
      <c r="B16" s="7" t="s">
        <v>30</v>
      </c>
      <c r="C16" s="6"/>
      <c r="D16" s="61">
        <f t="shared" ref="D16:AG16" si="1">SUM(D11:D15)</f>
        <v>0</v>
      </c>
      <c r="E16" s="229">
        <f t="shared" si="1"/>
        <v>16967780.34</v>
      </c>
      <c r="F16" s="61">
        <f t="shared" si="1"/>
        <v>0</v>
      </c>
      <c r="G16" s="39">
        <f t="shared" si="1"/>
        <v>-5370359.4800000004</v>
      </c>
      <c r="H16" s="61">
        <f>SUM(H11:H15)</f>
        <v>0</v>
      </c>
      <c r="I16" s="39">
        <f>SUM(I11:I15)</f>
        <v>715209.96</v>
      </c>
      <c r="J16" s="61">
        <f t="shared" si="1"/>
        <v>0</v>
      </c>
      <c r="K16" s="39">
        <f t="shared" si="1"/>
        <v>3306029.27</v>
      </c>
      <c r="L16" s="61">
        <f t="shared" si="1"/>
        <v>0</v>
      </c>
      <c r="M16" s="39">
        <f t="shared" si="1"/>
        <v>-147054.67000000001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11346039.58</v>
      </c>
      <c r="R16" s="61">
        <f>SUM(R11:R15)</f>
        <v>0</v>
      </c>
      <c r="S16" s="39">
        <f>SUM(S11:S15)</f>
        <v>28116.17</v>
      </c>
      <c r="T16" s="61">
        <f t="shared" si="1"/>
        <v>0</v>
      </c>
      <c r="U16" s="39">
        <f t="shared" si="1"/>
        <v>-2901.6</v>
      </c>
      <c r="V16" s="61">
        <f t="shared" si="1"/>
        <v>0</v>
      </c>
      <c r="W16" s="39">
        <f t="shared" si="1"/>
        <v>-3186873.06</v>
      </c>
      <c r="X16" s="61">
        <f>SUM(X11:X15)</f>
        <v>0</v>
      </c>
      <c r="Y16" s="39">
        <f>SUM(Y11:Y15)</f>
        <v>-289230.28000000003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11259097.26</v>
      </c>
      <c r="AD16" s="61">
        <f>SUM(AD11:AD15)</f>
        <v>0</v>
      </c>
      <c r="AE16" s="39">
        <f>SUM(AE11:AE15)</f>
        <v>-690292.81</v>
      </c>
      <c r="AF16" s="61">
        <f t="shared" si="1"/>
        <v>0</v>
      </c>
      <c r="AG16" s="39">
        <f t="shared" si="1"/>
        <v>0</v>
      </c>
    </row>
    <row r="17" spans="1:33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-11682554.339999998</v>
      </c>
      <c r="F20" s="65"/>
      <c r="G20" s="38">
        <v>-12154.06</v>
      </c>
      <c r="H20" s="65"/>
      <c r="I20" s="38">
        <v>-335726</v>
      </c>
      <c r="J20" s="65"/>
      <c r="K20" s="38">
        <v>-5577675.8399999999</v>
      </c>
      <c r="L20" s="65"/>
      <c r="M20" s="38">
        <v>-65719.960000000006</v>
      </c>
      <c r="N20" s="65"/>
      <c r="O20" s="38">
        <v>0</v>
      </c>
      <c r="P20" s="65"/>
      <c r="Q20" s="38">
        <v>-2403190.42</v>
      </c>
      <c r="R20" s="65"/>
      <c r="S20" s="38">
        <v>-188616.18</v>
      </c>
      <c r="T20" s="65"/>
      <c r="U20" s="38">
        <v>0</v>
      </c>
      <c r="V20" s="65"/>
      <c r="W20" s="38">
        <v>1741459.37</v>
      </c>
      <c r="X20" s="65"/>
      <c r="Y20" s="38">
        <v>-714575.09</v>
      </c>
      <c r="Z20" s="65"/>
      <c r="AA20" s="38">
        <v>0</v>
      </c>
      <c r="AB20" s="65">
        <v>0</v>
      </c>
      <c r="AC20" s="38">
        <v>-15950612.970000001</v>
      </c>
      <c r="AD20" s="65"/>
      <c r="AE20" s="38">
        <v>-66483.69</v>
      </c>
      <c r="AF20" s="65"/>
      <c r="AG20" s="38">
        <v>11890740.5</v>
      </c>
    </row>
    <row r="21" spans="1:33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AG24" si="3">SUM(D19:D23)</f>
        <v>0</v>
      </c>
      <c r="E24" s="229">
        <f t="shared" si="3"/>
        <v>-11682554.339999998</v>
      </c>
      <c r="F24" s="61">
        <f t="shared" si="3"/>
        <v>0</v>
      </c>
      <c r="G24" s="39">
        <f t="shared" si="3"/>
        <v>-12154.06</v>
      </c>
      <c r="H24" s="61">
        <f>SUM(H19:H23)</f>
        <v>0</v>
      </c>
      <c r="I24" s="39">
        <f>SUM(I19:I23)</f>
        <v>-335726</v>
      </c>
      <c r="J24" s="61">
        <f t="shared" si="3"/>
        <v>0</v>
      </c>
      <c r="K24" s="39">
        <f t="shared" si="3"/>
        <v>-5577675.8399999999</v>
      </c>
      <c r="L24" s="61">
        <f t="shared" si="3"/>
        <v>0</v>
      </c>
      <c r="M24" s="39">
        <f t="shared" si="3"/>
        <v>-65719.960000000006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-2403190.42</v>
      </c>
      <c r="R24" s="61">
        <f>SUM(R19:R23)</f>
        <v>0</v>
      </c>
      <c r="S24" s="39">
        <f>SUM(S19:S23)</f>
        <v>-188616.18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1741459.37</v>
      </c>
      <c r="X24" s="61">
        <f>SUM(X19:X23)</f>
        <v>0</v>
      </c>
      <c r="Y24" s="39">
        <f>SUM(Y19:Y23)</f>
        <v>-714575.09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-15950612.970000001</v>
      </c>
      <c r="AD24" s="61">
        <f>SUM(AD19:AD23)</f>
        <v>0</v>
      </c>
      <c r="AE24" s="39">
        <f>SUM(AE19:AE23)</f>
        <v>-66483.69</v>
      </c>
      <c r="AF24" s="61">
        <f t="shared" si="3"/>
        <v>0</v>
      </c>
      <c r="AG24" s="39">
        <f t="shared" si="3"/>
        <v>11890740.5</v>
      </c>
    </row>
    <row r="25" spans="1:33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5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23">
        <f>G54+K54+M54+O54+Q54+U54+W54+AA54+AC54+AG54+Y54+I54+AE54+S54</f>
        <v>-1293893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-1293893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5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-1293893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-1293893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5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98539211.649999991</v>
      </c>
      <c r="F70" s="60"/>
      <c r="G70" s="38">
        <v>5834127.9100000001</v>
      </c>
      <c r="H70" s="60"/>
      <c r="I70" s="38">
        <v>-1948054</v>
      </c>
      <c r="J70" s="60"/>
      <c r="K70" s="38">
        <v>1165617.6100000001</v>
      </c>
      <c r="L70" s="60"/>
      <c r="M70" s="38">
        <v>0</v>
      </c>
      <c r="N70" s="60"/>
      <c r="O70" s="38">
        <v>0</v>
      </c>
      <c r="P70" s="60">
        <v>0</v>
      </c>
      <c r="Q70" s="38">
        <v>4676254</v>
      </c>
      <c r="R70" s="60"/>
      <c r="S70" s="38">
        <v>1275</v>
      </c>
      <c r="T70" s="60"/>
      <c r="U70" s="38">
        <v>0</v>
      </c>
      <c r="V70" s="60">
        <v>0</v>
      </c>
      <c r="W70" s="38">
        <v>-8691498.1899999995</v>
      </c>
      <c r="X70" s="60">
        <v>0</v>
      </c>
      <c r="Y70" s="38">
        <v>0</v>
      </c>
      <c r="Z70" s="60">
        <v>0</v>
      </c>
      <c r="AA70" s="38">
        <v>98380002</v>
      </c>
      <c r="AB70" s="60"/>
      <c r="AC70" s="38">
        <v>115486.02</v>
      </c>
      <c r="AD70" s="60"/>
      <c r="AE70" s="38">
        <v>-344118.43</v>
      </c>
      <c r="AF70" s="60"/>
      <c r="AG70" s="38">
        <v>-649880.27</v>
      </c>
    </row>
    <row r="71" spans="1:33" x14ac:dyDescent="0.25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-98764371.959999979</v>
      </c>
      <c r="F71" s="60"/>
      <c r="G71" s="38">
        <v>-4506255</v>
      </c>
      <c r="H71" s="60"/>
      <c r="I71" s="38">
        <f>-8290601+10238655-10461372.94</f>
        <v>-8513318.9399999995</v>
      </c>
      <c r="J71" s="60"/>
      <c r="K71" s="38">
        <v>-563222</v>
      </c>
      <c r="L71" s="60"/>
      <c r="M71" s="38">
        <v>0</v>
      </c>
      <c r="N71" s="60"/>
      <c r="O71" s="38">
        <v>0</v>
      </c>
      <c r="P71" s="60"/>
      <c r="Q71" s="38">
        <v>-2516504.2799999998</v>
      </c>
      <c r="R71" s="60"/>
      <c r="S71" s="38">
        <v>9099</v>
      </c>
      <c r="T71" s="60"/>
      <c r="U71" s="38">
        <v>0</v>
      </c>
      <c r="V71" s="60"/>
      <c r="W71" s="38">
        <v>7489614.6200000001</v>
      </c>
      <c r="X71" s="60"/>
      <c r="Y71" s="38">
        <v>0</v>
      </c>
      <c r="Z71" s="60"/>
      <c r="AA71" s="38">
        <f>-97470711+6135470.95</f>
        <v>-91335240.049999997</v>
      </c>
      <c r="AB71" s="60"/>
      <c r="AC71" s="38">
        <v>-1556139.52</v>
      </c>
      <c r="AD71" s="60"/>
      <c r="AE71" s="38">
        <v>259749.42</v>
      </c>
      <c r="AF71" s="60"/>
      <c r="AG71" s="38">
        <v>2467844.79</v>
      </c>
    </row>
    <row r="72" spans="1:33" x14ac:dyDescent="0.25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-225160.30999998748</v>
      </c>
      <c r="F72" s="61">
        <f t="shared" si="13"/>
        <v>0</v>
      </c>
      <c r="G72" s="183">
        <f t="shared" si="13"/>
        <v>1327872.9100000001</v>
      </c>
      <c r="H72" s="61">
        <f>SUM(H70:H71)</f>
        <v>0</v>
      </c>
      <c r="I72" s="183">
        <f>SUM(I70:I71)</f>
        <v>-10461372.939999999</v>
      </c>
      <c r="J72" s="61">
        <f t="shared" si="13"/>
        <v>0</v>
      </c>
      <c r="K72" s="183">
        <f t="shared" si="13"/>
        <v>602395.6100000001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2159749.7200000002</v>
      </c>
      <c r="R72" s="61">
        <f>SUM(R70:R71)</f>
        <v>0</v>
      </c>
      <c r="S72" s="39">
        <f>SUM(S70:S71)</f>
        <v>10374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-1201883.5699999994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7044761.950000003</v>
      </c>
      <c r="AB72" s="61">
        <f t="shared" si="13"/>
        <v>0</v>
      </c>
      <c r="AC72" s="39">
        <f t="shared" si="13"/>
        <v>-1440653.5</v>
      </c>
      <c r="AD72" s="61">
        <f>SUM(AD70:AD71)</f>
        <v>0</v>
      </c>
      <c r="AE72" s="183">
        <f>SUM(AE70:AE71)</f>
        <v>-84369.00999999998</v>
      </c>
      <c r="AF72" s="61">
        <f t="shared" si="13"/>
        <v>0</v>
      </c>
      <c r="AG72" s="183">
        <f t="shared" si="13"/>
        <v>1817964.52</v>
      </c>
    </row>
    <row r="73" spans="1:33" x14ac:dyDescent="0.25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82">
        <f t="shared" ref="E73:E81" si="15">G73+K73+M73+O73+Q73+U73+W73+AA73+AC73+AG73+Y73+I73+AE73+S73</f>
        <v>-909291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-909291</v>
      </c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15126773.890000001</v>
      </c>
      <c r="F74" s="65"/>
      <c r="G74" s="66">
        <f>-2688636.37</f>
        <v>-2688636.37</v>
      </c>
      <c r="H74" s="65"/>
      <c r="I74" s="66">
        <v>185518.68</v>
      </c>
      <c r="J74" s="65"/>
      <c r="K74" s="66">
        <f>-825834.8-296532</f>
        <v>-1122366.8</v>
      </c>
      <c r="L74" s="65"/>
      <c r="M74" s="66">
        <v>0</v>
      </c>
      <c r="N74" s="65"/>
      <c r="O74" s="66">
        <v>0</v>
      </c>
      <c r="P74" s="65"/>
      <c r="Q74" s="66">
        <v>6011074.54</v>
      </c>
      <c r="R74" s="65"/>
      <c r="S74" s="66">
        <v>45044.78</v>
      </c>
      <c r="T74" s="65"/>
      <c r="U74" s="66">
        <v>0</v>
      </c>
      <c r="V74" s="65"/>
      <c r="W74" s="66">
        <v>-63468.65</v>
      </c>
      <c r="X74" s="65"/>
      <c r="Y74" s="66">
        <f>8471131.66-2138554.25</f>
        <v>6332577.4100000001</v>
      </c>
      <c r="Z74" s="65"/>
      <c r="AA74" s="180">
        <v>2564016</v>
      </c>
      <c r="AB74" s="65"/>
      <c r="AC74" s="180">
        <v>7670330.29</v>
      </c>
      <c r="AD74" s="65"/>
      <c r="AE74" s="66">
        <v>-550</v>
      </c>
      <c r="AF74" s="65"/>
      <c r="AG74" s="180">
        <v>-3806765.99</v>
      </c>
    </row>
    <row r="75" spans="1:33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44400</v>
      </c>
      <c r="F75" s="65"/>
      <c r="G75" s="38">
        <v>76200</v>
      </c>
      <c r="H75" s="65"/>
      <c r="I75" s="38">
        <v>0</v>
      </c>
      <c r="J75" s="65"/>
      <c r="K75" s="38">
        <v>-34400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2600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5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-2158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-2158</v>
      </c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-105000</v>
      </c>
      <c r="F77" s="65"/>
      <c r="G77" s="38"/>
      <c r="H77" s="65"/>
      <c r="I77" s="38"/>
      <c r="J77" s="65"/>
      <c r="K77" s="38">
        <v>-105000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311714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311714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3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18232611.580000013</v>
      </c>
      <c r="F82" s="91">
        <f>F16+F24+F29+F36+F43+F45+F47+F49</f>
        <v>0</v>
      </c>
      <c r="G82" s="92">
        <f>SUM(G72:G81)+G16+G24+G29+G36+G43+G45+G47+G49+G51+G56+G61+G66</f>
        <v>-6667077</v>
      </c>
      <c r="H82" s="91">
        <f>H16+H24+H29+H36+H43+H45+H47+H49</f>
        <v>0</v>
      </c>
      <c r="I82" s="92">
        <f>SUM(I72:I81)+I16+I24+I29+I36+I43+I45+I47+I49+I51+I56+I61+I66</f>
        <v>-9896370.3000000007</v>
      </c>
      <c r="J82" s="91">
        <f>J16+J24+J29+J36+J43+J45+J47+J49</f>
        <v>0</v>
      </c>
      <c r="K82" s="92">
        <f>SUM(K72:K81)+K16+K24+K29+K36+K43+K45+K47+K49+K51+K56+K61+K66</f>
        <v>-2931017.76</v>
      </c>
      <c r="L82" s="91">
        <f>L16+L24+L29+L36+L43+L45+L47+L49</f>
        <v>0</v>
      </c>
      <c r="M82" s="92">
        <f>SUM(M72:M81)+M16+M24+M29+M36+M43+M45+M47+M49+M51+M56+M61+M66</f>
        <v>-212774.63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17113673.420000002</v>
      </c>
      <c r="R82" s="91">
        <f>R16+R24+R29+R36+R43+R45+R47+R49</f>
        <v>0</v>
      </c>
      <c r="S82" s="92">
        <f>SUM(S72:S81)+S16+S24+S29+S36+S43+S45+S47+S49+S51+S56+S61+S66</f>
        <v>206632.77000000002</v>
      </c>
      <c r="T82" s="91">
        <f>T16+T24+T29+T36+T43+T45+T47+T49</f>
        <v>0</v>
      </c>
      <c r="U82" s="92">
        <f>SUM(U72:U81)+U16+U24+U29+U36+U43+U45+U47+U49+U51+U56+U61+U66</f>
        <v>-2901.6</v>
      </c>
      <c r="V82" s="91">
        <f>V16+V24+V29+V36+V43+V45+V47+V49</f>
        <v>0</v>
      </c>
      <c r="W82" s="92">
        <f>SUM(W72:W81)+W16+W24+W29+W36+W43+W45+W47+W49+W51+W56+W61+W66</f>
        <v>-2708165.9099999992</v>
      </c>
      <c r="X82" s="91">
        <f>X16+X24+X29+X36+X43+X45+X47+X49</f>
        <v>0</v>
      </c>
      <c r="Y82" s="92">
        <f>SUM(Y72:Y81)+Y16+Y24+Y29+Y36+Y43+Y45+Y47+Y49+Y51+Y56+Y61+Y66</f>
        <v>4034879.04</v>
      </c>
      <c r="Z82" s="91">
        <f>Z16+Z24+Z29+Z36+Z43+Z45+Z47+Z49</f>
        <v>0</v>
      </c>
      <c r="AA82" s="92">
        <f>SUM(AA72:AA81)+AA16+AA24+AA29+AA36+AA43+AA45+AA47+AA49+AA51+AA56+AA61+AA66</f>
        <v>8697328.950000003</v>
      </c>
      <c r="AB82" s="91">
        <f>AB16+AB24+AB29+AB36+AB43+AB45+AB47+AB49</f>
        <v>0</v>
      </c>
      <c r="AC82" s="92">
        <f>SUM(AC72:AC81)+AC16+AC24+AC29+AC36+AC43+AC45+AC47+AC49+AC51+AC56+AC61+AC66</f>
        <v>1538161.08</v>
      </c>
      <c r="AD82" s="91">
        <f>AD16+AD24+AD29+AD36+AD43+AD45+AD47+AD49</f>
        <v>0</v>
      </c>
      <c r="AE82" s="92">
        <f>SUM(AE72:AE81)+AE16+AE24+AE29+AE36+AE43+AE45+AE47+AE49+AE51+AE56+AE61+AE66</f>
        <v>-841695.51</v>
      </c>
      <c r="AF82" s="91">
        <f>AF16+AF24+AF29+AF36+AF43+AF45+AF47+AF49</f>
        <v>0</v>
      </c>
      <c r="AG82" s="92">
        <f>SUM(AG72:AG81)+AG16+AG24+AG29+AG36+AG43+AG45+AG47+AG49+AG51+AG56+AG61+AG66</f>
        <v>9901939.0299999993</v>
      </c>
      <c r="AH82" s="93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O84" s="45"/>
    </row>
    <row r="85" spans="1:34" x14ac:dyDescent="0.25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5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269082.06000000006</v>
      </c>
      <c r="F86" s="145"/>
      <c r="G86" s="145">
        <v>0</v>
      </c>
      <c r="H86" s="145"/>
      <c r="I86" s="145">
        <v>0</v>
      </c>
      <c r="J86" s="145"/>
      <c r="K86" s="184">
        <v>330612.69</v>
      </c>
      <c r="L86" s="145"/>
      <c r="M86" s="145"/>
      <c r="N86" s="145"/>
      <c r="O86" s="145"/>
      <c r="P86" s="145"/>
      <c r="Q86" s="145"/>
      <c r="R86" s="145"/>
      <c r="S86" s="145">
        <v>-324309.77</v>
      </c>
      <c r="T86" s="145"/>
      <c r="U86" s="145"/>
      <c r="V86" s="145"/>
      <c r="W86" s="145">
        <v>0</v>
      </c>
      <c r="X86" s="145"/>
      <c r="Y86" s="145">
        <f>5576.66-723748.76-409408.67+1243742.11+41758.09-51781.8</f>
        <v>106137.63000000008</v>
      </c>
      <c r="Z86" s="145"/>
      <c r="AA86" s="145"/>
      <c r="AB86" s="145"/>
      <c r="AC86" s="145">
        <f>156641.51-1440653.5+1556139.52-115486.02</f>
        <v>156641.51</v>
      </c>
      <c r="AD86" s="145"/>
      <c r="AE86" s="145"/>
      <c r="AF86" s="145"/>
      <c r="AG86" s="145"/>
    </row>
    <row r="87" spans="1:34" s="3" customFormat="1" x14ac:dyDescent="0.25">
      <c r="A87" s="144"/>
      <c r="C87" s="10" t="s">
        <v>71</v>
      </c>
      <c r="D87" s="60">
        <f t="shared" si="16"/>
        <v>0</v>
      </c>
      <c r="E87" s="182">
        <f t="shared" si="16"/>
        <v>-22020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-21752</v>
      </c>
      <c r="AD87" s="146"/>
      <c r="AE87" s="146"/>
      <c r="AF87" s="146"/>
      <c r="AG87" s="146"/>
    </row>
    <row r="88" spans="1:34" s="3" customFormat="1" x14ac:dyDescent="0.25">
      <c r="A88" s="144"/>
      <c r="C88" s="10" t="s">
        <v>72</v>
      </c>
      <c r="D88" s="60">
        <f t="shared" si="16"/>
        <v>0</v>
      </c>
      <c r="E88" s="182">
        <f t="shared" si="16"/>
        <v>-1455000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-1455000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5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-1207937.94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330612.69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-324577.77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-1348862.3699999999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134889.51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5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5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17024673.640000012</v>
      </c>
      <c r="F91" s="160">
        <f t="shared" si="19"/>
        <v>0</v>
      </c>
      <c r="G91" s="160">
        <f t="shared" si="19"/>
        <v>-6667077</v>
      </c>
      <c r="H91" s="160">
        <f>+H82+H89</f>
        <v>0</v>
      </c>
      <c r="I91" s="160">
        <f>+I82+I89</f>
        <v>-9896370.3000000007</v>
      </c>
      <c r="J91" s="160">
        <f t="shared" si="19"/>
        <v>0</v>
      </c>
      <c r="K91" s="160">
        <f t="shared" si="19"/>
        <v>-2600405.0699999998</v>
      </c>
      <c r="L91" s="160">
        <f t="shared" si="19"/>
        <v>0</v>
      </c>
      <c r="M91" s="160">
        <f t="shared" si="19"/>
        <v>-212774.63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17113673.420000002</v>
      </c>
      <c r="R91" s="160">
        <f>+R82+R89</f>
        <v>0</v>
      </c>
      <c r="S91" s="160">
        <f>+S82+S89</f>
        <v>-117945</v>
      </c>
      <c r="T91" s="160">
        <f t="shared" si="20"/>
        <v>0</v>
      </c>
      <c r="U91" s="160">
        <f t="shared" si="20"/>
        <v>-2901.6</v>
      </c>
      <c r="V91" s="160">
        <f t="shared" si="20"/>
        <v>0</v>
      </c>
      <c r="W91" s="160">
        <f t="shared" si="20"/>
        <v>-2708165.9099999992</v>
      </c>
      <c r="X91" s="160">
        <f>+X82+X89</f>
        <v>0</v>
      </c>
      <c r="Y91" s="160">
        <f>+Y82+Y89</f>
        <v>2686016.67</v>
      </c>
      <c r="Z91" s="160">
        <f t="shared" si="20"/>
        <v>0</v>
      </c>
      <c r="AA91" s="160">
        <f t="shared" si="20"/>
        <v>8697328.950000003</v>
      </c>
      <c r="AB91" s="160">
        <f t="shared" si="20"/>
        <v>0</v>
      </c>
      <c r="AC91" s="160">
        <f t="shared" si="20"/>
        <v>1673050.59</v>
      </c>
      <c r="AD91" s="160">
        <f>+AD82+AD89</f>
        <v>0</v>
      </c>
      <c r="AE91" s="160">
        <f>+AE82+AE89</f>
        <v>-841695.51</v>
      </c>
      <c r="AF91" s="160">
        <f t="shared" si="20"/>
        <v>0</v>
      </c>
      <c r="AG91" s="160">
        <f t="shared" si="20"/>
        <v>9901939.0299999993</v>
      </c>
    </row>
    <row r="92" spans="1:34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5">
      <c r="A93" s="4"/>
      <c r="B93" s="3"/>
    </row>
    <row r="94" spans="1:34" x14ac:dyDescent="0.25">
      <c r="A94" s="4"/>
      <c r="B94" s="3"/>
      <c r="E94" s="171">
        <f>+E74+E12+E20</f>
        <v>20411999.890000001</v>
      </c>
      <c r="G94" s="163">
        <f>+G12+G20+G74</f>
        <v>-8071149.9100000001</v>
      </c>
      <c r="I94" s="163">
        <f>+I12+I20+I74</f>
        <v>565002.6399999999</v>
      </c>
      <c r="K94" s="163">
        <f>+K12+K20+K74</f>
        <v>-3394013.37</v>
      </c>
      <c r="M94" s="163">
        <f>+M12+M20+M74</f>
        <v>-212774.63</v>
      </c>
      <c r="O94" s="163">
        <f>+O12+O20+O74</f>
        <v>0</v>
      </c>
      <c r="Q94" s="163">
        <f>+Q12+Q20+Q74</f>
        <v>14953923.699999999</v>
      </c>
      <c r="S94" s="163">
        <f>+S12+S20+S74</f>
        <v>-115455.23000000001</v>
      </c>
      <c r="U94" s="163">
        <f>+U12+U20+U74</f>
        <v>-2901.6</v>
      </c>
      <c r="W94" s="163">
        <f>+W12+W20+W74</f>
        <v>-1508882.3399999999</v>
      </c>
      <c r="Y94" s="163">
        <f>+Y12+Y20+Y74</f>
        <v>5328772.04</v>
      </c>
      <c r="AA94" s="163">
        <f>+AA12+AA20+AA74</f>
        <v>2564016</v>
      </c>
      <c r="AC94" s="163">
        <f>+AC12+AC20+AC74</f>
        <v>2978814.5799999991</v>
      </c>
      <c r="AE94" s="163">
        <f>+AE12+AE20+AE74</f>
        <v>-757326.5</v>
      </c>
      <c r="AG94" s="163">
        <f>+AG12+AG20+AG74</f>
        <v>8083974.5099999998</v>
      </c>
    </row>
    <row r="95" spans="1:34" x14ac:dyDescent="0.25">
      <c r="A95" s="4"/>
      <c r="B95" s="3"/>
      <c r="E95" s="171">
        <v>20412000</v>
      </c>
    </row>
    <row r="96" spans="1:34" x14ac:dyDescent="0.25">
      <c r="A96" s="4"/>
      <c r="B96" s="3"/>
      <c r="E96" s="171">
        <f>+E94-E95</f>
        <v>-0.10999999940395355</v>
      </c>
    </row>
    <row r="97" spans="1:5" x14ac:dyDescent="0.25">
      <c r="A97" s="4"/>
      <c r="B97" s="3"/>
      <c r="E97" s="171">
        <v>369377</v>
      </c>
    </row>
    <row r="98" spans="1:5" x14ac:dyDescent="0.25">
      <c r="A98" s="4"/>
      <c r="B98" s="3"/>
      <c r="E98" s="171">
        <f>+E97-E96</f>
        <v>369377.1099999994</v>
      </c>
    </row>
    <row r="99" spans="1:5" x14ac:dyDescent="0.25">
      <c r="A99" s="4"/>
      <c r="B99" s="3"/>
      <c r="E99" s="171">
        <v>-72845</v>
      </c>
    </row>
    <row r="100" spans="1:5" x14ac:dyDescent="0.25">
      <c r="A100" s="4"/>
      <c r="B100" s="3"/>
      <c r="E100" s="171">
        <f>+E98+E99</f>
        <v>296532.1099999994</v>
      </c>
    </row>
    <row r="101" spans="1:5" x14ac:dyDescent="0.25">
      <c r="A101" s="4"/>
      <c r="B101" s="3"/>
    </row>
    <row r="102" spans="1:5" x14ac:dyDescent="0.25">
      <c r="A102" s="4"/>
      <c r="B102" s="3"/>
    </row>
    <row r="103" spans="1:5" x14ac:dyDescent="0.25">
      <c r="A103" s="4"/>
      <c r="B103" s="3"/>
    </row>
    <row r="104" spans="1:5" x14ac:dyDescent="0.25">
      <c r="A104" s="4"/>
      <c r="B104" s="3"/>
    </row>
    <row r="105" spans="1:5" x14ac:dyDescent="0.25">
      <c r="A105" s="4"/>
      <c r="B105" s="3"/>
    </row>
    <row r="106" spans="1:5" x14ac:dyDescent="0.25">
      <c r="A106" s="4"/>
      <c r="B106" s="3"/>
    </row>
    <row r="107" spans="1:5" x14ac:dyDescent="0.25">
      <c r="A107" s="4"/>
      <c r="B107" s="3"/>
    </row>
    <row r="108" spans="1:5" x14ac:dyDescent="0.25">
      <c r="A108" s="4"/>
      <c r="B108" s="3"/>
    </row>
    <row r="109" spans="1:5" x14ac:dyDescent="0.25">
      <c r="A109" s="4"/>
      <c r="B109" s="3"/>
    </row>
    <row r="110" spans="1:5" x14ac:dyDescent="0.25">
      <c r="A110" s="4"/>
      <c r="B110" s="3"/>
    </row>
    <row r="111" spans="1:5" x14ac:dyDescent="0.25">
      <c r="A111" s="4"/>
      <c r="B111" s="3"/>
    </row>
    <row r="112" spans="1:5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7" sqref="D1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116508088</v>
      </c>
      <c r="E11" s="146">
        <v>308538812</v>
      </c>
      <c r="F11" s="60">
        <f>H11-D11</f>
        <v>0</v>
      </c>
      <c r="G11" s="37">
        <f>I11-E11</f>
        <v>0</v>
      </c>
      <c r="H11" s="65">
        <f t="shared" ref="H11:I15" si="0">D11</f>
        <v>116508088</v>
      </c>
      <c r="I11" s="66">
        <f t="shared" si="0"/>
        <v>308538812</v>
      </c>
      <c r="J11" s="37"/>
      <c r="K11" s="38"/>
      <c r="L11" s="60">
        <f t="shared" ref="L11:M15" si="1">H11+J11</f>
        <v>116508088</v>
      </c>
      <c r="M11" s="38">
        <f t="shared" si="1"/>
        <v>308538812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61546610</v>
      </c>
      <c r="E13" s="146">
        <v>166771061</v>
      </c>
      <c r="F13" s="60">
        <f t="shared" si="2"/>
        <v>0</v>
      </c>
      <c r="G13" s="37">
        <f t="shared" si="2"/>
        <v>0</v>
      </c>
      <c r="H13" s="65">
        <f t="shared" si="0"/>
        <v>61546610</v>
      </c>
      <c r="I13" s="66">
        <f t="shared" si="0"/>
        <v>166771061</v>
      </c>
      <c r="J13" s="37"/>
      <c r="K13" s="38"/>
      <c r="L13" s="60">
        <f t="shared" si="1"/>
        <v>61546610</v>
      </c>
      <c r="M13" s="38">
        <f t="shared" si="1"/>
        <v>166771061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178054698</v>
      </c>
      <c r="E16" s="166">
        <v>475309873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178054698</v>
      </c>
      <c r="I16" s="39">
        <f>SUM(I11:I15)</f>
        <v>475309873</v>
      </c>
      <c r="J16" s="133">
        <f t="shared" si="3"/>
        <v>0</v>
      </c>
      <c r="K16" s="39">
        <f t="shared" si="3"/>
        <v>0</v>
      </c>
      <c r="L16" s="61">
        <f t="shared" si="3"/>
        <v>178054698</v>
      </c>
      <c r="M16" s="39">
        <f t="shared" si="3"/>
        <v>475309873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-128554086</v>
      </c>
      <c r="E19" s="146">
        <v>-336205659</v>
      </c>
      <c r="F19" s="60">
        <f>H19-D19</f>
        <v>0</v>
      </c>
      <c r="G19" s="37">
        <f>I19-E19</f>
        <v>0</v>
      </c>
      <c r="H19" s="65">
        <f t="shared" si="4"/>
        <v>-128554086</v>
      </c>
      <c r="I19" s="66">
        <f t="shared" si="4"/>
        <v>-336205659</v>
      </c>
      <c r="J19" s="37">
        <v>0</v>
      </c>
      <c r="K19" s="38">
        <v>0</v>
      </c>
      <c r="L19" s="60">
        <f t="shared" ref="L19:M23" si="5">H19+J19</f>
        <v>-128554086</v>
      </c>
      <c r="M19" s="38">
        <f t="shared" si="5"/>
        <v>-336205659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-49918130</v>
      </c>
      <c r="E21" s="146">
        <v>-136924342</v>
      </c>
      <c r="F21" s="60">
        <f t="shared" si="6"/>
        <v>0</v>
      </c>
      <c r="G21" s="37">
        <f t="shared" si="6"/>
        <v>0</v>
      </c>
      <c r="H21" s="65">
        <f t="shared" si="4"/>
        <v>-49918130</v>
      </c>
      <c r="I21" s="66">
        <f t="shared" si="4"/>
        <v>-136924342</v>
      </c>
      <c r="J21" s="37"/>
      <c r="K21" s="38"/>
      <c r="L21" s="60">
        <f t="shared" si="5"/>
        <v>-49918130</v>
      </c>
      <c r="M21" s="38">
        <f t="shared" si="5"/>
        <v>-136924342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289627</v>
      </c>
      <c r="E23" s="146">
        <v>779479</v>
      </c>
      <c r="F23" s="60">
        <f t="shared" si="6"/>
        <v>0</v>
      </c>
      <c r="G23" s="37">
        <f t="shared" si="6"/>
        <v>0</v>
      </c>
      <c r="H23" s="65">
        <f t="shared" si="4"/>
        <v>289627</v>
      </c>
      <c r="I23" s="66">
        <f t="shared" si="4"/>
        <v>779479</v>
      </c>
      <c r="J23" s="37"/>
      <c r="K23" s="38"/>
      <c r="L23" s="60">
        <f t="shared" si="5"/>
        <v>289627</v>
      </c>
      <c r="M23" s="38">
        <f t="shared" si="5"/>
        <v>779479</v>
      </c>
    </row>
    <row r="24" spans="1:13" x14ac:dyDescent="0.25">
      <c r="A24" s="9"/>
      <c r="B24" s="7" t="s">
        <v>33</v>
      </c>
      <c r="C24" s="6"/>
      <c r="D24" s="166">
        <v>-178182589</v>
      </c>
      <c r="E24" s="166">
        <v>-472350522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-178182589</v>
      </c>
      <c r="I24" s="39">
        <f>SUM(I19:I23)</f>
        <v>-472350522</v>
      </c>
      <c r="J24" s="133">
        <f t="shared" si="7"/>
        <v>0</v>
      </c>
      <c r="K24" s="39">
        <f t="shared" si="7"/>
        <v>0</v>
      </c>
      <c r="L24" s="61">
        <f t="shared" si="7"/>
        <v>-178182589</v>
      </c>
      <c r="M24" s="39">
        <f t="shared" si="7"/>
        <v>-472350522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40279</v>
      </c>
      <c r="E32" s="146">
        <v>114717</v>
      </c>
      <c r="F32" s="60">
        <f>H32-D32</f>
        <v>0</v>
      </c>
      <c r="G32" s="37">
        <f>I32-E32</f>
        <v>0</v>
      </c>
      <c r="H32" s="65">
        <f t="shared" ref="H32:I35" si="9">D32</f>
        <v>40279</v>
      </c>
      <c r="I32" s="66">
        <f t="shared" si="9"/>
        <v>114717</v>
      </c>
      <c r="J32" s="37"/>
      <c r="K32" s="38"/>
      <c r="L32" s="60">
        <f t="shared" ref="L32:M35" si="10">H32+J32</f>
        <v>40279</v>
      </c>
      <c r="M32" s="38">
        <f t="shared" si="10"/>
        <v>114717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293838</v>
      </c>
      <c r="E35" s="146">
        <v>753822</v>
      </c>
      <c r="F35" s="60">
        <f t="shared" si="11"/>
        <v>0</v>
      </c>
      <c r="G35" s="37">
        <f t="shared" si="11"/>
        <v>0</v>
      </c>
      <c r="H35" s="65">
        <f t="shared" si="9"/>
        <v>293838</v>
      </c>
      <c r="I35" s="66">
        <f t="shared" si="9"/>
        <v>753822</v>
      </c>
      <c r="J35" s="37">
        <v>0</v>
      </c>
      <c r="K35" s="38">
        <v>0</v>
      </c>
      <c r="L35" s="60">
        <f t="shared" si="10"/>
        <v>293838</v>
      </c>
      <c r="M35" s="38">
        <f t="shared" si="10"/>
        <v>753822</v>
      </c>
    </row>
    <row r="36" spans="1:13" x14ac:dyDescent="0.25">
      <c r="A36" s="9"/>
      <c r="B36" s="7" t="s">
        <v>43</v>
      </c>
      <c r="C36" s="6"/>
      <c r="D36" s="166">
        <v>334117</v>
      </c>
      <c r="E36" s="166">
        <v>868539</v>
      </c>
      <c r="F36" s="61">
        <f>SUM(F32:F35)</f>
        <v>0</v>
      </c>
      <c r="G36" s="39">
        <f>SUM(G32:G35)</f>
        <v>0</v>
      </c>
      <c r="H36" s="61">
        <f>SUM(H32:H35)</f>
        <v>334117</v>
      </c>
      <c r="I36" s="39">
        <f>SUM(I32:I35)</f>
        <v>868539</v>
      </c>
      <c r="J36" s="133">
        <f>SUM(J32:J34)</f>
        <v>0</v>
      </c>
      <c r="K36" s="39">
        <f>SUM(K32:K34)</f>
        <v>0</v>
      </c>
      <c r="L36" s="61">
        <f>SUM(L32:L35)</f>
        <v>334117</v>
      </c>
      <c r="M36" s="39">
        <f>SUM(M32:M35)</f>
        <v>868539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7855</v>
      </c>
      <c r="E39" s="146">
        <v>20423</v>
      </c>
      <c r="F39" s="60">
        <f t="shared" ref="F39:G41" si="13">H39-D39</f>
        <v>0</v>
      </c>
      <c r="G39" s="37">
        <f t="shared" si="13"/>
        <v>0</v>
      </c>
      <c r="H39" s="65">
        <f t="shared" si="12"/>
        <v>7855</v>
      </c>
      <c r="I39" s="66">
        <f t="shared" si="12"/>
        <v>20423</v>
      </c>
      <c r="J39" s="37"/>
      <c r="K39" s="38"/>
      <c r="L39" s="60">
        <f t="shared" ref="L39:M41" si="14">H39+J39</f>
        <v>7855</v>
      </c>
      <c r="M39" s="38">
        <f t="shared" si="14"/>
        <v>20423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-77949</v>
      </c>
      <c r="E40" s="146">
        <v>-213870</v>
      </c>
      <c r="F40" s="60">
        <f t="shared" si="13"/>
        <v>0</v>
      </c>
      <c r="G40" s="37">
        <f t="shared" si="13"/>
        <v>0</v>
      </c>
      <c r="H40" s="65">
        <f t="shared" si="12"/>
        <v>-77949</v>
      </c>
      <c r="I40" s="66">
        <f t="shared" si="12"/>
        <v>-213870</v>
      </c>
      <c r="J40" s="37"/>
      <c r="K40" s="38"/>
      <c r="L40" s="60">
        <f t="shared" si="14"/>
        <v>-77949</v>
      </c>
      <c r="M40" s="38">
        <f t="shared" si="14"/>
        <v>-213870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-77949</v>
      </c>
      <c r="E42" s="166">
        <v>-213870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-77949</v>
      </c>
      <c r="I42" s="39">
        <f>SUM(I40:I41)</f>
        <v>-213870</v>
      </c>
      <c r="J42" s="133">
        <f t="shared" si="15"/>
        <v>0</v>
      </c>
      <c r="K42" s="39">
        <f t="shared" si="15"/>
        <v>0</v>
      </c>
      <c r="L42" s="61">
        <f t="shared" si="15"/>
        <v>-77949</v>
      </c>
      <c r="M42" s="39">
        <f t="shared" si="15"/>
        <v>-213870</v>
      </c>
    </row>
    <row r="43" spans="1:13" ht="21" customHeight="1" x14ac:dyDescent="0.25">
      <c r="A43" s="9"/>
      <c r="B43" s="7" t="s">
        <v>49</v>
      </c>
      <c r="C43" s="6"/>
      <c r="D43" s="166">
        <v>-70094</v>
      </c>
      <c r="E43" s="166">
        <v>-193447</v>
      </c>
      <c r="F43" s="61">
        <f t="shared" ref="F43:M43" si="16">F42+F39</f>
        <v>0</v>
      </c>
      <c r="G43" s="39">
        <f t="shared" si="16"/>
        <v>0</v>
      </c>
      <c r="H43" s="61">
        <f>H42+H39</f>
        <v>-70094</v>
      </c>
      <c r="I43" s="39">
        <f>I42+I39</f>
        <v>-193447</v>
      </c>
      <c r="J43" s="133">
        <f t="shared" si="16"/>
        <v>0</v>
      </c>
      <c r="K43" s="39">
        <f t="shared" si="16"/>
        <v>0</v>
      </c>
      <c r="L43" s="61">
        <f t="shared" si="16"/>
        <v>-70094</v>
      </c>
      <c r="M43" s="39">
        <f t="shared" si="16"/>
        <v>-193447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-136132</v>
      </c>
      <c r="E49" s="146">
        <v>-348742.95759999997</v>
      </c>
      <c r="F49" s="60">
        <f>H49-D49</f>
        <v>0</v>
      </c>
      <c r="G49" s="37">
        <f>I49-E49</f>
        <v>0</v>
      </c>
      <c r="H49" s="65">
        <f>D49</f>
        <v>-136132</v>
      </c>
      <c r="I49" s="66">
        <f>E49</f>
        <v>-348742.95759999997</v>
      </c>
      <c r="J49" s="37"/>
      <c r="K49" s="38"/>
      <c r="L49" s="60">
        <f>H49+J49</f>
        <v>-136132</v>
      </c>
      <c r="M49" s="38">
        <f>I49+K49</f>
        <v>-348742.95759999997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-289627</v>
      </c>
      <c r="E51" s="146">
        <v>-779479</v>
      </c>
      <c r="F51" s="60">
        <f>H51-D51</f>
        <v>0</v>
      </c>
      <c r="G51" s="37">
        <f>I51-E51</f>
        <v>0</v>
      </c>
      <c r="H51" s="65">
        <f>D51</f>
        <v>-289627</v>
      </c>
      <c r="I51" s="66">
        <f>E51</f>
        <v>-779479</v>
      </c>
      <c r="J51" s="37"/>
      <c r="K51" s="38"/>
      <c r="L51" s="60">
        <f>H51+J51</f>
        <v>-289627</v>
      </c>
      <c r="M51" s="38">
        <f>I51+K51</f>
        <v>-779479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-619299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-619299</v>
      </c>
      <c r="J54" s="37"/>
      <c r="K54" s="38"/>
      <c r="L54" s="60">
        <f>H54+J54</f>
        <v>0</v>
      </c>
      <c r="M54" s="38">
        <f>I54+K54</f>
        <v>-619299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-1568114.87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-1568114.87</v>
      </c>
      <c r="J55" s="37"/>
      <c r="K55" s="38"/>
      <c r="L55" s="60">
        <f>H55+J55</f>
        <v>0</v>
      </c>
      <c r="M55" s="38">
        <f>I55+K55</f>
        <v>-1568114.87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-2187413.87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-2187413.87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-2187413.87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5834127.908400001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5834127.908400001</v>
      </c>
      <c r="J70" s="37"/>
      <c r="K70" s="38"/>
      <c r="L70" s="60">
        <f t="shared" si="20"/>
        <v>0</v>
      </c>
      <c r="M70" s="38">
        <f t="shared" si="20"/>
        <v>5834127.908400001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-4341731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-4341731</v>
      </c>
      <c r="J71" s="37"/>
      <c r="K71" s="38"/>
      <c r="L71" s="60">
        <f t="shared" si="20"/>
        <v>0</v>
      </c>
      <c r="M71" s="38">
        <f t="shared" si="20"/>
        <v>-4341731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1492396.908400001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1492396.908400001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1492396.908400001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-2215910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-2215910</v>
      </c>
      <c r="J74" s="37"/>
      <c r="K74" s="38"/>
      <c r="L74" s="60">
        <f t="shared" si="24"/>
        <v>0</v>
      </c>
      <c r="M74" s="38">
        <f t="shared" si="24"/>
        <v>-2215910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76235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76235</v>
      </c>
      <c r="J75" s="37"/>
      <c r="K75" s="38"/>
      <c r="L75" s="60">
        <f t="shared" si="24"/>
        <v>0</v>
      </c>
      <c r="M75" s="38">
        <f t="shared" si="24"/>
        <v>76235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0</v>
      </c>
      <c r="J79" s="37"/>
      <c r="K79" s="38"/>
      <c r="L79" s="60">
        <f t="shared" si="24"/>
        <v>0</v>
      </c>
      <c r="M79" s="38">
        <f t="shared" si="24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65633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65633</v>
      </c>
      <c r="J81" s="37"/>
      <c r="K81" s="38"/>
      <c r="L81" s="60">
        <f t="shared" si="24"/>
        <v>0</v>
      </c>
      <c r="M81" s="38">
        <f t="shared" si="24"/>
        <v>65633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-262837.91920000082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-262837.91920000082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-262837.91920000082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8" sqref="D1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5734577</v>
      </c>
      <c r="E11" s="146">
        <v>14607219</v>
      </c>
      <c r="F11" s="60">
        <f>H11-D11</f>
        <v>0</v>
      </c>
      <c r="G11" s="37">
        <f>I11-E11</f>
        <v>0</v>
      </c>
      <c r="H11" s="65">
        <f t="shared" ref="H11:I15" si="0">D11</f>
        <v>5734577</v>
      </c>
      <c r="I11" s="66">
        <f t="shared" si="0"/>
        <v>14607219</v>
      </c>
      <c r="J11" s="37"/>
      <c r="K11" s="38"/>
      <c r="L11" s="60">
        <f t="shared" ref="L11:M15" si="1">H11+J11</f>
        <v>5734577</v>
      </c>
      <c r="M11" s="38">
        <f t="shared" si="1"/>
        <v>14607219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5233176</v>
      </c>
      <c r="E13" s="146">
        <v>14876167</v>
      </c>
      <c r="F13" s="60">
        <f t="shared" si="2"/>
        <v>0</v>
      </c>
      <c r="G13" s="37">
        <f t="shared" si="2"/>
        <v>0</v>
      </c>
      <c r="H13" s="65">
        <f t="shared" si="0"/>
        <v>5233176</v>
      </c>
      <c r="I13" s="66">
        <f t="shared" si="0"/>
        <v>14876167</v>
      </c>
      <c r="J13" s="37"/>
      <c r="K13" s="38"/>
      <c r="L13" s="60">
        <f t="shared" si="1"/>
        <v>5233176</v>
      </c>
      <c r="M13" s="38">
        <f t="shared" si="1"/>
        <v>14876167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10967753</v>
      </c>
      <c r="E16" s="166">
        <v>29483386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10967753</v>
      </c>
      <c r="I16" s="39">
        <f>SUM(I11:I15)</f>
        <v>29483386</v>
      </c>
      <c r="J16" s="133">
        <f t="shared" si="3"/>
        <v>0</v>
      </c>
      <c r="K16" s="39">
        <f t="shared" si="3"/>
        <v>0</v>
      </c>
      <c r="L16" s="61">
        <f t="shared" si="3"/>
        <v>10967753</v>
      </c>
      <c r="M16" s="39">
        <f t="shared" si="3"/>
        <v>29483386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-1148538</v>
      </c>
      <c r="E19" s="146">
        <v>-3191882</v>
      </c>
      <c r="F19" s="60">
        <f>H19-D19</f>
        <v>0</v>
      </c>
      <c r="G19" s="37">
        <f>I19-E19</f>
        <v>0</v>
      </c>
      <c r="H19" s="65">
        <f t="shared" si="4"/>
        <v>-1148538</v>
      </c>
      <c r="I19" s="66">
        <f t="shared" si="4"/>
        <v>-3191882</v>
      </c>
      <c r="J19" s="37">
        <v>0</v>
      </c>
      <c r="K19" s="38">
        <v>0</v>
      </c>
      <c r="L19" s="60">
        <f t="shared" ref="L19:M23" si="5">H19+J19</f>
        <v>-1148538</v>
      </c>
      <c r="M19" s="38">
        <f t="shared" si="5"/>
        <v>-3191882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-9900325</v>
      </c>
      <c r="E21" s="146">
        <v>-26658650</v>
      </c>
      <c r="F21" s="60">
        <f t="shared" si="6"/>
        <v>0</v>
      </c>
      <c r="G21" s="37">
        <f t="shared" si="6"/>
        <v>0</v>
      </c>
      <c r="H21" s="65">
        <f t="shared" si="4"/>
        <v>-9900325</v>
      </c>
      <c r="I21" s="66">
        <f t="shared" si="4"/>
        <v>-26658650</v>
      </c>
      <c r="J21" s="37"/>
      <c r="K21" s="38"/>
      <c r="L21" s="60">
        <f t="shared" si="5"/>
        <v>-9900325</v>
      </c>
      <c r="M21" s="38">
        <f t="shared" si="5"/>
        <v>-26658650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3504</v>
      </c>
      <c r="E23" s="146">
        <v>9683</v>
      </c>
      <c r="F23" s="60">
        <f t="shared" si="6"/>
        <v>0</v>
      </c>
      <c r="G23" s="37">
        <f t="shared" si="6"/>
        <v>0</v>
      </c>
      <c r="H23" s="65">
        <f t="shared" si="4"/>
        <v>3504</v>
      </c>
      <c r="I23" s="66">
        <f t="shared" si="4"/>
        <v>9683</v>
      </c>
      <c r="J23" s="37"/>
      <c r="K23" s="38"/>
      <c r="L23" s="60">
        <f t="shared" si="5"/>
        <v>3504</v>
      </c>
      <c r="M23" s="38">
        <f t="shared" si="5"/>
        <v>9683</v>
      </c>
    </row>
    <row r="24" spans="1:13" x14ac:dyDescent="0.25">
      <c r="A24" s="9"/>
      <c r="B24" s="7" t="s">
        <v>33</v>
      </c>
      <c r="C24" s="6"/>
      <c r="D24" s="166">
        <v>-11045359</v>
      </c>
      <c r="E24" s="166">
        <v>-29840849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-11045359</v>
      </c>
      <c r="I24" s="39">
        <f>SUM(I19:I23)</f>
        <v>-29840849</v>
      </c>
      <c r="J24" s="133">
        <f t="shared" si="7"/>
        <v>0</v>
      </c>
      <c r="K24" s="39">
        <f t="shared" si="7"/>
        <v>0</v>
      </c>
      <c r="L24" s="61">
        <f t="shared" si="7"/>
        <v>-11045359</v>
      </c>
      <c r="M24" s="39">
        <f t="shared" si="7"/>
        <v>-29840849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122429</v>
      </c>
      <c r="E32" s="146">
        <v>369569</v>
      </c>
      <c r="F32" s="60">
        <f>H32-D32</f>
        <v>0</v>
      </c>
      <c r="G32" s="37">
        <f>I32-E32</f>
        <v>0</v>
      </c>
      <c r="H32" s="65">
        <f t="shared" ref="H32:I35" si="9">D32</f>
        <v>122429</v>
      </c>
      <c r="I32" s="66">
        <f t="shared" si="9"/>
        <v>369569</v>
      </c>
      <c r="J32" s="37"/>
      <c r="K32" s="38"/>
      <c r="L32" s="60">
        <f t="shared" ref="L32:M35" si="10">H32+J32</f>
        <v>122429</v>
      </c>
      <c r="M32" s="38">
        <f t="shared" si="10"/>
        <v>369569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122429</v>
      </c>
      <c r="E36" s="166">
        <v>369569</v>
      </c>
      <c r="F36" s="61">
        <f>SUM(F32:F35)</f>
        <v>0</v>
      </c>
      <c r="G36" s="39">
        <f>SUM(G32:G35)</f>
        <v>0</v>
      </c>
      <c r="H36" s="61">
        <f>SUM(H32:H35)</f>
        <v>122429</v>
      </c>
      <c r="I36" s="39">
        <f>SUM(I32:I35)</f>
        <v>369569</v>
      </c>
      <c r="J36" s="133">
        <f>SUM(J32:J34)</f>
        <v>0</v>
      </c>
      <c r="K36" s="39">
        <f>SUM(K32:K34)</f>
        <v>0</v>
      </c>
      <c r="L36" s="61">
        <f>SUM(L32:L35)</f>
        <v>122429</v>
      </c>
      <c r="M36" s="39">
        <f>SUM(M32:M35)</f>
        <v>369569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-44823</v>
      </c>
      <c r="E49" s="146">
        <v>-114076.11150695957</v>
      </c>
      <c r="F49" s="60">
        <f>H49-D49</f>
        <v>0</v>
      </c>
      <c r="G49" s="37">
        <f>I49-E49</f>
        <v>0</v>
      </c>
      <c r="H49" s="65">
        <f>D49</f>
        <v>-44823</v>
      </c>
      <c r="I49" s="66">
        <f>E49</f>
        <v>-114076.11150695957</v>
      </c>
      <c r="J49" s="37"/>
      <c r="K49" s="38"/>
      <c r="L49" s="60">
        <f>H49+J49</f>
        <v>-44823</v>
      </c>
      <c r="M49" s="38">
        <f>I49+K49</f>
        <v>-114076.11150695957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-3504</v>
      </c>
      <c r="E51" s="146">
        <v>-9683</v>
      </c>
      <c r="F51" s="60">
        <f>H51-D51</f>
        <v>0</v>
      </c>
      <c r="G51" s="37">
        <f>I51-E51</f>
        <v>0</v>
      </c>
      <c r="H51" s="65">
        <f>D51</f>
        <v>-3504</v>
      </c>
      <c r="I51" s="66">
        <f>E51</f>
        <v>-9683</v>
      </c>
      <c r="J51" s="37"/>
      <c r="K51" s="38"/>
      <c r="L51" s="60">
        <f>H51+J51</f>
        <v>-3504</v>
      </c>
      <c r="M51" s="38">
        <f>I51+K51</f>
        <v>-9683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-11440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-11440</v>
      </c>
      <c r="J54" s="37"/>
      <c r="K54" s="38"/>
      <c r="L54" s="60">
        <f>H54+J54</f>
        <v>0</v>
      </c>
      <c r="M54" s="38">
        <f>I54+K54</f>
        <v>-11440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-18810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-18810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-18810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-344118.43359999999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-344118.43359999999</v>
      </c>
      <c r="J70" s="37"/>
      <c r="K70" s="38"/>
      <c r="L70" s="60">
        <f t="shared" si="20"/>
        <v>0</v>
      </c>
      <c r="M70" s="38">
        <f t="shared" si="20"/>
        <v>-344118.43359999999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259749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259749</v>
      </c>
      <c r="J71" s="37"/>
      <c r="K71" s="38"/>
      <c r="L71" s="60">
        <f t="shared" si="20"/>
        <v>0</v>
      </c>
      <c r="M71" s="38">
        <f t="shared" si="20"/>
        <v>259749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-84369.433599999989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-84369.433599999989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-84369.433599999989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-140577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-140577</v>
      </c>
      <c r="J74" s="37"/>
      <c r="K74" s="38"/>
      <c r="L74" s="60">
        <f t="shared" si="23"/>
        <v>0</v>
      </c>
      <c r="M74" s="38">
        <f t="shared" si="23"/>
        <v>-140577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330184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330184</v>
      </c>
      <c r="J81" s="37"/>
      <c r="K81" s="38"/>
      <c r="L81" s="60">
        <f t="shared" si="23"/>
        <v>0</v>
      </c>
      <c r="M81" s="38">
        <f t="shared" si="23"/>
        <v>330184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-25225.545106960606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-25225.545106960606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-25225.545106960606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1" sqref="D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15578321</v>
      </c>
      <c r="E11" s="146">
        <v>41740995</v>
      </c>
      <c r="F11" s="60">
        <f>H11-D11</f>
        <v>0</v>
      </c>
      <c r="G11" s="37">
        <f>I11-E11</f>
        <v>0</v>
      </c>
      <c r="H11" s="65">
        <f t="shared" ref="H11:I15" si="0">D11</f>
        <v>15578321</v>
      </c>
      <c r="I11" s="66">
        <f t="shared" si="0"/>
        <v>41740995</v>
      </c>
      <c r="J11" s="37"/>
      <c r="K11" s="38"/>
      <c r="L11" s="60">
        <f t="shared" ref="L11:M15" si="1">H11+J11</f>
        <v>15578321</v>
      </c>
      <c r="M11" s="38">
        <f t="shared" si="1"/>
        <v>41740995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25594555</v>
      </c>
      <c r="E13" s="146">
        <v>71534733</v>
      </c>
      <c r="F13" s="60">
        <f t="shared" si="2"/>
        <v>0</v>
      </c>
      <c r="G13" s="37">
        <f t="shared" si="2"/>
        <v>0</v>
      </c>
      <c r="H13" s="65">
        <f t="shared" si="0"/>
        <v>25594555</v>
      </c>
      <c r="I13" s="66">
        <f t="shared" si="0"/>
        <v>71534733</v>
      </c>
      <c r="J13" s="37"/>
      <c r="K13" s="38"/>
      <c r="L13" s="60">
        <f t="shared" si="1"/>
        <v>25594555</v>
      </c>
      <c r="M13" s="38">
        <f t="shared" si="1"/>
        <v>71534733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2916287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2916287</v>
      </c>
      <c r="J15" s="37"/>
      <c r="K15" s="38"/>
      <c r="L15" s="60">
        <f t="shared" si="1"/>
        <v>0</v>
      </c>
      <c r="M15" s="38">
        <f t="shared" si="1"/>
        <v>2916287</v>
      </c>
    </row>
    <row r="16" spans="1:26" x14ac:dyDescent="0.25">
      <c r="A16" s="9"/>
      <c r="B16" s="7" t="s">
        <v>30</v>
      </c>
      <c r="C16" s="6"/>
      <c r="D16" s="166">
        <v>41172876</v>
      </c>
      <c r="E16" s="166">
        <v>116192015</v>
      </c>
      <c r="F16" s="61">
        <f t="shared" ref="F16:M16" si="3">SUM(F11:F15)</f>
        <v>0</v>
      </c>
      <c r="G16" s="39">
        <f t="shared" si="3"/>
        <v>0</v>
      </c>
      <c r="H16" s="61">
        <f>SUM(H11:H15)</f>
        <v>41172876</v>
      </c>
      <c r="I16" s="39">
        <f>SUM(I11:I15)</f>
        <v>116192015</v>
      </c>
      <c r="J16" s="133">
        <f t="shared" si="3"/>
        <v>0</v>
      </c>
      <c r="K16" s="39">
        <f t="shared" si="3"/>
        <v>0</v>
      </c>
      <c r="L16" s="61">
        <f t="shared" si="3"/>
        <v>41172876</v>
      </c>
      <c r="M16" s="39">
        <f t="shared" si="3"/>
        <v>116192015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-9905967</v>
      </c>
      <c r="E19" s="146">
        <v>-25817305</v>
      </c>
      <c r="F19" s="60">
        <f>H19-D19</f>
        <v>0</v>
      </c>
      <c r="G19" s="37">
        <f>I19-E19</f>
        <v>0</v>
      </c>
      <c r="H19" s="65">
        <f t="shared" si="4"/>
        <v>-9905967</v>
      </c>
      <c r="I19" s="66">
        <f t="shared" si="4"/>
        <v>-25817305</v>
      </c>
      <c r="J19" s="37">
        <v>0</v>
      </c>
      <c r="K19" s="38">
        <v>0</v>
      </c>
      <c r="L19" s="60">
        <f t="shared" ref="L19:M23" si="5">H19+J19</f>
        <v>-9905967</v>
      </c>
      <c r="M19" s="38">
        <f t="shared" si="5"/>
        <v>-25817305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-31542981</v>
      </c>
      <c r="E21" s="146">
        <v>-86688382</v>
      </c>
      <c r="F21" s="60">
        <f t="shared" si="6"/>
        <v>0</v>
      </c>
      <c r="G21" s="37">
        <f t="shared" si="6"/>
        <v>0</v>
      </c>
      <c r="H21" s="65">
        <f t="shared" si="4"/>
        <v>-31542981</v>
      </c>
      <c r="I21" s="66">
        <f t="shared" si="4"/>
        <v>-86688382</v>
      </c>
      <c r="J21" s="37"/>
      <c r="K21" s="38"/>
      <c r="L21" s="60">
        <f t="shared" si="5"/>
        <v>-31542981</v>
      </c>
      <c r="M21" s="38">
        <f t="shared" si="5"/>
        <v>-86688382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277862</v>
      </c>
      <c r="E23" s="146">
        <v>758375</v>
      </c>
      <c r="F23" s="60">
        <f t="shared" si="6"/>
        <v>0</v>
      </c>
      <c r="G23" s="37">
        <f t="shared" si="6"/>
        <v>0</v>
      </c>
      <c r="H23" s="65">
        <f t="shared" si="4"/>
        <v>277862</v>
      </c>
      <c r="I23" s="66">
        <f t="shared" si="4"/>
        <v>758375</v>
      </c>
      <c r="J23" s="37"/>
      <c r="K23" s="38"/>
      <c r="L23" s="60">
        <f t="shared" si="5"/>
        <v>277862</v>
      </c>
      <c r="M23" s="38">
        <f t="shared" si="5"/>
        <v>758375</v>
      </c>
    </row>
    <row r="24" spans="1:13" x14ac:dyDescent="0.25">
      <c r="A24" s="9"/>
      <c r="B24" s="7" t="s">
        <v>33</v>
      </c>
      <c r="C24" s="6"/>
      <c r="D24" s="166">
        <v>-41171086</v>
      </c>
      <c r="E24" s="166">
        <v>-111747312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-41171086</v>
      </c>
      <c r="I24" s="39">
        <f>SUM(I19:I23)</f>
        <v>-111747312</v>
      </c>
      <c r="J24" s="133">
        <f t="shared" si="7"/>
        <v>0</v>
      </c>
      <c r="K24" s="39">
        <f t="shared" si="7"/>
        <v>0</v>
      </c>
      <c r="L24" s="61">
        <f t="shared" si="7"/>
        <v>-41171086</v>
      </c>
      <c r="M24" s="39">
        <f t="shared" si="7"/>
        <v>-111747312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-1790</v>
      </c>
      <c r="E49" s="146">
        <v>-4667.4250000000002</v>
      </c>
      <c r="F49" s="60">
        <f>H49-D49</f>
        <v>0</v>
      </c>
      <c r="G49" s="37">
        <f>I49-E49</f>
        <v>0</v>
      </c>
      <c r="H49" s="65">
        <f>D49</f>
        <v>-1790</v>
      </c>
      <c r="I49" s="66">
        <f>E49</f>
        <v>-4667.4250000000002</v>
      </c>
      <c r="J49" s="37"/>
      <c r="K49" s="38"/>
      <c r="L49" s="60">
        <f>H49+J49</f>
        <v>-1790</v>
      </c>
      <c r="M49" s="38">
        <f>I49+K49</f>
        <v>-4667.4250000000002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-277862</v>
      </c>
      <c r="E51" s="146">
        <v>-758375</v>
      </c>
      <c r="F51" s="60">
        <f>H51-D51</f>
        <v>0</v>
      </c>
      <c r="G51" s="37">
        <f>I51-E51</f>
        <v>0</v>
      </c>
      <c r="H51" s="65">
        <f>D51</f>
        <v>-277862</v>
      </c>
      <c r="I51" s="66">
        <f>E51</f>
        <v>-758375</v>
      </c>
      <c r="J51" s="37"/>
      <c r="K51" s="38"/>
      <c r="L51" s="60">
        <f>H51+J51</f>
        <v>-277862</v>
      </c>
      <c r="M51" s="38">
        <f>I51+K51</f>
        <v>-758375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-134078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-134078</v>
      </c>
      <c r="J54" s="37"/>
      <c r="K54" s="38"/>
      <c r="L54" s="60">
        <f>H54+J54</f>
        <v>0</v>
      </c>
      <c r="M54" s="38">
        <f>I54+K54</f>
        <v>-134078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-2916287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-2916287</v>
      </c>
      <c r="J55" s="37"/>
      <c r="K55" s="38"/>
      <c r="L55" s="60">
        <f>H55+J55</f>
        <v>0</v>
      </c>
      <c r="M55" s="38">
        <f>I55+K55</f>
        <v>-2916287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-3050365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-3050365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-3050365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-1948054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-1948054</v>
      </c>
      <c r="J70" s="37"/>
      <c r="K70" s="38"/>
      <c r="L70" s="60">
        <f t="shared" si="20"/>
        <v>0</v>
      </c>
      <c r="M70" s="38">
        <f t="shared" si="20"/>
        <v>-1948054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-10742902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-10742902</v>
      </c>
      <c r="J71" s="37"/>
      <c r="K71" s="38"/>
      <c r="L71" s="60">
        <f t="shared" si="20"/>
        <v>0</v>
      </c>
      <c r="M71" s="38">
        <f t="shared" si="20"/>
        <v>-10742902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-12690956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-12690956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-12690956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11758324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11758324</v>
      </c>
      <c r="J74" s="37"/>
      <c r="K74" s="38"/>
      <c r="L74" s="60">
        <f t="shared" si="23"/>
        <v>0</v>
      </c>
      <c r="M74" s="38">
        <f t="shared" si="23"/>
        <v>11758324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13249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13249</v>
      </c>
      <c r="J81" s="37"/>
      <c r="K81" s="38"/>
      <c r="L81" s="60">
        <f t="shared" si="23"/>
        <v>0</v>
      </c>
      <c r="M81" s="38">
        <f t="shared" si="23"/>
        <v>13249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-288087.42499999981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-288087.42499999981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-288087.42499999981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7">
        <v>196365526</v>
      </c>
      <c r="E11" s="217">
        <v>533064366</v>
      </c>
      <c r="F11" s="60">
        <f>H11-D11</f>
        <v>0</v>
      </c>
      <c r="G11" s="37">
        <f>I11-E11</f>
        <v>0</v>
      </c>
      <c r="H11" s="65">
        <f>D11</f>
        <v>196365526</v>
      </c>
      <c r="I11" s="66">
        <f>E11</f>
        <v>533064366</v>
      </c>
      <c r="J11" s="60"/>
      <c r="K11" s="38"/>
      <c r="L11" s="60">
        <f t="shared" ref="L11:M15" si="0">H11+J11</f>
        <v>196365526</v>
      </c>
      <c r="M11" s="38">
        <f t="shared" si="0"/>
        <v>533064366</v>
      </c>
    </row>
    <row r="12" spans="1:26" x14ac:dyDescent="0.25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7">
        <v>96028476</v>
      </c>
      <c r="E13" s="217">
        <v>269283472</v>
      </c>
      <c r="F13" s="60">
        <f t="shared" si="1"/>
        <v>0</v>
      </c>
      <c r="G13" s="37">
        <f t="shared" si="1"/>
        <v>0</v>
      </c>
      <c r="H13" s="65">
        <f t="shared" si="2"/>
        <v>96028476</v>
      </c>
      <c r="I13" s="66">
        <f t="shared" si="2"/>
        <v>269283472</v>
      </c>
      <c r="J13" s="60"/>
      <c r="K13" s="38"/>
      <c r="L13" s="60">
        <f t="shared" si="0"/>
        <v>96028476</v>
      </c>
      <c r="M13" s="38">
        <f t="shared" si="0"/>
        <v>269283472</v>
      </c>
    </row>
    <row r="14" spans="1:26" x14ac:dyDescent="0.25">
      <c r="A14" s="9">
        <v>4</v>
      </c>
      <c r="B14" s="7"/>
      <c r="C14" s="18" t="s">
        <v>28</v>
      </c>
      <c r="D14" s="217">
        <v>0</v>
      </c>
      <c r="E14" s="217">
        <v>10354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10354</v>
      </c>
      <c r="J14" s="60"/>
      <c r="K14" s="38"/>
      <c r="L14" s="60">
        <f t="shared" si="0"/>
        <v>0</v>
      </c>
      <c r="M14" s="38">
        <f t="shared" si="0"/>
        <v>10354</v>
      </c>
    </row>
    <row r="15" spans="1:26" x14ac:dyDescent="0.25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8">
        <v>292394002</v>
      </c>
      <c r="E16" s="218">
        <v>802358192</v>
      </c>
      <c r="F16" s="61">
        <f t="shared" ref="F16:M16" si="3">SUM(F11:F15)</f>
        <v>0</v>
      </c>
      <c r="G16" s="39">
        <f t="shared" si="3"/>
        <v>0</v>
      </c>
      <c r="H16" s="61">
        <f>SUM(H11:H15)</f>
        <v>292394002</v>
      </c>
      <c r="I16" s="39">
        <f>SUM(I11:I15)</f>
        <v>802358192</v>
      </c>
      <c r="J16" s="61">
        <f t="shared" si="3"/>
        <v>0</v>
      </c>
      <c r="K16" s="39">
        <f t="shared" si="3"/>
        <v>0</v>
      </c>
      <c r="L16" s="61">
        <f t="shared" si="3"/>
        <v>292394002</v>
      </c>
      <c r="M16" s="39">
        <f t="shared" si="3"/>
        <v>802358192</v>
      </c>
    </row>
    <row r="17" spans="1:13" x14ac:dyDescent="0.25">
      <c r="A17" s="9"/>
      <c r="B17" s="7"/>
      <c r="C17" s="6"/>
      <c r="D17" s="219">
        <v>0</v>
      </c>
      <c r="E17" s="21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9">
        <v>0</v>
      </c>
      <c r="E18" s="21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7">
        <v>-195240163</v>
      </c>
      <c r="E19" s="217">
        <v>-524044474</v>
      </c>
      <c r="F19" s="60">
        <f>H19-D19</f>
        <v>0</v>
      </c>
      <c r="G19" s="37">
        <f>I19-E19</f>
        <v>0</v>
      </c>
      <c r="H19" s="65">
        <f t="shared" si="4"/>
        <v>-195240163</v>
      </c>
      <c r="I19" s="66">
        <f t="shared" si="4"/>
        <v>-524044474</v>
      </c>
      <c r="J19" s="60"/>
      <c r="K19" s="38"/>
      <c r="L19" s="60">
        <f t="shared" ref="L19:M23" si="5">H19+J19</f>
        <v>-195240163</v>
      </c>
      <c r="M19" s="38">
        <f t="shared" si="5"/>
        <v>-524044474</v>
      </c>
    </row>
    <row r="20" spans="1:13" x14ac:dyDescent="0.25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7">
        <v>-95951921</v>
      </c>
      <c r="E21" s="217">
        <v>-271284464</v>
      </c>
      <c r="F21" s="60">
        <f t="shared" si="6"/>
        <v>0</v>
      </c>
      <c r="G21" s="37">
        <f t="shared" si="6"/>
        <v>0</v>
      </c>
      <c r="H21" s="65">
        <f t="shared" si="4"/>
        <v>-95951921</v>
      </c>
      <c r="I21" s="66">
        <f t="shared" si="4"/>
        <v>-271284464</v>
      </c>
      <c r="J21" s="60"/>
      <c r="K21" s="38"/>
      <c r="L21" s="60">
        <f t="shared" si="5"/>
        <v>-95951921</v>
      </c>
      <c r="M21" s="38">
        <f t="shared" si="5"/>
        <v>-271284464</v>
      </c>
    </row>
    <row r="22" spans="1:13" x14ac:dyDescent="0.25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7">
        <v>561927</v>
      </c>
      <c r="E23" s="217">
        <v>1566495</v>
      </c>
      <c r="F23" s="60">
        <f t="shared" si="6"/>
        <v>0</v>
      </c>
      <c r="G23" s="37">
        <f t="shared" si="6"/>
        <v>0</v>
      </c>
      <c r="H23" s="65">
        <f t="shared" si="4"/>
        <v>561927</v>
      </c>
      <c r="I23" s="66">
        <f t="shared" si="4"/>
        <v>1566495</v>
      </c>
      <c r="J23" s="60"/>
      <c r="K23" s="38"/>
      <c r="L23" s="60">
        <f t="shared" si="5"/>
        <v>561927</v>
      </c>
      <c r="M23" s="38">
        <f t="shared" si="5"/>
        <v>1566495</v>
      </c>
    </row>
    <row r="24" spans="1:13" x14ac:dyDescent="0.25">
      <c r="A24" s="9"/>
      <c r="B24" s="7" t="s">
        <v>33</v>
      </c>
      <c r="C24" s="6"/>
      <c r="D24" s="218">
        <v>-290630157</v>
      </c>
      <c r="E24" s="218">
        <v>-793762443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-290630157</v>
      </c>
      <c r="I24" s="39">
        <f>SUM(I19:I23)</f>
        <v>-793762443</v>
      </c>
      <c r="J24" s="61">
        <f t="shared" si="7"/>
        <v>0</v>
      </c>
      <c r="K24" s="39">
        <f t="shared" si="7"/>
        <v>0</v>
      </c>
      <c r="L24" s="61">
        <f t="shared" si="7"/>
        <v>-290630157</v>
      </c>
      <c r="M24" s="39">
        <f t="shared" si="7"/>
        <v>-793762443</v>
      </c>
    </row>
    <row r="25" spans="1:13" x14ac:dyDescent="0.25">
      <c r="A25" s="9"/>
      <c r="B25" s="7"/>
      <c r="C25" s="6"/>
      <c r="D25" s="219">
        <v>0</v>
      </c>
      <c r="E25" s="21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9">
        <v>0</v>
      </c>
      <c r="E26" s="21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9">
        <v>0</v>
      </c>
      <c r="E30" s="21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9">
        <v>0</v>
      </c>
      <c r="E31" s="21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7">
        <v>13934</v>
      </c>
      <c r="E32" s="217">
        <v>41850</v>
      </c>
      <c r="F32" s="60">
        <f>H32-D32</f>
        <v>0</v>
      </c>
      <c r="G32" s="37">
        <f>I32-E32</f>
        <v>0</v>
      </c>
      <c r="H32" s="65">
        <f t="shared" ref="H32:I35" si="9">D32</f>
        <v>13934</v>
      </c>
      <c r="I32" s="66">
        <f t="shared" si="9"/>
        <v>41850</v>
      </c>
      <c r="J32" s="60"/>
      <c r="K32" s="38"/>
      <c r="L32" s="60">
        <f t="shared" ref="L32:M35" si="10">H32+J32</f>
        <v>13934</v>
      </c>
      <c r="M32" s="38">
        <f t="shared" si="10"/>
        <v>41850</v>
      </c>
    </row>
    <row r="33" spans="1:13" x14ac:dyDescent="0.25">
      <c r="A33" s="9">
        <v>14</v>
      </c>
      <c r="B33" s="7"/>
      <c r="C33" s="18" t="s">
        <v>40</v>
      </c>
      <c r="D33" s="217">
        <v>579330</v>
      </c>
      <c r="E33" s="217">
        <v>1546257</v>
      </c>
      <c r="F33" s="60">
        <f t="shared" ref="F33:G35" si="11">H33-D33</f>
        <v>0</v>
      </c>
      <c r="G33" s="37">
        <f t="shared" si="11"/>
        <v>0</v>
      </c>
      <c r="H33" s="65">
        <f t="shared" si="9"/>
        <v>579330</v>
      </c>
      <c r="I33" s="66">
        <f t="shared" si="9"/>
        <v>1546257</v>
      </c>
      <c r="J33" s="60"/>
      <c r="K33" s="38"/>
      <c r="L33" s="60">
        <f t="shared" si="10"/>
        <v>579330</v>
      </c>
      <c r="M33" s="38">
        <f t="shared" si="10"/>
        <v>1546257</v>
      </c>
    </row>
    <row r="34" spans="1:13" x14ac:dyDescent="0.25">
      <c r="A34" s="9">
        <v>15</v>
      </c>
      <c r="B34" s="7"/>
      <c r="C34" s="18" t="s">
        <v>41</v>
      </c>
      <c r="D34" s="217">
        <v>-721131</v>
      </c>
      <c r="E34" s="217">
        <v>-1967200</v>
      </c>
      <c r="F34" s="60">
        <f t="shared" si="11"/>
        <v>0</v>
      </c>
      <c r="G34" s="37">
        <f t="shared" si="11"/>
        <v>0</v>
      </c>
      <c r="H34" s="65">
        <f t="shared" si="9"/>
        <v>-721131</v>
      </c>
      <c r="I34" s="66">
        <f t="shared" si="9"/>
        <v>-1967200</v>
      </c>
      <c r="J34" s="60"/>
      <c r="K34" s="38"/>
      <c r="L34" s="60">
        <f t="shared" si="10"/>
        <v>-721131</v>
      </c>
      <c r="M34" s="38">
        <f t="shared" si="10"/>
        <v>-1967200</v>
      </c>
    </row>
    <row r="35" spans="1:13" x14ac:dyDescent="0.25">
      <c r="A35" s="9">
        <v>16</v>
      </c>
      <c r="B35" s="7"/>
      <c r="C35" s="18" t="s">
        <v>42</v>
      </c>
      <c r="D35" s="217">
        <v>-136134</v>
      </c>
      <c r="E35" s="217">
        <v>-1121629</v>
      </c>
      <c r="F35" s="60">
        <f t="shared" si="11"/>
        <v>0</v>
      </c>
      <c r="G35" s="37">
        <f t="shared" si="11"/>
        <v>0</v>
      </c>
      <c r="H35" s="65">
        <f t="shared" si="9"/>
        <v>-136134</v>
      </c>
      <c r="I35" s="66">
        <f t="shared" si="9"/>
        <v>-1121629</v>
      </c>
      <c r="J35" s="60"/>
      <c r="K35" s="38"/>
      <c r="L35" s="60">
        <f t="shared" si="10"/>
        <v>-136134</v>
      </c>
      <c r="M35" s="38">
        <f t="shared" si="10"/>
        <v>-1121629</v>
      </c>
    </row>
    <row r="36" spans="1:13" x14ac:dyDescent="0.25">
      <c r="A36" s="9"/>
      <c r="B36" s="7" t="s">
        <v>43</v>
      </c>
      <c r="C36" s="6"/>
      <c r="D36" s="218">
        <v>-264001</v>
      </c>
      <c r="E36" s="218">
        <v>-1500722</v>
      </c>
      <c r="F36" s="61">
        <f>SUM(F32:F35)</f>
        <v>0</v>
      </c>
      <c r="G36" s="39">
        <f>SUM(G32:G35)</f>
        <v>0</v>
      </c>
      <c r="H36" s="61">
        <f>SUM(H32:H35)</f>
        <v>-264001</v>
      </c>
      <c r="I36" s="39">
        <f>SUM(I32:I35)</f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5">
      <c r="A37" s="9"/>
      <c r="B37" s="7"/>
      <c r="C37" s="6"/>
      <c r="D37" s="219">
        <v>0</v>
      </c>
      <c r="E37" s="219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9">
        <v>0</v>
      </c>
      <c r="E38" s="21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7">
        <v>1213095</v>
      </c>
      <c r="E39" s="217">
        <v>3150492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1213095</v>
      </c>
      <c r="I39" s="66">
        <f t="shared" si="12"/>
        <v>3150492</v>
      </c>
      <c r="J39" s="60"/>
      <c r="K39" s="38"/>
      <c r="L39" s="60">
        <f t="shared" ref="L39:M41" si="14">H39+J39</f>
        <v>1213095</v>
      </c>
      <c r="M39" s="38">
        <f t="shared" si="14"/>
        <v>3150492</v>
      </c>
    </row>
    <row r="40" spans="1:13" ht="22.5" customHeight="1" x14ac:dyDescent="0.25">
      <c r="A40" s="9">
        <v>18</v>
      </c>
      <c r="B40" s="7"/>
      <c r="C40" s="18" t="s">
        <v>46</v>
      </c>
      <c r="D40" s="217">
        <v>-2533756</v>
      </c>
      <c r="E40" s="217">
        <v>-6709343</v>
      </c>
      <c r="F40" s="60">
        <f t="shared" si="13"/>
        <v>0</v>
      </c>
      <c r="G40" s="37">
        <f t="shared" si="13"/>
        <v>0</v>
      </c>
      <c r="H40" s="65">
        <f t="shared" si="12"/>
        <v>-2533756</v>
      </c>
      <c r="I40" s="66">
        <f t="shared" si="12"/>
        <v>-6709343</v>
      </c>
      <c r="J40" s="60"/>
      <c r="K40" s="38"/>
      <c r="L40" s="60">
        <f t="shared" si="14"/>
        <v>-2533756</v>
      </c>
      <c r="M40" s="38">
        <f t="shared" si="14"/>
        <v>-6709343</v>
      </c>
    </row>
    <row r="41" spans="1:13" x14ac:dyDescent="0.25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8">
        <v>-2533756</v>
      </c>
      <c r="E42" s="218">
        <v>-6709343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-2533756</v>
      </c>
      <c r="I42" s="39">
        <f>SUM(I40:I41)</f>
        <v>-6709343</v>
      </c>
      <c r="J42" s="61">
        <f t="shared" si="15"/>
        <v>0</v>
      </c>
      <c r="K42" s="39">
        <f t="shared" si="15"/>
        <v>0</v>
      </c>
      <c r="L42" s="61">
        <f t="shared" si="15"/>
        <v>-2533756</v>
      </c>
      <c r="M42" s="39">
        <f t="shared" si="15"/>
        <v>-6709343</v>
      </c>
    </row>
    <row r="43" spans="1:13" ht="21" customHeight="1" x14ac:dyDescent="0.25">
      <c r="A43" s="9"/>
      <c r="B43" s="7" t="s">
        <v>49</v>
      </c>
      <c r="C43" s="6"/>
      <c r="D43" s="218">
        <v>-1320661</v>
      </c>
      <c r="E43" s="218">
        <v>-3558851</v>
      </c>
      <c r="F43" s="61">
        <f t="shared" ref="F43:M43" si="16">F42+F39</f>
        <v>0</v>
      </c>
      <c r="G43" s="39">
        <f t="shared" si="16"/>
        <v>0</v>
      </c>
      <c r="H43" s="61">
        <f>H42+H39</f>
        <v>-1320661</v>
      </c>
      <c r="I43" s="39">
        <f>I42+I39</f>
        <v>-3558851</v>
      </c>
      <c r="J43" s="61">
        <f t="shared" si="16"/>
        <v>0</v>
      </c>
      <c r="K43" s="39">
        <f t="shared" si="16"/>
        <v>0</v>
      </c>
      <c r="L43" s="61">
        <f t="shared" si="16"/>
        <v>-1320661</v>
      </c>
      <c r="M43" s="39">
        <f t="shared" si="16"/>
        <v>-3558851</v>
      </c>
    </row>
    <row r="44" spans="1:13" x14ac:dyDescent="0.25">
      <c r="A44" s="9"/>
      <c r="B44" s="7"/>
      <c r="C44" s="6"/>
      <c r="D44" s="219">
        <v>0</v>
      </c>
      <c r="E44" s="21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7">
        <v>-156215</v>
      </c>
      <c r="E49" s="217">
        <v>-410689.23499999999</v>
      </c>
      <c r="F49" s="60">
        <f>H49-D49</f>
        <v>0</v>
      </c>
      <c r="G49" s="37">
        <f>I49-E49</f>
        <v>0</v>
      </c>
      <c r="H49" s="65">
        <f>D49</f>
        <v>-156215</v>
      </c>
      <c r="I49" s="66">
        <f>E49</f>
        <v>-410689.23499999999</v>
      </c>
      <c r="J49" s="60"/>
      <c r="K49" s="38"/>
      <c r="L49" s="60">
        <f>H49+J49</f>
        <v>-156215</v>
      </c>
      <c r="M49" s="38">
        <f>I49+K49</f>
        <v>-410689.23499999999</v>
      </c>
    </row>
    <row r="50" spans="1:15" x14ac:dyDescent="0.25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7">
        <v>-561927</v>
      </c>
      <c r="E51" s="217">
        <v>-1566495</v>
      </c>
      <c r="F51" s="60">
        <f>H51-D51</f>
        <v>0</v>
      </c>
      <c r="G51" s="37">
        <f>I51-E51</f>
        <v>0</v>
      </c>
      <c r="H51" s="65">
        <f>D51</f>
        <v>-561927</v>
      </c>
      <c r="I51" s="66">
        <f>E51</f>
        <v>-1566495</v>
      </c>
      <c r="J51" s="60"/>
      <c r="K51" s="38"/>
      <c r="L51" s="60">
        <f>H51+J51</f>
        <v>-561927</v>
      </c>
      <c r="M51" s="38">
        <f>I51+K51</f>
        <v>-1566495</v>
      </c>
    </row>
    <row r="52" spans="1:15" x14ac:dyDescent="0.25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7">
        <v>0</v>
      </c>
      <c r="E54" s="217">
        <v>-2196592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-2196592</v>
      </c>
      <c r="J54" s="60"/>
      <c r="K54" s="38"/>
      <c r="L54" s="60">
        <f>H54+J54</f>
        <v>0</v>
      </c>
      <c r="M54" s="38">
        <f>I54+K54</f>
        <v>-2196592</v>
      </c>
    </row>
    <row r="55" spans="1:15" x14ac:dyDescent="0.25">
      <c r="A55" s="9">
        <v>25</v>
      </c>
      <c r="B55" s="7"/>
      <c r="C55" s="18" t="s">
        <v>56</v>
      </c>
      <c r="D55" s="217">
        <v>0</v>
      </c>
      <c r="E55" s="217">
        <f>-1736161-655688</f>
        <v>-2391849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-2391849</v>
      </c>
      <c r="J55" s="60"/>
      <c r="K55" s="38"/>
      <c r="L55" s="60">
        <f>H55+J55</f>
        <v>0</v>
      </c>
      <c r="M55" s="38">
        <f>I55+K55</f>
        <v>-2391849</v>
      </c>
    </row>
    <row r="56" spans="1:15" x14ac:dyDescent="0.25">
      <c r="A56" s="9"/>
      <c r="B56" s="7" t="s">
        <v>57</v>
      </c>
      <c r="C56" s="6"/>
      <c r="D56" s="218">
        <v>0</v>
      </c>
      <c r="E56" s="218">
        <v>-3932753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-4588441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-4588441</v>
      </c>
    </row>
    <row r="57" spans="1:15" x14ac:dyDescent="0.25">
      <c r="A57" s="9"/>
      <c r="B57" s="7"/>
      <c r="C57" s="6"/>
      <c r="D57" s="219">
        <v>0</v>
      </c>
      <c r="E57" s="21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9">
        <v>0</v>
      </c>
      <c r="E58" s="21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7">
        <v>0</v>
      </c>
      <c r="E60" s="217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218">
        <v>0</v>
      </c>
      <c r="E61" s="21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219">
        <v>0</v>
      </c>
      <c r="E62" s="21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9">
        <v>0</v>
      </c>
      <c r="E63" s="21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7">
        <v>0</v>
      </c>
      <c r="E64" s="217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8">
        <v>0</v>
      </c>
      <c r="E66" s="21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219">
        <v>0</v>
      </c>
      <c r="E67" s="21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9">
        <v>0</v>
      </c>
      <c r="E68" s="21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9">
        <v>0</v>
      </c>
      <c r="E69" s="21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7">
        <v>0</v>
      </c>
      <c r="E70" s="217">
        <v>1165617.6111000003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1165617.6111000003</v>
      </c>
      <c r="J70" s="60"/>
      <c r="K70" s="38"/>
      <c r="L70" s="60">
        <f>H70+J70</f>
        <v>0</v>
      </c>
      <c r="M70" s="38">
        <f>I70+K70</f>
        <v>1165617.6111000003</v>
      </c>
    </row>
    <row r="71" spans="1:13" x14ac:dyDescent="0.25">
      <c r="A71" s="9">
        <v>31</v>
      </c>
      <c r="B71" s="3"/>
      <c r="C71" s="10" t="s">
        <v>68</v>
      </c>
      <c r="D71" s="217">
        <v>0</v>
      </c>
      <c r="E71" s="217">
        <v>-563222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-563222</v>
      </c>
      <c r="J71" s="60"/>
      <c r="K71" s="38"/>
      <c r="L71" s="60">
        <f>H71+J71</f>
        <v>0</v>
      </c>
      <c r="M71" s="38">
        <f>I71+K71</f>
        <v>-563222</v>
      </c>
    </row>
    <row r="72" spans="1:13" x14ac:dyDescent="0.25">
      <c r="A72" s="9"/>
      <c r="B72" s="3"/>
      <c r="C72" s="55" t="s">
        <v>69</v>
      </c>
      <c r="D72" s="218">
        <v>0</v>
      </c>
      <c r="E72" s="218">
        <v>602395.61110000033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602395.61110000033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602395.61110000033</v>
      </c>
    </row>
    <row r="73" spans="1:13" x14ac:dyDescent="0.25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7">
        <v>0</v>
      </c>
      <c r="E74" s="217">
        <v>702407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702407</v>
      </c>
      <c r="J74" s="60"/>
      <c r="K74" s="38"/>
      <c r="L74" s="60">
        <f t="shared" si="22"/>
        <v>0</v>
      </c>
      <c r="M74" s="38">
        <f t="shared" si="22"/>
        <v>702407</v>
      </c>
    </row>
    <row r="75" spans="1:13" x14ac:dyDescent="0.25">
      <c r="A75" s="9">
        <v>34</v>
      </c>
      <c r="B75" s="3"/>
      <c r="C75" s="10" t="s">
        <v>72</v>
      </c>
      <c r="D75" s="217">
        <v>0</v>
      </c>
      <c r="E75" s="217">
        <v>-34406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-34406</v>
      </c>
      <c r="J75" s="60"/>
      <c r="K75" s="38"/>
      <c r="L75" s="60">
        <f t="shared" si="22"/>
        <v>0</v>
      </c>
      <c r="M75" s="38">
        <f t="shared" si="22"/>
        <v>-34406</v>
      </c>
    </row>
    <row r="76" spans="1:13" x14ac:dyDescent="0.25">
      <c r="A76" s="9">
        <v>35</v>
      </c>
      <c r="B76" s="3"/>
      <c r="C76" s="10" t="s">
        <v>73</v>
      </c>
      <c r="D76" s="217">
        <v>0</v>
      </c>
      <c r="E76" s="217">
        <v>-5809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-5809</v>
      </c>
      <c r="J76" s="60"/>
      <c r="K76" s="38"/>
      <c r="L76" s="60">
        <f t="shared" si="22"/>
        <v>0</v>
      </c>
      <c r="M76" s="38">
        <f t="shared" si="22"/>
        <v>-5809</v>
      </c>
    </row>
    <row r="77" spans="1:13" x14ac:dyDescent="0.25">
      <c r="A77" s="9">
        <v>36</v>
      </c>
      <c r="B77" s="3"/>
      <c r="C77" s="10" t="s">
        <v>74</v>
      </c>
      <c r="D77" s="217">
        <v>0</v>
      </c>
      <c r="E77" s="217">
        <f>-635687.5+655688</f>
        <v>20000.5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20000.5</v>
      </c>
      <c r="J77" s="60"/>
      <c r="K77" s="38"/>
      <c r="L77" s="60">
        <f t="shared" si="22"/>
        <v>0</v>
      </c>
      <c r="M77" s="38">
        <f t="shared" si="22"/>
        <v>20000.5</v>
      </c>
    </row>
    <row r="78" spans="1:13" x14ac:dyDescent="0.25">
      <c r="A78" s="9">
        <v>37</v>
      </c>
      <c r="B78" s="3"/>
      <c r="C78" s="10" t="s">
        <v>75</v>
      </c>
      <c r="D78" s="217">
        <v>0</v>
      </c>
      <c r="E78" s="217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5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7">
        <v>0</v>
      </c>
      <c r="E80" s="217">
        <v>-202500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-202500</v>
      </c>
      <c r="J80" s="60"/>
      <c r="K80" s="38"/>
      <c r="L80" s="60">
        <f t="shared" si="22"/>
        <v>0</v>
      </c>
      <c r="M80" s="38">
        <f t="shared" si="22"/>
        <v>-202500</v>
      </c>
    </row>
    <row r="81" spans="1:67" x14ac:dyDescent="0.25">
      <c r="A81" s="9">
        <v>40</v>
      </c>
      <c r="B81" s="3"/>
      <c r="C81" s="10" t="s">
        <v>78</v>
      </c>
      <c r="D81" s="217">
        <v>0</v>
      </c>
      <c r="E81" s="217">
        <v>-72206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-72206</v>
      </c>
      <c r="J81" s="60"/>
      <c r="K81" s="38"/>
      <c r="L81" s="60">
        <f t="shared" si="22"/>
        <v>0</v>
      </c>
      <c r="M81" s="38">
        <f t="shared" si="22"/>
        <v>-72206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22968</v>
      </c>
      <c r="E82" s="141">
        <f>SUM(E72:E81)+E16+E24+E29+E36+E43+E45+E47+E49+E51+E56+E61+E66</f>
        <v>-1340937.3689000462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135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164</v>
      </c>
      <c r="B85" s="3"/>
      <c r="K85" s="45"/>
    </row>
    <row r="86" spans="1:67" s="3" customFormat="1" x14ac:dyDescent="0.25">
      <c r="A86" s="144"/>
      <c r="C86" s="10" t="s">
        <v>166</v>
      </c>
      <c r="D86" s="148">
        <v>0</v>
      </c>
      <c r="E86" s="148">
        <v>65612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65612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65612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65612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65612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65612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6">
        <f>+D82+D89</f>
        <v>22968</v>
      </c>
      <c r="E91" s="156">
        <f t="shared" ref="E91:M91" si="27">+E82+E89</f>
        <v>-1275325.3689000462</v>
      </c>
      <c r="F91" s="156">
        <f t="shared" si="27"/>
        <v>0</v>
      </c>
      <c r="G91" s="156">
        <f t="shared" si="27"/>
        <v>0</v>
      </c>
      <c r="H91" s="156">
        <f t="shared" si="27"/>
        <v>22968</v>
      </c>
      <c r="I91" s="156">
        <f t="shared" si="27"/>
        <v>-1931013.3689000462</v>
      </c>
      <c r="J91" s="156">
        <f t="shared" si="27"/>
        <v>0</v>
      </c>
      <c r="K91" s="156">
        <f t="shared" si="27"/>
        <v>0</v>
      </c>
      <c r="L91" s="156">
        <f t="shared" si="27"/>
        <v>22968</v>
      </c>
      <c r="M91" s="156">
        <f t="shared" si="27"/>
        <v>-1931013.3689000462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0</v>
      </c>
      <c r="E19" s="65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0</v>
      </c>
      <c r="E49" s="65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196365526</v>
      </c>
      <c r="E11" s="66">
        <f>'EAST-EGM-FLSH'!E11+'EAST-LRC-FLSH'!E11</f>
        <v>533064366</v>
      </c>
      <c r="F11" s="37">
        <f>H11-D11</f>
        <v>0</v>
      </c>
      <c r="G11" s="37">
        <f>I11-E11</f>
        <v>0</v>
      </c>
      <c r="H11" s="60">
        <f>'EAST-EGM-FLSH'!H11+'EAST-LRC-FLSH'!H11</f>
        <v>196365526</v>
      </c>
      <c r="I11" s="38">
        <f>'EAST-EGM-FLSH'!I11+'EAST-LRC-FLSH'!I11</f>
        <v>533064366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196365526</v>
      </c>
      <c r="M11" s="38">
        <f t="shared" si="0"/>
        <v>533064366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96028476</v>
      </c>
      <c r="E13" s="66">
        <f>'EAST-EGM-FLSH'!E13+'EAST-LRC-FLSH'!E13</f>
        <v>269283472</v>
      </c>
      <c r="F13" s="60">
        <f t="shared" si="1"/>
        <v>0</v>
      </c>
      <c r="G13" s="37">
        <f t="shared" si="1"/>
        <v>0</v>
      </c>
      <c r="H13" s="60">
        <f>'EAST-EGM-FLSH'!H13+'EAST-LRC-FLSH'!H13</f>
        <v>96028476</v>
      </c>
      <c r="I13" s="38">
        <f>'EAST-EGM-FLSH'!I13+'EAST-LRC-FLSH'!I13</f>
        <v>269283472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96028476</v>
      </c>
      <c r="M13" s="38">
        <f t="shared" si="0"/>
        <v>269283472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10354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10354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10354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292394002</v>
      </c>
      <c r="E16" s="39">
        <f>SUM(E11:E15)</f>
        <v>802358192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292394002</v>
      </c>
      <c r="I16" s="39">
        <f t="shared" si="2"/>
        <v>802358192</v>
      </c>
      <c r="J16" s="61">
        <f t="shared" si="2"/>
        <v>0</v>
      </c>
      <c r="K16" s="39">
        <f t="shared" si="2"/>
        <v>0</v>
      </c>
      <c r="L16" s="61">
        <f t="shared" si="2"/>
        <v>292394002</v>
      </c>
      <c r="M16" s="39">
        <f t="shared" si="2"/>
        <v>802358192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-195240163</v>
      </c>
      <c r="E19" s="66">
        <f>'EAST-EGM-FLSH'!E19+'EAST-LRC-FLSH'!E19</f>
        <v>-524044474</v>
      </c>
      <c r="F19" s="60">
        <f>H19-D19</f>
        <v>0</v>
      </c>
      <c r="G19" s="37">
        <f>I19-E19</f>
        <v>0</v>
      </c>
      <c r="H19" s="60">
        <f>'EAST-EGM-FLSH'!H19+'EAST-LRC-FLSH'!H19</f>
        <v>-195240163</v>
      </c>
      <c r="I19" s="38">
        <f>'EAST-EGM-FLSH'!I19+'EAST-LRC-FLSH'!I19</f>
        <v>-524044474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-195240163</v>
      </c>
      <c r="M19" s="38">
        <f t="shared" si="3"/>
        <v>-524044474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-95951921</v>
      </c>
      <c r="E21" s="66">
        <f>'EAST-EGM-FLSH'!E21+'EAST-LRC-FLSH'!E21</f>
        <v>-271284464</v>
      </c>
      <c r="F21" s="60">
        <f t="shared" si="4"/>
        <v>0</v>
      </c>
      <c r="G21" s="37">
        <f t="shared" si="4"/>
        <v>0</v>
      </c>
      <c r="H21" s="60">
        <f>'EAST-EGM-FLSH'!H21+'EAST-LRC-FLSH'!H21</f>
        <v>-95951921</v>
      </c>
      <c r="I21" s="38">
        <f>'EAST-EGM-FLSH'!I21+'EAST-LRC-FLSH'!I21</f>
        <v>-271284464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-95951921</v>
      </c>
      <c r="M21" s="38">
        <f t="shared" si="3"/>
        <v>-271284464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561927</v>
      </c>
      <c r="E23" s="66">
        <f>'EAST-EGM-FLSH'!E23+'EAST-LRC-FLSH'!E23</f>
        <v>1566495</v>
      </c>
      <c r="F23" s="60">
        <f t="shared" si="4"/>
        <v>0</v>
      </c>
      <c r="G23" s="37">
        <f t="shared" si="4"/>
        <v>0</v>
      </c>
      <c r="H23" s="60">
        <f>'EAST-EGM-FLSH'!H23+'EAST-LRC-FLSH'!H23</f>
        <v>561927</v>
      </c>
      <c r="I23" s="38">
        <f>'EAST-EGM-FLSH'!I23+'EAST-LRC-FLSH'!I23</f>
        <v>1566495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561927</v>
      </c>
      <c r="M23" s="38">
        <f t="shared" si="3"/>
        <v>1566495</v>
      </c>
    </row>
    <row r="24" spans="1:13" x14ac:dyDescent="0.25">
      <c r="A24" s="9"/>
      <c r="B24" s="7" t="s">
        <v>33</v>
      </c>
      <c r="C24" s="6"/>
      <c r="D24" s="61">
        <f>SUM(D19:D23)</f>
        <v>-290630157</v>
      </c>
      <c r="E24" s="39">
        <f>SUM(E19:E23)</f>
        <v>-793762443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-290630157</v>
      </c>
      <c r="I24" s="39">
        <f t="shared" si="5"/>
        <v>-793762443</v>
      </c>
      <c r="J24" s="61">
        <f t="shared" si="5"/>
        <v>0</v>
      </c>
      <c r="K24" s="39">
        <f t="shared" si="5"/>
        <v>0</v>
      </c>
      <c r="L24" s="61">
        <f t="shared" si="5"/>
        <v>-290630157</v>
      </c>
      <c r="M24" s="39">
        <f t="shared" si="5"/>
        <v>-793762443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13934</v>
      </c>
      <c r="E32" s="66">
        <f>'EAST-EGM-FLSH'!E32+'EAST-LRC-FLSH'!E32</f>
        <v>41850</v>
      </c>
      <c r="F32" s="60">
        <f>H32-D32</f>
        <v>0</v>
      </c>
      <c r="G32" s="37">
        <f>I32-E32</f>
        <v>0</v>
      </c>
      <c r="H32" s="60">
        <f>'EAST-EGM-FLSH'!H32+'EAST-LRC-FLSH'!H32</f>
        <v>13934</v>
      </c>
      <c r="I32" s="38">
        <f>'EAST-EGM-FLSH'!I32+'EAST-LRC-FLSH'!I32</f>
        <v>41850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13934</v>
      </c>
      <c r="M32" s="38">
        <f t="shared" si="7"/>
        <v>41850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579330</v>
      </c>
      <c r="E33" s="66">
        <f>'EAST-EGM-FLSH'!E33+'EAST-LRC-FLSH'!E33</f>
        <v>1546257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579330</v>
      </c>
      <c r="I33" s="38">
        <f>'EAST-EGM-FLSH'!I33+'EAST-LRC-FLSH'!I33</f>
        <v>1546257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579330</v>
      </c>
      <c r="M33" s="38">
        <f t="shared" si="7"/>
        <v>1546257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-721131</v>
      </c>
      <c r="E34" s="66">
        <f>'EAST-EGM-FLSH'!E34+'EAST-LRC-FLSH'!E34</f>
        <v>-1967200</v>
      </c>
      <c r="F34" s="60">
        <f t="shared" si="8"/>
        <v>0</v>
      </c>
      <c r="G34" s="37">
        <f t="shared" si="8"/>
        <v>0</v>
      </c>
      <c r="H34" s="60">
        <f>'EAST-EGM-FLSH'!H34+'EAST-LRC-FLSH'!H34</f>
        <v>-721131</v>
      </c>
      <c r="I34" s="38">
        <f>'EAST-EGM-FLSH'!I34+'EAST-LRC-FLSH'!I34</f>
        <v>-1967200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-721131</v>
      </c>
      <c r="M34" s="38">
        <f t="shared" si="7"/>
        <v>-1967200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-136134</v>
      </c>
      <c r="E35" s="66">
        <f>'EAST-EGM-FLSH'!E35+'EAST-LRC-FLSH'!E35</f>
        <v>-1121629</v>
      </c>
      <c r="F35" s="60">
        <f t="shared" si="8"/>
        <v>0</v>
      </c>
      <c r="G35" s="37">
        <f t="shared" si="8"/>
        <v>0</v>
      </c>
      <c r="H35" s="60">
        <f>'EAST-EGM-FLSH'!H35+'EAST-LRC-FLSH'!H35</f>
        <v>-136134</v>
      </c>
      <c r="I35" s="38">
        <f>'EAST-EGM-FLSH'!I35+'EAST-LRC-FLSH'!I35</f>
        <v>-1121629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-136134</v>
      </c>
      <c r="M35" s="38">
        <f t="shared" si="7"/>
        <v>-1121629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-264001</v>
      </c>
      <c r="E36" s="39">
        <f t="shared" si="9"/>
        <v>-1500722</v>
      </c>
      <c r="F36" s="61">
        <f t="shared" si="9"/>
        <v>0</v>
      </c>
      <c r="G36" s="39">
        <f t="shared" si="9"/>
        <v>0</v>
      </c>
      <c r="H36" s="61">
        <f t="shared" si="9"/>
        <v>-264001</v>
      </c>
      <c r="I36" s="39">
        <f t="shared" si="9"/>
        <v>-1500722</v>
      </c>
      <c r="J36" s="61">
        <f>SUM(J32:J34)</f>
        <v>0</v>
      </c>
      <c r="K36" s="39">
        <f>SUM(K32:K34)</f>
        <v>0</v>
      </c>
      <c r="L36" s="61">
        <f>SUM(L32:L35)</f>
        <v>-264001</v>
      </c>
      <c r="M36" s="39">
        <f>SUM(M32:M35)</f>
        <v>-1500722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1213095</v>
      </c>
      <c r="E39" s="66">
        <f>'EAST-EGM-FLSH'!E39+'EAST-LRC-FLSH'!E39</f>
        <v>3150492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1213095</v>
      </c>
      <c r="I39" s="38">
        <f>'EAST-EGM-FLSH'!I39+'EAST-LRC-FLSH'!I39</f>
        <v>3150492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1213095</v>
      </c>
      <c r="M39" s="38">
        <f t="shared" si="11"/>
        <v>3150492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-2533756</v>
      </c>
      <c r="E40" s="66">
        <f>'EAST-EGM-FLSH'!E40+'EAST-LRC-FLSH'!E40</f>
        <v>-6709343</v>
      </c>
      <c r="F40" s="60">
        <f t="shared" si="10"/>
        <v>0</v>
      </c>
      <c r="G40" s="37">
        <f t="shared" si="10"/>
        <v>0</v>
      </c>
      <c r="H40" s="60">
        <f>'EAST-EGM-FLSH'!H40+'EAST-LRC-FLSH'!H40</f>
        <v>-2533756</v>
      </c>
      <c r="I40" s="38">
        <f>'EAST-EGM-FLSH'!I40+'EAST-LRC-FLSH'!I40</f>
        <v>-6709343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-2533756</v>
      </c>
      <c r="M40" s="38">
        <f t="shared" si="11"/>
        <v>-6709343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-2533756</v>
      </c>
      <c r="E42" s="39">
        <f>SUM(E40:E41)</f>
        <v>-6709343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-2533756</v>
      </c>
      <c r="I42" s="39">
        <f t="shared" si="12"/>
        <v>-6709343</v>
      </c>
      <c r="J42" s="61">
        <f t="shared" si="12"/>
        <v>0</v>
      </c>
      <c r="K42" s="39">
        <f t="shared" si="12"/>
        <v>0</v>
      </c>
      <c r="L42" s="61">
        <f t="shared" si="12"/>
        <v>-2533756</v>
      </c>
      <c r="M42" s="39">
        <f t="shared" si="12"/>
        <v>-6709343</v>
      </c>
    </row>
    <row r="43" spans="1:13" ht="21" customHeight="1" x14ac:dyDescent="0.25">
      <c r="A43" s="9"/>
      <c r="B43" s="7" t="s">
        <v>49</v>
      </c>
      <c r="C43" s="6"/>
      <c r="D43" s="61">
        <f>D42+D39</f>
        <v>-1320661</v>
      </c>
      <c r="E43" s="39">
        <f>E42+E39</f>
        <v>-3558851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-1320661</v>
      </c>
      <c r="I43" s="39">
        <f t="shared" si="13"/>
        <v>-3558851</v>
      </c>
      <c r="J43" s="61">
        <f t="shared" si="13"/>
        <v>0</v>
      </c>
      <c r="K43" s="39">
        <f t="shared" si="13"/>
        <v>0</v>
      </c>
      <c r="L43" s="61">
        <f t="shared" si="13"/>
        <v>-1320661</v>
      </c>
      <c r="M43" s="39">
        <f t="shared" si="13"/>
        <v>-3558851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-156215</v>
      </c>
      <c r="E49" s="66">
        <f>'EAST-EGM-FLSH'!E49+'EAST-LRC-FLSH'!E49</f>
        <v>-410689.23499999999</v>
      </c>
      <c r="F49" s="60">
        <f>H49-D49</f>
        <v>0</v>
      </c>
      <c r="G49" s="37">
        <f>I49-E49</f>
        <v>0</v>
      </c>
      <c r="H49" s="60">
        <f>'EAST-EGM-FLSH'!H49+'EAST-LRC-FLSH'!H49</f>
        <v>-156215</v>
      </c>
      <c r="I49" s="38">
        <f>'EAST-EGM-FLSH'!I49+'EAST-LRC-FLSH'!I49</f>
        <v>-410689.23499999999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-156215</v>
      </c>
      <c r="M49" s="38">
        <f>I49+K49</f>
        <v>-410689.23499999999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-561927</v>
      </c>
      <c r="E51" s="66">
        <f>'EAST-EGM-FLSH'!E51+'EAST-LRC-FLSH'!E51</f>
        <v>-1566495</v>
      </c>
      <c r="F51" s="60">
        <f>H51-D51</f>
        <v>0</v>
      </c>
      <c r="G51" s="37">
        <f>I51-E51</f>
        <v>0</v>
      </c>
      <c r="H51" s="60">
        <f>'EAST-EGM-FLSH'!H51+'EAST-LRC-FLSH'!H51</f>
        <v>-561927</v>
      </c>
      <c r="I51" s="38">
        <f>'EAST-EGM-FLSH'!I51+'EAST-LRC-FLSH'!I51</f>
        <v>-1566495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-561927</v>
      </c>
      <c r="M51" s="38">
        <f>I51+K51</f>
        <v>-1566495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-2196592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-2196592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-2196592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-2391849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-2391849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-2391849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-4588441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-4588441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-4588441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1165617.6111000003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1165617.6111000003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1165617.6111000003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-563222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-563222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-563222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602395.61110000033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602395.61110000033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602395.61110000033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702407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702407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702407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-34406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-34406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-34406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-5809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-5809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-5809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20000.5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20000.5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20000.5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-202500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-202500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-202500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-72206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-72206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-72206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22968</v>
      </c>
      <c r="E82" s="74">
        <f>SUM(E72:E81)+E16+E24+E29+E36+E43+E45+E47+E49+E51+E56+E61+E66</f>
        <v>-1996625.3689000462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22968</v>
      </c>
      <c r="I82" s="74">
        <f>SUM(I72:I81)+I16+I24+I29+I36+I43+I45+I47+I49+I51+I56+I61+I66</f>
        <v>-1996625.3689000462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22968</v>
      </c>
      <c r="M82" s="74">
        <f>SUM(M72:M81)+M16+M24+M29+M36+M43+M45+M47+M49+M51+M56+M61+M66</f>
        <v>-1996625.3689000462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-1340937.3689000462</v>
      </c>
      <c r="M84" s="45"/>
    </row>
    <row r="85" spans="1:67" x14ac:dyDescent="0.25">
      <c r="A85" s="4" t="s">
        <v>164</v>
      </c>
      <c r="B85" s="3"/>
    </row>
    <row r="86" spans="1:67" s="3" customFormat="1" x14ac:dyDescent="0.25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65612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65612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65612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65612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65612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65612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22968</v>
      </c>
      <c r="E91" s="155">
        <f t="shared" ref="E91:M91" si="21">+E82+E89</f>
        <v>-1931013.3689000462</v>
      </c>
      <c r="F91" s="155">
        <f t="shared" si="21"/>
        <v>0</v>
      </c>
      <c r="G91" s="155">
        <f t="shared" si="21"/>
        <v>0</v>
      </c>
      <c r="H91" s="155">
        <f t="shared" si="21"/>
        <v>22968</v>
      </c>
      <c r="I91" s="155">
        <f t="shared" si="21"/>
        <v>-1931013.3689000462</v>
      </c>
      <c r="J91" s="155">
        <f t="shared" si="21"/>
        <v>0</v>
      </c>
      <c r="K91" s="155">
        <f t="shared" si="21"/>
        <v>0</v>
      </c>
      <c r="L91" s="155">
        <f t="shared" si="21"/>
        <v>22968</v>
      </c>
      <c r="M91" s="155">
        <f t="shared" si="21"/>
        <v>-1931013.3689000462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E86" sqref="E8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14334003</v>
      </c>
      <c r="E11" s="38">
        <v>37623502.069999993</v>
      </c>
      <c r="F11" s="65">
        <f>H11-D11</f>
        <v>0</v>
      </c>
      <c r="G11" s="63">
        <f>I11-E11</f>
        <v>0</v>
      </c>
      <c r="H11" s="65">
        <f>D11</f>
        <v>14334003</v>
      </c>
      <c r="I11" s="66">
        <f>E11</f>
        <v>37623502.069999993</v>
      </c>
      <c r="J11" s="60"/>
      <c r="K11" s="38"/>
      <c r="L11" s="60">
        <f t="shared" ref="L11:M15" si="0">H11+J11</f>
        <v>14334003</v>
      </c>
      <c r="M11" s="38">
        <f t="shared" si="0"/>
        <v>37623502.069999993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231232</v>
      </c>
      <c r="E13" s="38">
        <v>623375.39</v>
      </c>
      <c r="F13" s="65">
        <f t="shared" si="1"/>
        <v>0</v>
      </c>
      <c r="G13" s="63">
        <f t="shared" si="1"/>
        <v>0</v>
      </c>
      <c r="H13" s="65">
        <f t="shared" si="2"/>
        <v>231232</v>
      </c>
      <c r="I13" s="66">
        <f t="shared" si="2"/>
        <v>623375.39</v>
      </c>
      <c r="J13" s="60"/>
      <c r="K13" s="38"/>
      <c r="L13" s="60">
        <f t="shared" si="0"/>
        <v>231232</v>
      </c>
      <c r="M13" s="38">
        <f t="shared" si="0"/>
        <v>623375.39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v>14565235</v>
      </c>
      <c r="E16" s="39">
        <v>38366877.459999993</v>
      </c>
      <c r="F16" s="61">
        <f t="shared" ref="F16:M16" si="3">SUM(F11:F15)</f>
        <v>0</v>
      </c>
      <c r="G16" s="39">
        <f t="shared" si="3"/>
        <v>0</v>
      </c>
      <c r="H16" s="61">
        <f>SUM(H11:H15)</f>
        <v>14565235</v>
      </c>
      <c r="I16" s="39">
        <f>SUM(I11:I15)</f>
        <v>38366877.459999993</v>
      </c>
      <c r="J16" s="61">
        <f t="shared" si="3"/>
        <v>0</v>
      </c>
      <c r="K16" s="39">
        <f t="shared" si="3"/>
        <v>0</v>
      </c>
      <c r="L16" s="61">
        <f t="shared" si="3"/>
        <v>14565235</v>
      </c>
      <c r="M16" s="39">
        <f t="shared" si="3"/>
        <v>38366877.459999993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-4774355</v>
      </c>
      <c r="E19" s="38">
        <v>-12227599.229999989</v>
      </c>
      <c r="F19" s="65">
        <f>H19-D19</f>
        <v>0</v>
      </c>
      <c r="G19" s="63">
        <f>I19-E19</f>
        <v>0</v>
      </c>
      <c r="H19" s="65">
        <f t="shared" si="4"/>
        <v>-4774355</v>
      </c>
      <c r="I19" s="66">
        <f t="shared" si="4"/>
        <v>-12227599.229999989</v>
      </c>
      <c r="J19" s="60"/>
      <c r="K19" s="38"/>
      <c r="L19" s="60">
        <f t="shared" ref="L19:M23" si="5">H19+J19</f>
        <v>-4774355</v>
      </c>
      <c r="M19" s="38">
        <f t="shared" si="5"/>
        <v>-12227599.229999989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-19000</v>
      </c>
      <c r="E21" s="38">
        <v>-50650</v>
      </c>
      <c r="F21" s="65">
        <f t="shared" si="6"/>
        <v>0</v>
      </c>
      <c r="G21" s="63">
        <f t="shared" si="6"/>
        <v>0</v>
      </c>
      <c r="H21" s="65">
        <f t="shared" si="4"/>
        <v>-19000</v>
      </c>
      <c r="I21" s="66">
        <f t="shared" si="4"/>
        <v>-50650</v>
      </c>
      <c r="J21" s="60"/>
      <c r="K21" s="38"/>
      <c r="L21" s="60">
        <f t="shared" si="5"/>
        <v>-19000</v>
      </c>
      <c r="M21" s="38">
        <f t="shared" si="5"/>
        <v>-50650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15686</v>
      </c>
      <c r="E23" s="38">
        <v>42585.120000000003</v>
      </c>
      <c r="F23" s="65">
        <f t="shared" si="6"/>
        <v>0</v>
      </c>
      <c r="G23" s="63">
        <f t="shared" si="6"/>
        <v>0</v>
      </c>
      <c r="H23" s="65">
        <f t="shared" si="4"/>
        <v>15686</v>
      </c>
      <c r="I23" s="66">
        <f t="shared" si="4"/>
        <v>42585.120000000003</v>
      </c>
      <c r="J23" s="60"/>
      <c r="K23" s="38"/>
      <c r="L23" s="60">
        <f t="shared" si="5"/>
        <v>15686</v>
      </c>
      <c r="M23" s="38">
        <f t="shared" si="5"/>
        <v>42585.120000000003</v>
      </c>
    </row>
    <row r="24" spans="1:13" x14ac:dyDescent="0.25">
      <c r="A24" s="9"/>
      <c r="B24" s="7" t="s">
        <v>33</v>
      </c>
      <c r="C24" s="6"/>
      <c r="D24" s="61">
        <v>-4777669</v>
      </c>
      <c r="E24" s="39">
        <v>-12235664.10999999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-4777669</v>
      </c>
      <c r="I24" s="39">
        <f>SUM(I19:I23)</f>
        <v>-12235664.10999999</v>
      </c>
      <c r="J24" s="61">
        <f t="shared" si="7"/>
        <v>0</v>
      </c>
      <c r="K24" s="39">
        <f t="shared" si="7"/>
        <v>0</v>
      </c>
      <c r="L24" s="61">
        <f t="shared" si="7"/>
        <v>-4777669</v>
      </c>
      <c r="M24" s="39">
        <f t="shared" si="7"/>
        <v>-12235664.10999999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24311564</v>
      </c>
      <c r="E27" s="38">
        <v>67805876.079999998</v>
      </c>
      <c r="F27" s="65">
        <f>H27-D27</f>
        <v>0</v>
      </c>
      <c r="G27" s="63">
        <f>I27-E27</f>
        <v>0</v>
      </c>
      <c r="H27" s="65">
        <f>D27</f>
        <v>24311564</v>
      </c>
      <c r="I27" s="66">
        <f>E27</f>
        <v>67805876.079999998</v>
      </c>
      <c r="J27" s="60"/>
      <c r="K27" s="38"/>
      <c r="L27" s="60">
        <f>H27+J27</f>
        <v>24311564</v>
      </c>
      <c r="M27" s="38">
        <f>I27+K27</f>
        <v>67805876.079999998</v>
      </c>
    </row>
    <row r="28" spans="1:13" x14ac:dyDescent="0.25">
      <c r="A28" s="9">
        <v>12</v>
      </c>
      <c r="B28" s="7"/>
      <c r="C28" s="18" t="s">
        <v>36</v>
      </c>
      <c r="D28" s="60">
        <v>-25280680</v>
      </c>
      <c r="E28" s="38">
        <v>-70510817.640000001</v>
      </c>
      <c r="F28" s="65">
        <f>H28-D28</f>
        <v>0</v>
      </c>
      <c r="G28" s="63">
        <f>I28-E28</f>
        <v>0</v>
      </c>
      <c r="H28" s="65">
        <f>D28</f>
        <v>-25280680</v>
      </c>
      <c r="I28" s="66">
        <f>E28</f>
        <v>-70510817.640000001</v>
      </c>
      <c r="J28" s="60"/>
      <c r="K28" s="38"/>
      <c r="L28" s="60">
        <f>H28+J28</f>
        <v>-25280680</v>
      </c>
      <c r="M28" s="38">
        <f>I28+K28</f>
        <v>-70510817.640000001</v>
      </c>
    </row>
    <row r="29" spans="1:13" x14ac:dyDescent="0.25">
      <c r="A29" s="9"/>
      <c r="B29" s="7" t="s">
        <v>37</v>
      </c>
      <c r="C29" s="6"/>
      <c r="D29" s="61">
        <v>-969116</v>
      </c>
      <c r="E29" s="39">
        <v>-2704941.56</v>
      </c>
      <c r="F29" s="61">
        <f t="shared" ref="F29:M29" si="8">SUM(F27:F28)</f>
        <v>0</v>
      </c>
      <c r="G29" s="39">
        <f t="shared" si="8"/>
        <v>0</v>
      </c>
      <c r="H29" s="61">
        <f>SUM(H27:H28)</f>
        <v>-969116</v>
      </c>
      <c r="I29" s="39">
        <f>SUM(I27:I28)</f>
        <v>-2704941.5600000024</v>
      </c>
      <c r="J29" s="61">
        <f t="shared" si="8"/>
        <v>0</v>
      </c>
      <c r="K29" s="39">
        <f t="shared" si="8"/>
        <v>0</v>
      </c>
      <c r="L29" s="61">
        <f t="shared" si="8"/>
        <v>-969116</v>
      </c>
      <c r="M29" s="39">
        <f t="shared" si="8"/>
        <v>-2704941.5600000024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-231232</v>
      </c>
      <c r="E40" s="38">
        <v>-623375.44999999995</v>
      </c>
      <c r="F40" s="65">
        <f t="shared" si="13"/>
        <v>0</v>
      </c>
      <c r="G40" s="63">
        <f t="shared" si="13"/>
        <v>0</v>
      </c>
      <c r="H40" s="65">
        <f t="shared" si="12"/>
        <v>-231232</v>
      </c>
      <c r="I40" s="66">
        <f t="shared" si="12"/>
        <v>-623375.44999999995</v>
      </c>
      <c r="J40" s="60"/>
      <c r="K40" s="38"/>
      <c r="L40" s="60">
        <f t="shared" si="14"/>
        <v>-231232</v>
      </c>
      <c r="M40" s="38">
        <f t="shared" si="14"/>
        <v>-623375.44999999995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-231232</v>
      </c>
      <c r="E42" s="39">
        <v>-623375.44999999995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-231232</v>
      </c>
      <c r="I42" s="39">
        <f>SUM(I40:I41)</f>
        <v>-623375.44999999995</v>
      </c>
      <c r="J42" s="61">
        <f t="shared" si="15"/>
        <v>0</v>
      </c>
      <c r="K42" s="39">
        <f t="shared" si="15"/>
        <v>0</v>
      </c>
      <c r="L42" s="69">
        <f t="shared" si="15"/>
        <v>-231232</v>
      </c>
      <c r="M42" s="70">
        <f t="shared" si="15"/>
        <v>-623375.44999999995</v>
      </c>
    </row>
    <row r="43" spans="1:13" ht="21" customHeight="1" x14ac:dyDescent="0.25">
      <c r="A43" s="9"/>
      <c r="B43" s="7" t="s">
        <v>49</v>
      </c>
      <c r="C43" s="6"/>
      <c r="D43" s="60">
        <v>-231232</v>
      </c>
      <c r="E43" s="38">
        <v>-623375.44999999995</v>
      </c>
      <c r="F43" s="61">
        <f t="shared" ref="F43:M43" si="16">F42+F39</f>
        <v>0</v>
      </c>
      <c r="G43" s="39">
        <f t="shared" si="16"/>
        <v>0</v>
      </c>
      <c r="H43" s="61">
        <f>H42+H39</f>
        <v>-231232</v>
      </c>
      <c r="I43" s="39">
        <f>I42+I39</f>
        <v>-623375.44999999995</v>
      </c>
      <c r="J43" s="61">
        <f t="shared" si="16"/>
        <v>0</v>
      </c>
      <c r="K43" s="39">
        <f t="shared" si="16"/>
        <v>0</v>
      </c>
      <c r="L43" s="61">
        <f t="shared" si="16"/>
        <v>-231232</v>
      </c>
      <c r="M43" s="39">
        <f t="shared" si="16"/>
        <v>-623375.44999999995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-8587218</v>
      </c>
      <c r="E49" s="38">
        <v>-21814188.702608138</v>
      </c>
      <c r="F49" s="65">
        <f>H49-D49</f>
        <v>0</v>
      </c>
      <c r="G49" s="63">
        <f>I49-E49</f>
        <v>0</v>
      </c>
      <c r="H49" s="65">
        <f>D49</f>
        <v>-8587218</v>
      </c>
      <c r="I49" s="66">
        <f>E49</f>
        <v>-21814188.702608138</v>
      </c>
      <c r="J49" s="60"/>
      <c r="K49" s="38"/>
      <c r="L49" s="60">
        <f>H49+J49</f>
        <v>-8587218</v>
      </c>
      <c r="M49" s="38">
        <f>I49+K49</f>
        <v>-21814188.702608138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-15686</v>
      </c>
      <c r="E51" s="38">
        <v>0</v>
      </c>
      <c r="F51" s="65">
        <f>H51-D51</f>
        <v>0</v>
      </c>
      <c r="G51" s="63">
        <f>I51-E51</f>
        <v>0</v>
      </c>
      <c r="H51" s="65">
        <f>D51</f>
        <v>-15686</v>
      </c>
      <c r="I51" s="66">
        <f>E51</f>
        <v>0</v>
      </c>
      <c r="J51" s="60"/>
      <c r="K51" s="38"/>
      <c r="L51" s="60">
        <f>H51+J51</f>
        <v>-15686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-551397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-551397</v>
      </c>
      <c r="J54" s="60"/>
      <c r="K54" s="38"/>
      <c r="L54" s="60">
        <f>H54+J54</f>
        <v>0</v>
      </c>
      <c r="M54" s="38">
        <f>I54+K54</f>
        <v>-551397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-551397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-551397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-551397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-8691498.1899999995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-8691498.1899999995</v>
      </c>
      <c r="J70" s="60"/>
      <c r="K70" s="38"/>
      <c r="L70" s="60">
        <f t="shared" si="20"/>
        <v>0</v>
      </c>
      <c r="M70" s="38">
        <f t="shared" si="20"/>
        <v>-8691498.1899999995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7489615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7489615</v>
      </c>
      <c r="J71" s="60"/>
      <c r="K71" s="38"/>
      <c r="L71" s="60">
        <f t="shared" si="20"/>
        <v>0</v>
      </c>
      <c r="M71" s="38">
        <f t="shared" si="20"/>
        <v>7489615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-1201883.19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-1201883.1899999995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-1201883.1899999995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1296213.95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1296213.95</v>
      </c>
      <c r="J74" s="60"/>
      <c r="K74" s="38"/>
      <c r="L74" s="60">
        <f t="shared" si="23"/>
        <v>0</v>
      </c>
      <c r="M74" s="38">
        <f t="shared" si="23"/>
        <v>1296213.95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2584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2584</v>
      </c>
      <c r="J75" s="60"/>
      <c r="K75" s="38"/>
      <c r="L75" s="60">
        <f t="shared" si="23"/>
        <v>0</v>
      </c>
      <c r="M75" s="38">
        <f t="shared" si="23"/>
        <v>2584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-1075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-1075</v>
      </c>
      <c r="J76" s="60"/>
      <c r="K76" s="38"/>
      <c r="L76" s="60">
        <f t="shared" si="23"/>
        <v>0</v>
      </c>
      <c r="M76" s="38">
        <f t="shared" si="23"/>
        <v>-1075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102711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102711</v>
      </c>
      <c r="J81" s="60"/>
      <c r="K81" s="38"/>
      <c r="L81" s="60">
        <f t="shared" si="23"/>
        <v>0</v>
      </c>
      <c r="M81" s="38">
        <f t="shared" si="23"/>
        <v>102711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635861.39739186317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635861.39739185944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635861.39739185944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170</v>
      </c>
      <c r="B85" s="3"/>
      <c r="M85" s="45">
        <f>M82+'TX-HPLR-FLSH'!M82</f>
        <v>635790.05739185808</v>
      </c>
    </row>
    <row r="86" spans="1:67" s="3" customFormat="1" x14ac:dyDescent="0.25">
      <c r="A86" s="144"/>
      <c r="C86" s="10" t="s">
        <v>166</v>
      </c>
      <c r="D86" s="148">
        <v>0</v>
      </c>
      <c r="E86" s="148">
        <v>-166392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-166392</v>
      </c>
      <c r="J86" s="148"/>
      <c r="K86" s="148"/>
      <c r="L86" s="148">
        <f t="shared" ref="L86:M88" si="27">H86+J86</f>
        <v>0</v>
      </c>
      <c r="M86" s="148">
        <f t="shared" si="27"/>
        <v>-166392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-166392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-166392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-166392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469469.39739186317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469469.39739185944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469469.39739185944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24" sqref="D2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134382</v>
      </c>
      <c r="E11" s="60">
        <v>349320.93000000715</v>
      </c>
      <c r="F11" s="60">
        <f>H11-D11</f>
        <v>0</v>
      </c>
      <c r="G11" s="37">
        <f>I11-E11</f>
        <v>0</v>
      </c>
      <c r="H11" s="65">
        <f>D11</f>
        <v>134382</v>
      </c>
      <c r="I11" s="66">
        <f>E11</f>
        <v>349320.93000000715</v>
      </c>
      <c r="J11" s="60"/>
      <c r="K11" s="38"/>
      <c r="L11" s="60">
        <f t="shared" ref="L11:M15" si="0">H11+J11</f>
        <v>134382</v>
      </c>
      <c r="M11" s="38">
        <f t="shared" si="0"/>
        <v>349320.93000000715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0.60999999986961484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0.60999999986961484</v>
      </c>
      <c r="J13" s="60"/>
      <c r="K13" s="38"/>
      <c r="L13" s="60">
        <f t="shared" si="0"/>
        <v>0</v>
      </c>
      <c r="M13" s="38">
        <f t="shared" si="0"/>
        <v>0.60999999986961484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134382</v>
      </c>
      <c r="E16" s="39">
        <v>349321.54000000702</v>
      </c>
      <c r="F16" s="61">
        <f t="shared" ref="F16:M16" si="3">SUM(F11:F15)</f>
        <v>0</v>
      </c>
      <c r="G16" s="39">
        <f t="shared" si="3"/>
        <v>0</v>
      </c>
      <c r="H16" s="61">
        <f>SUM(H11:H15)</f>
        <v>134382</v>
      </c>
      <c r="I16" s="39">
        <f>SUM(I11:I15)</f>
        <v>349321.54000000702</v>
      </c>
      <c r="J16" s="61">
        <f t="shared" si="3"/>
        <v>0</v>
      </c>
      <c r="K16" s="39">
        <f t="shared" si="3"/>
        <v>0</v>
      </c>
      <c r="L16" s="61">
        <f t="shared" si="3"/>
        <v>134382</v>
      </c>
      <c r="M16" s="39">
        <f t="shared" si="3"/>
        <v>349321.54000000702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-10.770000010728836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-10.770000010728836</v>
      </c>
      <c r="J19" s="60"/>
      <c r="K19" s="38"/>
      <c r="L19" s="60">
        <f t="shared" ref="L19:M23" si="5">H19+J19</f>
        <v>0</v>
      </c>
      <c r="M19" s="38">
        <f t="shared" si="5"/>
        <v>-10.770000010728836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4.8799999999973807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4.8799999999973807</v>
      </c>
      <c r="J23" s="60"/>
      <c r="K23" s="38"/>
      <c r="L23" s="60">
        <f t="shared" si="5"/>
        <v>0</v>
      </c>
      <c r="M23" s="38">
        <f t="shared" si="5"/>
        <v>4.8799999999973807</v>
      </c>
    </row>
    <row r="24" spans="1:13" x14ac:dyDescent="0.25">
      <c r="A24" s="9"/>
      <c r="B24" s="7" t="s">
        <v>33</v>
      </c>
      <c r="C24" s="6"/>
      <c r="D24" s="61">
        <v>0</v>
      </c>
      <c r="E24" s="39">
        <v>-5.8900000107314554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-5.8900000107314554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-5.8900000107314554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8.9200000166893005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8.9200000166893005</v>
      </c>
      <c r="J27" s="60"/>
      <c r="K27" s="38"/>
      <c r="L27" s="60">
        <f>H27+J27</f>
        <v>0</v>
      </c>
      <c r="M27" s="38">
        <f>I27+K27</f>
        <v>8.9200000166893005</v>
      </c>
    </row>
    <row r="28" spans="1:13" x14ac:dyDescent="0.25">
      <c r="A28" s="9">
        <v>12</v>
      </c>
      <c r="B28" s="7"/>
      <c r="C28" s="18" t="s">
        <v>36</v>
      </c>
      <c r="D28" s="60">
        <v>-134382</v>
      </c>
      <c r="E28" s="60">
        <v>-349396.36000001431</v>
      </c>
      <c r="F28" s="60">
        <f>H28-D28</f>
        <v>0</v>
      </c>
      <c r="G28" s="37">
        <f>I28-E28</f>
        <v>0</v>
      </c>
      <c r="H28" s="65">
        <f>D28</f>
        <v>-134382</v>
      </c>
      <c r="I28" s="66">
        <f>E28</f>
        <v>-349396.36000001431</v>
      </c>
      <c r="J28" s="60"/>
      <c r="K28" s="38"/>
      <c r="L28" s="60">
        <f>H28+J28</f>
        <v>-134382</v>
      </c>
      <c r="M28" s="38">
        <f>I28+K28</f>
        <v>-349396.36000001431</v>
      </c>
    </row>
    <row r="29" spans="1:13" x14ac:dyDescent="0.25">
      <c r="A29" s="9"/>
      <c r="B29" s="7" t="s">
        <v>37</v>
      </c>
      <c r="C29" s="6"/>
      <c r="D29" s="61">
        <v>-134382</v>
      </c>
      <c r="E29" s="39">
        <v>-349387.43999999762</v>
      </c>
      <c r="F29" s="61">
        <f t="shared" ref="F29:M29" si="8">SUM(F27:F28)</f>
        <v>0</v>
      </c>
      <c r="G29" s="39">
        <f t="shared" si="8"/>
        <v>0</v>
      </c>
      <c r="H29" s="61">
        <f>SUM(H27:H28)</f>
        <v>-134382</v>
      </c>
      <c r="I29" s="39">
        <f>SUM(I27:I28)</f>
        <v>-349387.43999999762</v>
      </c>
      <c r="J29" s="61">
        <f t="shared" si="8"/>
        <v>0</v>
      </c>
      <c r="K29" s="39">
        <f t="shared" si="8"/>
        <v>0</v>
      </c>
      <c r="L29" s="61">
        <f t="shared" si="8"/>
        <v>-134382</v>
      </c>
      <c r="M29" s="39">
        <f t="shared" si="8"/>
        <v>-349387.43999999762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0.44999999995343387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0.44999999995343387</v>
      </c>
      <c r="J40" s="60"/>
      <c r="K40" s="38"/>
      <c r="L40" s="60">
        <f t="shared" si="14"/>
        <v>0</v>
      </c>
      <c r="M40" s="38">
        <f t="shared" si="14"/>
        <v>0.44999999995343387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0.44999999995343387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0.44999999995343387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0.44999999995343387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0.44999999995343387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0.44999999995343387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0.44999999995343387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15686</v>
      </c>
      <c r="E51" s="60">
        <v>0</v>
      </c>
      <c r="F51" s="60">
        <f>H51-D51</f>
        <v>0</v>
      </c>
      <c r="G51" s="37">
        <f>I51-E51</f>
        <v>0</v>
      </c>
      <c r="H51" s="65">
        <f>D51</f>
        <v>15686</v>
      </c>
      <c r="I51" s="66">
        <f>E51</f>
        <v>0</v>
      </c>
      <c r="J51" s="60"/>
      <c r="K51" s="38"/>
      <c r="L51" s="60">
        <f>H51+J51</f>
        <v>15686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-71.340000001364388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-71.340000001364388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-71.340000001364388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75" sqref="D7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43609622</v>
      </c>
      <c r="E11" s="60">
        <v>111242090</v>
      </c>
      <c r="F11" s="60">
        <f>H11-D11</f>
        <v>0</v>
      </c>
      <c r="G11" s="37">
        <f>I11-E11</f>
        <v>0</v>
      </c>
      <c r="H11" s="65">
        <f>D11</f>
        <v>43609622</v>
      </c>
      <c r="I11" s="66">
        <f>E11</f>
        <v>111242090</v>
      </c>
      <c r="J11" s="60"/>
      <c r="K11" s="38"/>
      <c r="L11" s="60">
        <f t="shared" ref="L11:M15" si="0">H11+J11</f>
        <v>43609622</v>
      </c>
      <c r="M11" s="38">
        <f t="shared" si="0"/>
        <v>111242090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553423</v>
      </c>
      <c r="E13" s="60">
        <v>1469905</v>
      </c>
      <c r="F13" s="60">
        <f t="shared" si="1"/>
        <v>0</v>
      </c>
      <c r="G13" s="37">
        <f t="shared" si="1"/>
        <v>0</v>
      </c>
      <c r="H13" s="65">
        <f t="shared" si="2"/>
        <v>553423</v>
      </c>
      <c r="I13" s="66">
        <f t="shared" si="2"/>
        <v>1469905</v>
      </c>
      <c r="J13" s="60"/>
      <c r="K13" s="38"/>
      <c r="L13" s="60">
        <f t="shared" si="0"/>
        <v>553423</v>
      </c>
      <c r="M13" s="38">
        <f t="shared" si="0"/>
        <v>1469905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44163045</v>
      </c>
      <c r="E16" s="39">
        <v>112711995</v>
      </c>
      <c r="F16" s="61">
        <f t="shared" ref="F16:M16" si="3">SUM(F11:F15)</f>
        <v>0</v>
      </c>
      <c r="G16" s="39">
        <f t="shared" si="3"/>
        <v>0</v>
      </c>
      <c r="H16" s="61">
        <f>SUM(H11:H15)</f>
        <v>44163045</v>
      </c>
      <c r="I16" s="39">
        <f>SUM(I11:I15)</f>
        <v>112711995</v>
      </c>
      <c r="J16" s="61">
        <f t="shared" si="3"/>
        <v>0</v>
      </c>
      <c r="K16" s="39">
        <f t="shared" si="3"/>
        <v>0</v>
      </c>
      <c r="L16" s="61">
        <f t="shared" si="3"/>
        <v>44163045</v>
      </c>
      <c r="M16" s="39">
        <f t="shared" si="3"/>
        <v>112711995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-61703776</v>
      </c>
      <c r="E19" s="60">
        <v>-155304261</v>
      </c>
      <c r="F19" s="60">
        <f>H19-D19</f>
        <v>0</v>
      </c>
      <c r="G19" s="37">
        <f>I19-E19</f>
        <v>0</v>
      </c>
      <c r="H19" s="65">
        <f t="shared" si="4"/>
        <v>-61703776</v>
      </c>
      <c r="I19" s="66">
        <f t="shared" si="4"/>
        <v>-155304261</v>
      </c>
      <c r="J19" s="60"/>
      <c r="K19" s="38"/>
      <c r="L19" s="60">
        <f t="shared" ref="L19:M23" si="5">H19+J19</f>
        <v>-61703776</v>
      </c>
      <c r="M19" s="38">
        <f t="shared" si="5"/>
        <v>-155304261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-2604000</v>
      </c>
      <c r="E21" s="60">
        <v>-7068986</v>
      </c>
      <c r="F21" s="60">
        <f t="shared" si="6"/>
        <v>0</v>
      </c>
      <c r="G21" s="37">
        <f t="shared" si="6"/>
        <v>0</v>
      </c>
      <c r="H21" s="65">
        <f t="shared" si="4"/>
        <v>-2604000</v>
      </c>
      <c r="I21" s="66">
        <f t="shared" si="4"/>
        <v>-7068986</v>
      </c>
      <c r="J21" s="60"/>
      <c r="K21" s="38"/>
      <c r="L21" s="60">
        <f t="shared" si="5"/>
        <v>-2604000</v>
      </c>
      <c r="M21" s="38">
        <f t="shared" si="5"/>
        <v>-7068986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3607</v>
      </c>
      <c r="E23" s="60">
        <v>9896</v>
      </c>
      <c r="F23" s="60">
        <f t="shared" si="6"/>
        <v>0</v>
      </c>
      <c r="G23" s="37">
        <f t="shared" si="6"/>
        <v>0</v>
      </c>
      <c r="H23" s="65">
        <f t="shared" si="4"/>
        <v>3607</v>
      </c>
      <c r="I23" s="66">
        <f t="shared" si="4"/>
        <v>9896</v>
      </c>
      <c r="J23" s="60"/>
      <c r="K23" s="38"/>
      <c r="L23" s="60">
        <f t="shared" si="5"/>
        <v>3607</v>
      </c>
      <c r="M23" s="38">
        <f t="shared" si="5"/>
        <v>9896</v>
      </c>
    </row>
    <row r="24" spans="1:13" x14ac:dyDescent="0.25">
      <c r="A24" s="9"/>
      <c r="B24" s="7" t="s">
        <v>33</v>
      </c>
      <c r="C24" s="6"/>
      <c r="D24" s="61">
        <v>-64304169</v>
      </c>
      <c r="E24" s="39">
        <v>-162363351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-64304169</v>
      </c>
      <c r="I24" s="39">
        <f>SUM(I19:I23)</f>
        <v>-162363351</v>
      </c>
      <c r="J24" s="61">
        <f t="shared" si="7"/>
        <v>0</v>
      </c>
      <c r="K24" s="39">
        <f t="shared" si="7"/>
        <v>0</v>
      </c>
      <c r="L24" s="61">
        <f t="shared" si="7"/>
        <v>-64304169</v>
      </c>
      <c r="M24" s="39">
        <f t="shared" si="7"/>
        <v>-162363351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86031792</v>
      </c>
      <c r="E27" s="60">
        <v>234504731</v>
      </c>
      <c r="F27" s="60">
        <f>H27-D27</f>
        <v>0</v>
      </c>
      <c r="G27" s="37">
        <f>I27-E27</f>
        <v>0</v>
      </c>
      <c r="H27" s="65">
        <f>D27</f>
        <v>86031792</v>
      </c>
      <c r="I27" s="66">
        <f>E27</f>
        <v>234504731</v>
      </c>
      <c r="J27" s="60"/>
      <c r="K27" s="38"/>
      <c r="L27" s="60">
        <f>H27+J27</f>
        <v>86031792</v>
      </c>
      <c r="M27" s="38">
        <f>I27+K27</f>
        <v>234504731</v>
      </c>
    </row>
    <row r="28" spans="1:13" x14ac:dyDescent="0.25">
      <c r="A28" s="9">
        <v>12</v>
      </c>
      <c r="B28" s="7"/>
      <c r="C28" s="18" t="s">
        <v>36</v>
      </c>
      <c r="D28" s="60">
        <v>-84236884</v>
      </c>
      <c r="E28" s="60">
        <v>-229653994</v>
      </c>
      <c r="F28" s="60">
        <f>H28-D28</f>
        <v>0</v>
      </c>
      <c r="G28" s="37">
        <f>I28-E28</f>
        <v>0</v>
      </c>
      <c r="H28" s="65">
        <f>D28</f>
        <v>-84236884</v>
      </c>
      <c r="I28" s="66">
        <f>E28</f>
        <v>-229653994</v>
      </c>
      <c r="J28" s="60"/>
      <c r="K28" s="38"/>
      <c r="L28" s="60">
        <f>H28+J28</f>
        <v>-84236884</v>
      </c>
      <c r="M28" s="38">
        <f>I28+K28</f>
        <v>-229653994</v>
      </c>
    </row>
    <row r="29" spans="1:13" x14ac:dyDescent="0.25">
      <c r="A29" s="9"/>
      <c r="B29" s="7" t="s">
        <v>37</v>
      </c>
      <c r="C29" s="6"/>
      <c r="D29" s="61">
        <v>1794908</v>
      </c>
      <c r="E29" s="39">
        <v>4850737</v>
      </c>
      <c r="F29" s="61">
        <f t="shared" ref="F29:M29" si="8">SUM(F27:F28)</f>
        <v>0</v>
      </c>
      <c r="G29" s="39">
        <f t="shared" si="8"/>
        <v>0</v>
      </c>
      <c r="H29" s="61">
        <f>SUM(H27:H28)</f>
        <v>1794908</v>
      </c>
      <c r="I29" s="39">
        <f>SUM(I27:I28)</f>
        <v>4850737</v>
      </c>
      <c r="J29" s="61">
        <f t="shared" si="8"/>
        <v>0</v>
      </c>
      <c r="K29" s="39">
        <f t="shared" si="8"/>
        <v>0</v>
      </c>
      <c r="L29" s="61">
        <f t="shared" si="8"/>
        <v>1794908</v>
      </c>
      <c r="M29" s="39">
        <f t="shared" si="8"/>
        <v>4850737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9915589</v>
      </c>
      <c r="E39" s="60">
        <v>26282287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9915589</v>
      </c>
      <c r="I39" s="66">
        <f t="shared" si="12"/>
        <v>26282287</v>
      </c>
      <c r="J39" s="60"/>
      <c r="K39" s="38"/>
      <c r="L39" s="60">
        <f t="shared" ref="L39:M41" si="14">H39+J39</f>
        <v>9915589</v>
      </c>
      <c r="M39" s="38">
        <f t="shared" si="14"/>
        <v>26282287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-300337</v>
      </c>
      <c r="E40" s="60">
        <v>-869476</v>
      </c>
      <c r="F40" s="60">
        <f t="shared" si="13"/>
        <v>0</v>
      </c>
      <c r="G40" s="37">
        <f t="shared" si="13"/>
        <v>0</v>
      </c>
      <c r="H40" s="65">
        <f t="shared" si="12"/>
        <v>-300337</v>
      </c>
      <c r="I40" s="66">
        <f t="shared" si="12"/>
        <v>-869476</v>
      </c>
      <c r="J40" s="60"/>
      <c r="K40" s="38"/>
      <c r="L40" s="60">
        <f t="shared" si="14"/>
        <v>-300337</v>
      </c>
      <c r="M40" s="38">
        <f t="shared" si="14"/>
        <v>-869476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-300337</v>
      </c>
      <c r="E42" s="39">
        <v>-869476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-300337</v>
      </c>
      <c r="I42" s="39">
        <f>SUM(I40:I41)</f>
        <v>-869476</v>
      </c>
      <c r="J42" s="61">
        <f t="shared" si="15"/>
        <v>0</v>
      </c>
      <c r="K42" s="39">
        <f t="shared" si="15"/>
        <v>0</v>
      </c>
      <c r="L42" s="61">
        <f t="shared" si="15"/>
        <v>-300337</v>
      </c>
      <c r="M42" s="39">
        <f t="shared" si="15"/>
        <v>-869476</v>
      </c>
    </row>
    <row r="43" spans="1:13" ht="21" customHeight="1" x14ac:dyDescent="0.25">
      <c r="A43" s="9"/>
      <c r="B43" s="7" t="s">
        <v>49</v>
      </c>
      <c r="C43" s="6"/>
      <c r="D43" s="61">
        <v>9615252</v>
      </c>
      <c r="E43" s="39">
        <v>25412811</v>
      </c>
      <c r="F43" s="61">
        <f t="shared" ref="F43:M43" si="16">F42+F39</f>
        <v>0</v>
      </c>
      <c r="G43" s="39">
        <f t="shared" si="16"/>
        <v>0</v>
      </c>
      <c r="H43" s="61">
        <f>H42+H39</f>
        <v>9615252</v>
      </c>
      <c r="I43" s="39">
        <f>I42+I39</f>
        <v>25412811</v>
      </c>
      <c r="J43" s="61">
        <f t="shared" si="16"/>
        <v>0</v>
      </c>
      <c r="K43" s="39">
        <f t="shared" si="16"/>
        <v>0</v>
      </c>
      <c r="L43" s="61">
        <f t="shared" si="16"/>
        <v>9615252</v>
      </c>
      <c r="M43" s="39">
        <f t="shared" si="16"/>
        <v>25412811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8730964</v>
      </c>
      <c r="E49" s="60">
        <v>22179347.98577122</v>
      </c>
      <c r="F49" s="60">
        <f>H49-D49</f>
        <v>0</v>
      </c>
      <c r="G49" s="37">
        <f>I49-E49</f>
        <v>0</v>
      </c>
      <c r="H49" s="65">
        <f>D49</f>
        <v>8730964</v>
      </c>
      <c r="I49" s="66">
        <f>E49</f>
        <v>22179347.98577122</v>
      </c>
      <c r="J49" s="60"/>
      <c r="K49" s="38"/>
      <c r="L49" s="60">
        <f>H49+J49</f>
        <v>8730964</v>
      </c>
      <c r="M49" s="38">
        <f>I49+K49</f>
        <v>22179347.98577122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-1700059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-1700059</v>
      </c>
      <c r="J54" s="60"/>
      <c r="K54" s="38"/>
      <c r="L54" s="60">
        <f>H54+J54</f>
        <v>0</v>
      </c>
      <c r="M54" s="38">
        <f>I54+K54</f>
        <v>-1700059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-1700059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-1700059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-1700059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993180.98577122018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993180.98577122018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993180.98577122018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58078007</v>
      </c>
      <c r="E11" s="38">
        <f>'TX-EGM-FLSH'!E11+'TX-HPLR-FLSH'!E11+'TX-HPLC-FLSH'!E11</f>
        <v>149214913</v>
      </c>
      <c r="F11" s="60">
        <f>H11-D11</f>
        <v>0</v>
      </c>
      <c r="G11" s="37">
        <f>I11-E11</f>
        <v>0</v>
      </c>
      <c r="H11" s="60">
        <f>'TX-EGM-FLSH'!H11+'TX-HPLR-FLSH'!H11+'TX-HPLC-FLSH'!H11</f>
        <v>58078007</v>
      </c>
      <c r="I11" s="38">
        <f>'TX-EGM-FLSH'!I11+'TX-HPLR-FLSH'!I11+'TX-HPLC-FLSH'!I11</f>
        <v>149214913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58078007</v>
      </c>
      <c r="M11" s="38">
        <f t="shared" si="0"/>
        <v>149214913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784655</v>
      </c>
      <c r="E13" s="38">
        <f>'TX-EGM-FLSH'!E13+'TX-HPLR-FLSH'!E13+'TX-HPLC-FLSH'!E13</f>
        <v>2093281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784655</v>
      </c>
      <c r="I13" s="38">
        <f>'TX-EGM-FLSH'!I13+'TX-HPLR-FLSH'!I13+'TX-HPLC-FLSH'!I13</f>
        <v>2093281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784655</v>
      </c>
      <c r="M13" s="38">
        <f t="shared" si="0"/>
        <v>2093281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f>SUM(D11:D15)</f>
        <v>58862662</v>
      </c>
      <c r="E16" s="39">
        <f>SUM(E11:E15)</f>
        <v>151428194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58862662</v>
      </c>
      <c r="I16" s="39">
        <f t="shared" si="2"/>
        <v>151428194</v>
      </c>
      <c r="J16" s="61">
        <f t="shared" si="2"/>
        <v>0</v>
      </c>
      <c r="K16" s="39">
        <f t="shared" si="2"/>
        <v>0</v>
      </c>
      <c r="L16" s="61">
        <f t="shared" si="2"/>
        <v>58862662</v>
      </c>
      <c r="M16" s="39">
        <f t="shared" si="2"/>
        <v>151428194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-66478131</v>
      </c>
      <c r="E19" s="38">
        <f>'TX-EGM-FLSH'!E19+'TX-HPLR-FLSH'!E19+'TX-HPLC-FLSH'!E19</f>
        <v>-167531871</v>
      </c>
      <c r="F19" s="60">
        <f>H19-D19</f>
        <v>0</v>
      </c>
      <c r="G19" s="37">
        <f>I19-E19</f>
        <v>0</v>
      </c>
      <c r="H19" s="60">
        <f>'TX-EGM-FLSH'!H19+'TX-HPLR-FLSH'!H19+'TX-HPLC-FLSH'!H19</f>
        <v>-66478131</v>
      </c>
      <c r="I19" s="38">
        <f>'TX-EGM-FLSH'!I19+'TX-HPLR-FLSH'!I19+'TX-HPLC-FLSH'!I19</f>
        <v>-167531871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-66478131</v>
      </c>
      <c r="M19" s="38">
        <f t="shared" si="3"/>
        <v>-167531871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-2623000</v>
      </c>
      <c r="E21" s="38">
        <f>'TX-EGM-FLSH'!E21+'TX-HPLR-FLSH'!E21+'TX-HPLC-FLSH'!E21</f>
        <v>-7119636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-2623000</v>
      </c>
      <c r="I21" s="38">
        <f>'TX-EGM-FLSH'!I21+'TX-HPLR-FLSH'!I21+'TX-HPLC-FLSH'!I21</f>
        <v>-7119636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-2623000</v>
      </c>
      <c r="M21" s="38">
        <f t="shared" si="3"/>
        <v>-7119636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19293</v>
      </c>
      <c r="E23" s="38">
        <f>'TX-EGM-FLSH'!E23+'TX-HPLR-FLSH'!E23+'TX-HPLC-FLSH'!E23</f>
        <v>52486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19293</v>
      </c>
      <c r="I23" s="38">
        <f>'TX-EGM-FLSH'!I23+'TX-HPLR-FLSH'!I23+'TX-HPLC-FLSH'!I23</f>
        <v>52486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19293</v>
      </c>
      <c r="M23" s="38">
        <f t="shared" si="3"/>
        <v>52486</v>
      </c>
    </row>
    <row r="24" spans="1:13" x14ac:dyDescent="0.25">
      <c r="A24" s="9"/>
      <c r="B24" s="7" t="s">
        <v>33</v>
      </c>
      <c r="C24" s="6"/>
      <c r="D24" s="61">
        <f>SUM(D19:D23)</f>
        <v>-69081838</v>
      </c>
      <c r="E24" s="39">
        <f>SUM(E19:E23)</f>
        <v>-174599021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-69081838</v>
      </c>
      <c r="I24" s="39">
        <f t="shared" si="5"/>
        <v>-174599021</v>
      </c>
      <c r="J24" s="61">
        <f t="shared" si="5"/>
        <v>0</v>
      </c>
      <c r="K24" s="39">
        <f t="shared" si="5"/>
        <v>0</v>
      </c>
      <c r="L24" s="61">
        <f t="shared" si="5"/>
        <v>-69081838</v>
      </c>
      <c r="M24" s="39">
        <f t="shared" si="5"/>
        <v>-174599021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110343356</v>
      </c>
      <c r="E27" s="38">
        <f>'TX-EGM-FLSH'!E27+'TX-HPLR-FLSH'!E27+'TX-HPLC-FLSH'!E27</f>
        <v>302310616</v>
      </c>
      <c r="F27" s="60">
        <f>H27-D27</f>
        <v>0</v>
      </c>
      <c r="G27" s="37">
        <f>I27-E27</f>
        <v>0</v>
      </c>
      <c r="H27" s="60">
        <f>'TX-EGM-FLSH'!H27+'TX-HPLR-FLSH'!H27+'TX-HPLC-FLSH'!H27</f>
        <v>110343356</v>
      </c>
      <c r="I27" s="38">
        <f>'TX-EGM-FLSH'!I27+'TX-HPLR-FLSH'!I27+'TX-HPLC-FLSH'!I27</f>
        <v>302310616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110343356</v>
      </c>
      <c r="M27" s="38">
        <f>I27+K27</f>
        <v>302310616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-109651946</v>
      </c>
      <c r="E28" s="38">
        <f>'TX-EGM-FLSH'!E28+'TX-HPLR-FLSH'!E28+'TX-HPLC-FLSH'!E28</f>
        <v>-300514208</v>
      </c>
      <c r="F28" s="60">
        <f>H28-D28</f>
        <v>0</v>
      </c>
      <c r="G28" s="37">
        <f>I28-E28</f>
        <v>0</v>
      </c>
      <c r="H28" s="60">
        <f>'TX-EGM-FLSH'!H28+'TX-HPLR-FLSH'!H28+'TX-HPLC-FLSH'!H28</f>
        <v>-109651946</v>
      </c>
      <c r="I28" s="38">
        <f>'TX-EGM-FLSH'!I28+'TX-HPLR-FLSH'!I28+'TX-HPLC-FLSH'!I28</f>
        <v>-300514208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-109651946</v>
      </c>
      <c r="M28" s="38">
        <f>I28+K28</f>
        <v>-300514208</v>
      </c>
    </row>
    <row r="29" spans="1:13" x14ac:dyDescent="0.25">
      <c r="A29" s="9"/>
      <c r="B29" s="7" t="s">
        <v>37</v>
      </c>
      <c r="C29" s="6"/>
      <c r="D29" s="61">
        <f>SUM(D27:D28)</f>
        <v>691410</v>
      </c>
      <c r="E29" s="39">
        <f>SUM(E27:E28)</f>
        <v>1796408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691410</v>
      </c>
      <c r="I29" s="39">
        <f t="shared" si="6"/>
        <v>1796408</v>
      </c>
      <c r="J29" s="61">
        <f t="shared" si="6"/>
        <v>0</v>
      </c>
      <c r="K29" s="39">
        <f t="shared" si="6"/>
        <v>0</v>
      </c>
      <c r="L29" s="61">
        <f t="shared" si="6"/>
        <v>691410</v>
      </c>
      <c r="M29" s="39">
        <f t="shared" si="6"/>
        <v>1796408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9915589</v>
      </c>
      <c r="E39" s="38">
        <f>'TX-EGM-FLSH'!E39+'TX-HPLR-FLSH'!E39+'TX-HPLC-FLSH'!E39</f>
        <v>26282287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9915589</v>
      </c>
      <c r="I39" s="38">
        <f>'TX-EGM-FLSH'!I39+'TX-HPLR-FLSH'!I39+'TX-HPLC-FLSH'!I39</f>
        <v>26282287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9915589</v>
      </c>
      <c r="M39" s="38">
        <f t="shared" si="11"/>
        <v>26282287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-531569</v>
      </c>
      <c r="E40" s="38">
        <f>'TX-EGM-FLSH'!E40+'TX-HPLR-FLSH'!E40+'TX-HPLC-FLSH'!E40</f>
        <v>-1492851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-531569</v>
      </c>
      <c r="I40" s="38">
        <f>'TX-EGM-FLSH'!I40+'TX-HPLR-FLSH'!I40+'TX-HPLC-FLSH'!I40</f>
        <v>-1492851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-531569</v>
      </c>
      <c r="M40" s="38">
        <f t="shared" si="11"/>
        <v>-1492851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-531569</v>
      </c>
      <c r="E42" s="39">
        <f>SUM(E40:E41)</f>
        <v>-1492851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-531569</v>
      </c>
      <c r="I42" s="39">
        <f t="shared" si="12"/>
        <v>-1492851</v>
      </c>
      <c r="J42" s="61">
        <f t="shared" si="12"/>
        <v>0</v>
      </c>
      <c r="K42" s="39">
        <f t="shared" si="12"/>
        <v>0</v>
      </c>
      <c r="L42" s="61">
        <f t="shared" si="12"/>
        <v>-531569</v>
      </c>
      <c r="M42" s="39">
        <f t="shared" si="12"/>
        <v>-1492851</v>
      </c>
    </row>
    <row r="43" spans="1:13" ht="21" customHeight="1" x14ac:dyDescent="0.25">
      <c r="A43" s="9"/>
      <c r="B43" s="7" t="s">
        <v>49</v>
      </c>
      <c r="C43" s="6"/>
      <c r="D43" s="61">
        <f>D42+D39</f>
        <v>9384020</v>
      </c>
      <c r="E43" s="39">
        <f>E42+E39</f>
        <v>24789436</v>
      </c>
      <c r="F43" s="61">
        <f t="shared" ref="F43:M43" si="13">F42+F39</f>
        <v>0</v>
      </c>
      <c r="G43" s="39">
        <f t="shared" si="13"/>
        <v>0</v>
      </c>
      <c r="H43" s="61">
        <f t="shared" si="13"/>
        <v>9384020</v>
      </c>
      <c r="I43" s="39">
        <f t="shared" si="13"/>
        <v>24789436</v>
      </c>
      <c r="J43" s="61">
        <f t="shared" si="13"/>
        <v>0</v>
      </c>
      <c r="K43" s="39">
        <f t="shared" si="13"/>
        <v>0</v>
      </c>
      <c r="L43" s="61">
        <f t="shared" si="13"/>
        <v>9384020</v>
      </c>
      <c r="M43" s="39">
        <f t="shared" si="13"/>
        <v>24789436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143746</v>
      </c>
      <c r="E49" s="38">
        <f>'TX-EGM-FLSH'!E49+'TX-HPLR-FLSH'!E49+'TX-HPLC-FLSH'!E49</f>
        <v>365159.28316308185</v>
      </c>
      <c r="F49" s="60">
        <f>H49-D49</f>
        <v>0</v>
      </c>
      <c r="G49" s="37">
        <f>I49-E49</f>
        <v>0</v>
      </c>
      <c r="H49" s="60">
        <f>'TX-EGM-FLSH'!H49+'TX-HPLR-FLSH'!H49+'TX-HPLC-FLSH'!H49</f>
        <v>143746</v>
      </c>
      <c r="I49" s="38">
        <f>'TX-EGM-FLSH'!I49+'TX-HPLR-FLSH'!I49+'TX-HPLC-FLSH'!I49</f>
        <v>365159.28316308185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143746</v>
      </c>
      <c r="M49" s="38">
        <f>I49+K49</f>
        <v>365159.28316308185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-2251456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-2251456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-2251456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-2251456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-2251456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-2251456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-8691498.1899999995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-8691498.1899999995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-8691498.1899999995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7489615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7489615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7489615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-1201883.1899999995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-1201883.1899999995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-1201883.1899999995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1296213.95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1296213.95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1296213.95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2584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2584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2584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-1075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-1075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-1075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102711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102711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102711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1628971.0431630723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1628971.0431630723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1628971.0431630723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165</v>
      </c>
      <c r="B85" s="3"/>
      <c r="E85" s="31">
        <f>+'TX-HPLR-FLSH'!E82+'TX-EGM-FLSH'!E82</f>
        <v>635790.0573918618</v>
      </c>
    </row>
    <row r="86" spans="1:67" s="3" customFormat="1" x14ac:dyDescent="0.25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-166392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-166392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-166392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-166392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-166392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-166392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1462579.0431630723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1462579.0431630723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1462579.0431630723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2" sqref="D2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41743983</v>
      </c>
      <c r="E11" s="65">
        <v>106899568</v>
      </c>
      <c r="F11" s="60">
        <f>H11-D11</f>
        <v>0</v>
      </c>
      <c r="G11" s="37">
        <f>I11-E11</f>
        <v>0</v>
      </c>
      <c r="H11" s="65">
        <f>D11</f>
        <v>41743983</v>
      </c>
      <c r="I11" s="66">
        <f>E11</f>
        <v>106899568</v>
      </c>
      <c r="J11" s="60"/>
      <c r="K11" s="38"/>
      <c r="L11" s="60">
        <f t="shared" ref="L11:M15" si="0">H11+J11</f>
        <v>41743983</v>
      </c>
      <c r="M11" s="38">
        <f t="shared" si="0"/>
        <v>106899568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12749483</v>
      </c>
      <c r="E13" s="65">
        <v>35048944</v>
      </c>
      <c r="F13" s="60">
        <f t="shared" si="1"/>
        <v>0</v>
      </c>
      <c r="G13" s="37">
        <f t="shared" si="1"/>
        <v>0</v>
      </c>
      <c r="H13" s="65">
        <f t="shared" si="2"/>
        <v>12749483</v>
      </c>
      <c r="I13" s="66">
        <f t="shared" si="2"/>
        <v>35048944</v>
      </c>
      <c r="J13" s="60"/>
      <c r="K13" s="38"/>
      <c r="L13" s="60">
        <f t="shared" si="0"/>
        <v>12749483</v>
      </c>
      <c r="M13" s="38">
        <f t="shared" si="0"/>
        <v>35048944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54493466</v>
      </c>
      <c r="E16" s="39">
        <v>141948512</v>
      </c>
      <c r="F16" s="61">
        <f t="shared" ref="F16:M16" si="3">SUM(F11:F15)</f>
        <v>0</v>
      </c>
      <c r="G16" s="39">
        <f t="shared" si="3"/>
        <v>0</v>
      </c>
      <c r="H16" s="61">
        <f>SUM(H11:H15)</f>
        <v>54493466</v>
      </c>
      <c r="I16" s="39">
        <f>SUM(I11:I15)</f>
        <v>141948512</v>
      </c>
      <c r="J16" s="61">
        <f t="shared" si="3"/>
        <v>0</v>
      </c>
      <c r="K16" s="39">
        <f t="shared" si="3"/>
        <v>0</v>
      </c>
      <c r="L16" s="61">
        <f t="shared" si="3"/>
        <v>54493466</v>
      </c>
      <c r="M16" s="39">
        <f t="shared" si="3"/>
        <v>141948512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-44689424</v>
      </c>
      <c r="E19" s="65">
        <v>-113603600</v>
      </c>
      <c r="F19" s="60">
        <f>H19-D19</f>
        <v>0</v>
      </c>
      <c r="G19" s="37">
        <f>I19-E19</f>
        <v>0</v>
      </c>
      <c r="H19" s="65">
        <f t="shared" si="4"/>
        <v>-44689424</v>
      </c>
      <c r="I19" s="66">
        <f t="shared" si="4"/>
        <v>-113603600</v>
      </c>
      <c r="J19" s="60"/>
      <c r="K19" s="38"/>
      <c r="L19" s="60">
        <f t="shared" ref="L19:M23" si="5">H19+J19</f>
        <v>-44689424</v>
      </c>
      <c r="M19" s="38">
        <f t="shared" si="5"/>
        <v>-113603600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-12749483</v>
      </c>
      <c r="E21" s="65">
        <v>-35048344</v>
      </c>
      <c r="F21" s="60">
        <f t="shared" si="6"/>
        <v>0</v>
      </c>
      <c r="G21" s="37">
        <f t="shared" si="6"/>
        <v>0</v>
      </c>
      <c r="H21" s="65">
        <f t="shared" si="4"/>
        <v>-12749483</v>
      </c>
      <c r="I21" s="66">
        <f t="shared" si="4"/>
        <v>-35048344</v>
      </c>
      <c r="J21" s="60"/>
      <c r="K21" s="38"/>
      <c r="L21" s="60">
        <f t="shared" si="5"/>
        <v>-12749483</v>
      </c>
      <c r="M21" s="38">
        <f t="shared" si="5"/>
        <v>-35048344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235209</v>
      </c>
      <c r="E23" s="65">
        <v>627761</v>
      </c>
      <c r="F23" s="60">
        <f t="shared" si="6"/>
        <v>0</v>
      </c>
      <c r="G23" s="37">
        <f t="shared" si="6"/>
        <v>0</v>
      </c>
      <c r="H23" s="65">
        <f t="shared" si="4"/>
        <v>235209</v>
      </c>
      <c r="I23" s="66">
        <f t="shared" si="4"/>
        <v>627761</v>
      </c>
      <c r="J23" s="60"/>
      <c r="K23" s="38"/>
      <c r="L23" s="60">
        <f t="shared" si="5"/>
        <v>235209</v>
      </c>
      <c r="M23" s="38">
        <f t="shared" si="5"/>
        <v>627761</v>
      </c>
    </row>
    <row r="24" spans="1:13" x14ac:dyDescent="0.25">
      <c r="A24" s="9"/>
      <c r="B24" s="7" t="s">
        <v>33</v>
      </c>
      <c r="C24" s="6"/>
      <c r="D24" s="61">
        <v>-57203698</v>
      </c>
      <c r="E24" s="39">
        <v>-148024183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-57203698</v>
      </c>
      <c r="I24" s="39">
        <f>SUM(I19:I23)</f>
        <v>-148024183</v>
      </c>
      <c r="J24" s="61">
        <f t="shared" si="7"/>
        <v>0</v>
      </c>
      <c r="K24" s="39">
        <f t="shared" si="7"/>
        <v>0</v>
      </c>
      <c r="L24" s="61">
        <f t="shared" si="7"/>
        <v>-57203698</v>
      </c>
      <c r="M24" s="39">
        <f t="shared" si="7"/>
        <v>-148024183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1205247</v>
      </c>
      <c r="E27" s="65">
        <v>3264184</v>
      </c>
      <c r="F27" s="60">
        <f>H27-D27</f>
        <v>0</v>
      </c>
      <c r="G27" s="37">
        <f>I27-E27</f>
        <v>0</v>
      </c>
      <c r="H27" s="65">
        <f>D27</f>
        <v>1205247</v>
      </c>
      <c r="I27" s="66">
        <f>E27</f>
        <v>3264184</v>
      </c>
      <c r="J27" s="60"/>
      <c r="K27" s="38"/>
      <c r="L27" s="60">
        <f>H27+J27</f>
        <v>1205247</v>
      </c>
      <c r="M27" s="38">
        <f>I27+K27</f>
        <v>3264184</v>
      </c>
    </row>
    <row r="28" spans="1:13" x14ac:dyDescent="0.25">
      <c r="A28" s="9">
        <v>12</v>
      </c>
      <c r="B28" s="7"/>
      <c r="C28" s="18" t="s">
        <v>36</v>
      </c>
      <c r="D28" s="65">
        <v>-60000</v>
      </c>
      <c r="E28" s="65">
        <v>-157200</v>
      </c>
      <c r="F28" s="60">
        <f>H28-D28</f>
        <v>0</v>
      </c>
      <c r="G28" s="37">
        <f>I28-E28</f>
        <v>0</v>
      </c>
      <c r="H28" s="65">
        <f>D28</f>
        <v>-60000</v>
      </c>
      <c r="I28" s="66">
        <f>E28</f>
        <v>-157200</v>
      </c>
      <c r="J28" s="60"/>
      <c r="K28" s="38"/>
      <c r="L28" s="60">
        <f>H28+J28</f>
        <v>-60000</v>
      </c>
      <c r="M28" s="38">
        <f>I28+K28</f>
        <v>-157200</v>
      </c>
    </row>
    <row r="29" spans="1:13" x14ac:dyDescent="0.25">
      <c r="A29" s="9"/>
      <c r="B29" s="7" t="s">
        <v>37</v>
      </c>
      <c r="C29" s="6"/>
      <c r="D29" s="61">
        <v>1145247</v>
      </c>
      <c r="E29" s="39">
        <v>3106984</v>
      </c>
      <c r="F29" s="61">
        <f t="shared" ref="F29:M29" si="8">SUM(F27:F28)</f>
        <v>0</v>
      </c>
      <c r="G29" s="39">
        <f t="shared" si="8"/>
        <v>0</v>
      </c>
      <c r="H29" s="61">
        <f>SUM(H27:H28)</f>
        <v>1145247</v>
      </c>
      <c r="I29" s="39">
        <f>SUM(I27:I28)</f>
        <v>3106984</v>
      </c>
      <c r="J29" s="61">
        <f t="shared" si="8"/>
        <v>0</v>
      </c>
      <c r="K29" s="39">
        <f t="shared" si="8"/>
        <v>0</v>
      </c>
      <c r="L29" s="61">
        <f t="shared" si="8"/>
        <v>1145247</v>
      </c>
      <c r="M29" s="39">
        <f t="shared" si="8"/>
        <v>3106984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2541</v>
      </c>
      <c r="E32" s="65">
        <v>7230</v>
      </c>
      <c r="F32" s="60">
        <f>H32-D32</f>
        <v>0</v>
      </c>
      <c r="G32" s="37">
        <f>I32-E32</f>
        <v>0</v>
      </c>
      <c r="H32" s="65">
        <f t="shared" ref="H32:I35" si="9">D32</f>
        <v>2541</v>
      </c>
      <c r="I32" s="66">
        <f t="shared" si="9"/>
        <v>7230</v>
      </c>
      <c r="J32" s="60"/>
      <c r="K32" s="38"/>
      <c r="L32" s="60">
        <f t="shared" ref="L32:M35" si="10">H32+J32</f>
        <v>2541</v>
      </c>
      <c r="M32" s="38">
        <f t="shared" si="10"/>
        <v>7230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1794642</v>
      </c>
      <c r="E35" s="65">
        <v>4805939</v>
      </c>
      <c r="F35" s="60">
        <f t="shared" si="11"/>
        <v>0</v>
      </c>
      <c r="G35" s="37">
        <f t="shared" si="11"/>
        <v>0</v>
      </c>
      <c r="H35" s="65">
        <f t="shared" si="9"/>
        <v>1794642</v>
      </c>
      <c r="I35" s="66">
        <f t="shared" si="9"/>
        <v>4805939</v>
      </c>
      <c r="J35" s="60"/>
      <c r="K35" s="38"/>
      <c r="L35" s="60">
        <f t="shared" si="10"/>
        <v>1794642</v>
      </c>
      <c r="M35" s="38">
        <f t="shared" si="10"/>
        <v>4805939</v>
      </c>
    </row>
    <row r="36" spans="1:13" x14ac:dyDescent="0.25">
      <c r="A36" s="9"/>
      <c r="B36" s="7" t="s">
        <v>43</v>
      </c>
      <c r="C36" s="6"/>
      <c r="D36" s="61">
        <v>1797183</v>
      </c>
      <c r="E36" s="39">
        <v>4813169</v>
      </c>
      <c r="F36" s="61">
        <f>SUM(F32:F35)</f>
        <v>0</v>
      </c>
      <c r="G36" s="39">
        <f>SUM(G32:G35)</f>
        <v>0</v>
      </c>
      <c r="H36" s="61">
        <f>SUM(H32:H35)</f>
        <v>1797183</v>
      </c>
      <c r="I36" s="39">
        <f>SUM(I32:I35)</f>
        <v>4813169</v>
      </c>
      <c r="J36" s="61">
        <f>SUM(J32:J34)</f>
        <v>0</v>
      </c>
      <c r="K36" s="39">
        <f>SUM(K32:K34)</f>
        <v>0</v>
      </c>
      <c r="L36" s="61">
        <f>SUM(L32:L35)</f>
        <v>1797183</v>
      </c>
      <c r="M36" s="39">
        <f>SUM(M32:M35)</f>
        <v>4813169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5456</v>
      </c>
      <c r="E39" s="65">
        <v>14102</v>
      </c>
      <c r="F39" s="60">
        <f t="shared" ref="F39:G41" si="13">H39-D39</f>
        <v>0</v>
      </c>
      <c r="G39" s="37">
        <f t="shared" si="13"/>
        <v>0</v>
      </c>
      <c r="H39" s="65">
        <f t="shared" si="12"/>
        <v>5456</v>
      </c>
      <c r="I39" s="66">
        <f t="shared" si="12"/>
        <v>14102</v>
      </c>
      <c r="J39" s="60"/>
      <c r="K39" s="38"/>
      <c r="L39" s="60">
        <f t="shared" ref="L39:M41" si="14">H39+J39</f>
        <v>5456</v>
      </c>
      <c r="M39" s="38">
        <f t="shared" si="14"/>
        <v>14102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-82959</v>
      </c>
      <c r="E40" s="65">
        <v>-206053</v>
      </c>
      <c r="F40" s="60">
        <f t="shared" si="13"/>
        <v>0</v>
      </c>
      <c r="G40" s="37">
        <f t="shared" si="13"/>
        <v>0</v>
      </c>
      <c r="H40" s="65">
        <f t="shared" si="12"/>
        <v>-82959</v>
      </c>
      <c r="I40" s="66">
        <f t="shared" si="12"/>
        <v>-206053</v>
      </c>
      <c r="J40" s="60"/>
      <c r="K40" s="38"/>
      <c r="L40" s="60">
        <f t="shared" si="14"/>
        <v>-82959</v>
      </c>
      <c r="M40" s="38">
        <f t="shared" si="14"/>
        <v>-206053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-82959</v>
      </c>
      <c r="E42" s="39">
        <v>-206053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-82959</v>
      </c>
      <c r="I42" s="39">
        <f>SUM(I40:I41)</f>
        <v>-206053</v>
      </c>
      <c r="J42" s="61">
        <f t="shared" si="15"/>
        <v>0</v>
      </c>
      <c r="K42" s="39">
        <f t="shared" si="15"/>
        <v>0</v>
      </c>
      <c r="L42" s="61">
        <f t="shared" si="15"/>
        <v>-82959</v>
      </c>
      <c r="M42" s="39">
        <f t="shared" si="15"/>
        <v>-206053</v>
      </c>
    </row>
    <row r="43" spans="1:13" ht="21" customHeight="1" x14ac:dyDescent="0.25">
      <c r="A43" s="9"/>
      <c r="B43" s="7" t="s">
        <v>49</v>
      </c>
      <c r="C43" s="6"/>
      <c r="D43" s="61">
        <v>-77503</v>
      </c>
      <c r="E43" s="39">
        <v>-191951</v>
      </c>
      <c r="F43" s="61">
        <f t="shared" ref="F43:M43" si="16">F42+F39</f>
        <v>0</v>
      </c>
      <c r="G43" s="39">
        <f t="shared" si="16"/>
        <v>0</v>
      </c>
      <c r="H43" s="61">
        <f>H42+H39</f>
        <v>-77503</v>
      </c>
      <c r="I43" s="39">
        <f>I42+I39</f>
        <v>-191951</v>
      </c>
      <c r="J43" s="61">
        <f t="shared" si="16"/>
        <v>0</v>
      </c>
      <c r="K43" s="39">
        <f t="shared" si="16"/>
        <v>0</v>
      </c>
      <c r="L43" s="61">
        <f t="shared" si="16"/>
        <v>-77503</v>
      </c>
      <c r="M43" s="39">
        <f t="shared" si="16"/>
        <v>-191951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-154695</v>
      </c>
      <c r="E49" s="65">
        <v>-374599.213486664</v>
      </c>
      <c r="F49" s="60">
        <f>H49-D49</f>
        <v>0</v>
      </c>
      <c r="G49" s="37">
        <f>I49-E49</f>
        <v>0</v>
      </c>
      <c r="H49" s="65">
        <f>D49</f>
        <v>-154695</v>
      </c>
      <c r="I49" s="66">
        <f>E49</f>
        <v>-374599.213486664</v>
      </c>
      <c r="J49" s="60"/>
      <c r="K49" s="38"/>
      <c r="L49" s="60">
        <f>H49+J49</f>
        <v>-154695</v>
      </c>
      <c r="M49" s="38">
        <f>I49+K49</f>
        <v>-374599.213486664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-235209</v>
      </c>
      <c r="E51" s="65">
        <v>-627761</v>
      </c>
      <c r="F51" s="60">
        <f>H51-D51</f>
        <v>0</v>
      </c>
      <c r="G51" s="37">
        <f>I51-E51</f>
        <v>0</v>
      </c>
      <c r="H51" s="65">
        <f>D51</f>
        <v>-235209</v>
      </c>
      <c r="I51" s="66">
        <f>E51</f>
        <v>-627761</v>
      </c>
      <c r="J51" s="60"/>
      <c r="K51" s="38"/>
      <c r="L51" s="60">
        <f>H51+J51</f>
        <v>-235209</v>
      </c>
      <c r="M51" s="38">
        <f>I51+K51</f>
        <v>-627761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-155544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-155544</v>
      </c>
      <c r="J54" s="60"/>
      <c r="K54" s="38"/>
      <c r="L54" s="60">
        <f>H54+J54</f>
        <v>0</v>
      </c>
      <c r="M54" s="38">
        <f>I54+K54</f>
        <v>-155544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-871836.89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-871836.89</v>
      </c>
      <c r="J55" s="60"/>
      <c r="K55" s="38"/>
      <c r="L55" s="60">
        <f>H55+J55</f>
        <v>0</v>
      </c>
      <c r="M55" s="38">
        <f>I55+K55</f>
        <v>-871836.89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-1027380.89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-1027380.89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-1027380.89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4676254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4676254</v>
      </c>
      <c r="J70" s="60"/>
      <c r="K70" s="38"/>
      <c r="L70" s="60">
        <f>H70+J70</f>
        <v>0</v>
      </c>
      <c r="M70" s="38">
        <f>I70+K70</f>
        <v>4676254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-2516504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-2516504</v>
      </c>
      <c r="J71" s="60"/>
      <c r="K71" s="38"/>
      <c r="L71" s="60">
        <f>H71+J71</f>
        <v>0</v>
      </c>
      <c r="M71" s="38">
        <f>I71+K71</f>
        <v>-2516504</v>
      </c>
    </row>
    <row r="72" spans="1:13" x14ac:dyDescent="0.25">
      <c r="A72" s="9"/>
      <c r="B72" s="3"/>
      <c r="C72" s="55" t="s">
        <v>69</v>
      </c>
      <c r="D72" s="61">
        <v>0</v>
      </c>
      <c r="E72" s="39">
        <v>2159750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2159750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2159750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5301495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5301495</v>
      </c>
      <c r="J74" s="60"/>
      <c r="K74" s="38"/>
      <c r="L74" s="60">
        <f t="shared" si="22"/>
        <v>0</v>
      </c>
      <c r="M74" s="38">
        <f t="shared" si="22"/>
        <v>5301495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-26990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-26990</v>
      </c>
      <c r="J76" s="60"/>
      <c r="K76" s="38"/>
      <c r="L76" s="60">
        <f t="shared" si="22"/>
        <v>0</v>
      </c>
      <c r="M76" s="38">
        <f t="shared" si="22"/>
        <v>-26990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-3275387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-3275387</v>
      </c>
      <c r="J81" s="60"/>
      <c r="K81" s="38"/>
      <c r="L81" s="60">
        <f t="shared" si="22"/>
        <v>0</v>
      </c>
      <c r="M81" s="38">
        <f t="shared" si="22"/>
        <v>-3275387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3781657.8965133359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3781657.8965133359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3781657.8965133359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3781657.8965133359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3781657.8965133359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3781657.8965133359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activeCell="D10" sqref="D10"/>
      <selection pane="topRight" activeCell="D10" sqref="D10"/>
      <selection pane="bottomLeft" activeCell="D10" sqref="D10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3869012</v>
      </c>
      <c r="E11" s="65">
        <v>9074527</v>
      </c>
      <c r="F11" s="60">
        <f>H11-D11</f>
        <v>0</v>
      </c>
      <c r="G11" s="37">
        <f>I11-E11</f>
        <v>0</v>
      </c>
      <c r="H11" s="65">
        <f>D11</f>
        <v>3869012</v>
      </c>
      <c r="I11" s="66">
        <f>E11</f>
        <v>9074527</v>
      </c>
      <c r="J11" s="60"/>
      <c r="K11" s="38"/>
      <c r="L11" s="60">
        <f t="shared" ref="L11:M15" si="0">H11+J11</f>
        <v>3869012</v>
      </c>
      <c r="M11" s="38">
        <f t="shared" si="0"/>
        <v>9074527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5301057</v>
      </c>
      <c r="E13" s="65">
        <v>13385646</v>
      </c>
      <c r="F13" s="60">
        <f t="shared" si="1"/>
        <v>0</v>
      </c>
      <c r="G13" s="37">
        <f t="shared" si="1"/>
        <v>0</v>
      </c>
      <c r="H13" s="65">
        <f t="shared" si="2"/>
        <v>5301057</v>
      </c>
      <c r="I13" s="66">
        <f t="shared" si="2"/>
        <v>13385646</v>
      </c>
      <c r="J13" s="60"/>
      <c r="K13" s="38"/>
      <c r="L13" s="60">
        <f t="shared" si="0"/>
        <v>5301057</v>
      </c>
      <c r="M13" s="38">
        <f t="shared" si="0"/>
        <v>13385646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9170069</v>
      </c>
      <c r="E16" s="39">
        <v>22460173</v>
      </c>
      <c r="F16" s="61">
        <f t="shared" ref="F16:M16" si="3">SUM(F11:F15)</f>
        <v>0</v>
      </c>
      <c r="G16" s="39">
        <f t="shared" si="3"/>
        <v>0</v>
      </c>
      <c r="H16" s="61">
        <f>SUM(H11:H15)</f>
        <v>9170069</v>
      </c>
      <c r="I16" s="39">
        <f>SUM(I11:I15)</f>
        <v>22460173</v>
      </c>
      <c r="J16" s="61">
        <f t="shared" si="3"/>
        <v>0</v>
      </c>
      <c r="K16" s="39">
        <f t="shared" si="3"/>
        <v>0</v>
      </c>
      <c r="L16" s="61">
        <f t="shared" si="3"/>
        <v>9170069</v>
      </c>
      <c r="M16" s="39">
        <f t="shared" si="3"/>
        <v>22460173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-5057262</v>
      </c>
      <c r="E19" s="65">
        <v>-11323157</v>
      </c>
      <c r="F19" s="60">
        <f>H19-D19</f>
        <v>0</v>
      </c>
      <c r="G19" s="37">
        <f>I19-E19</f>
        <v>0</v>
      </c>
      <c r="H19" s="65">
        <f t="shared" si="4"/>
        <v>-5057262</v>
      </c>
      <c r="I19" s="66">
        <f t="shared" si="4"/>
        <v>-11323157</v>
      </c>
      <c r="J19" s="60"/>
      <c r="K19" s="38"/>
      <c r="L19" s="60">
        <f t="shared" ref="L19:M23" si="5">H19+J19</f>
        <v>-5057262</v>
      </c>
      <c r="M19" s="38">
        <f t="shared" si="5"/>
        <v>-11323157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-4240969</v>
      </c>
      <c r="E21" s="65">
        <v>-10731159</v>
      </c>
      <c r="F21" s="60">
        <f t="shared" si="6"/>
        <v>0</v>
      </c>
      <c r="G21" s="37">
        <f t="shared" si="6"/>
        <v>0</v>
      </c>
      <c r="H21" s="65">
        <f t="shared" si="4"/>
        <v>-4240969</v>
      </c>
      <c r="I21" s="66">
        <f t="shared" si="4"/>
        <v>-10731159</v>
      </c>
      <c r="J21" s="60"/>
      <c r="K21" s="38"/>
      <c r="L21" s="60">
        <f t="shared" si="5"/>
        <v>-4240969</v>
      </c>
      <c r="M21" s="38">
        <f t="shared" si="5"/>
        <v>-10731159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19762</v>
      </c>
      <c r="E23" s="65">
        <v>47965</v>
      </c>
      <c r="F23" s="60">
        <f t="shared" si="6"/>
        <v>0</v>
      </c>
      <c r="G23" s="37">
        <f t="shared" si="6"/>
        <v>0</v>
      </c>
      <c r="H23" s="65">
        <f t="shared" si="4"/>
        <v>19762</v>
      </c>
      <c r="I23" s="66">
        <f t="shared" si="4"/>
        <v>47965</v>
      </c>
      <c r="J23" s="60"/>
      <c r="K23" s="38"/>
      <c r="L23" s="60">
        <f t="shared" si="5"/>
        <v>19762</v>
      </c>
      <c r="M23" s="38">
        <f t="shared" si="5"/>
        <v>47965</v>
      </c>
    </row>
    <row r="24" spans="1:13" x14ac:dyDescent="0.25">
      <c r="A24" s="9"/>
      <c r="B24" s="7" t="s">
        <v>33</v>
      </c>
      <c r="C24" s="6"/>
      <c r="D24" s="61">
        <v>-9278469</v>
      </c>
      <c r="E24" s="39">
        <v>-22006351</v>
      </c>
      <c r="F24" s="61">
        <f t="shared" ref="F24:M24" si="7">SUM(F19:F23)</f>
        <v>0</v>
      </c>
      <c r="G24" s="39">
        <f t="shared" si="7"/>
        <v>0</v>
      </c>
      <c r="H24" s="61">
        <f>SUM(H19:H23)</f>
        <v>-9278469</v>
      </c>
      <c r="I24" s="39">
        <f>SUM(I19:I23)</f>
        <v>-22006351</v>
      </c>
      <c r="J24" s="61">
        <f t="shared" si="7"/>
        <v>0</v>
      </c>
      <c r="K24" s="39">
        <f t="shared" si="7"/>
        <v>0</v>
      </c>
      <c r="L24" s="61">
        <f t="shared" si="7"/>
        <v>-9278469</v>
      </c>
      <c r="M24" s="39">
        <f t="shared" si="7"/>
        <v>-22006351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-6099</v>
      </c>
      <c r="E32" s="65">
        <v>-15322</v>
      </c>
      <c r="F32" s="60">
        <f>H32-D32</f>
        <v>0</v>
      </c>
      <c r="G32" s="37">
        <f>I32-E32</f>
        <v>0</v>
      </c>
      <c r="H32" s="65">
        <f t="shared" ref="H32:I35" si="9">D32</f>
        <v>-6099</v>
      </c>
      <c r="I32" s="66">
        <f t="shared" si="9"/>
        <v>-15322</v>
      </c>
      <c r="J32" s="60"/>
      <c r="K32" s="38"/>
      <c r="L32" s="60">
        <f t="shared" ref="L32:M35" si="10">H32+J32</f>
        <v>-6099</v>
      </c>
      <c r="M32" s="38">
        <f t="shared" si="10"/>
        <v>-15322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-6099</v>
      </c>
      <c r="E36" s="39">
        <v>-15322</v>
      </c>
      <c r="F36" s="61">
        <f>SUM(F32:F35)</f>
        <v>0</v>
      </c>
      <c r="G36" s="39">
        <f>SUM(G32:G35)</f>
        <v>0</v>
      </c>
      <c r="H36" s="61">
        <f>SUM(H32:H35)</f>
        <v>-6099</v>
      </c>
      <c r="I36" s="39">
        <f>SUM(I32:I35)</f>
        <v>-15322</v>
      </c>
      <c r="J36" s="61">
        <f>SUM(J32:J34)</f>
        <v>0</v>
      </c>
      <c r="K36" s="39">
        <f>SUM(K32:K34)</f>
        <v>0</v>
      </c>
      <c r="L36" s="61">
        <f>SUM(L32:L35)</f>
        <v>-6099</v>
      </c>
      <c r="M36" s="39">
        <f>SUM(M32:M35)</f>
        <v>-15322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114499</v>
      </c>
      <c r="E49" s="65">
        <v>267943.52993913629</v>
      </c>
      <c r="F49" s="60">
        <f>H49-D49</f>
        <v>0</v>
      </c>
      <c r="G49" s="37">
        <f>I49-E49</f>
        <v>0</v>
      </c>
      <c r="H49" s="65">
        <f>D49</f>
        <v>114499</v>
      </c>
      <c r="I49" s="66">
        <f>E49</f>
        <v>267943.52993913629</v>
      </c>
      <c r="J49" s="60"/>
      <c r="K49" s="38"/>
      <c r="L49" s="60">
        <f>H49+J49</f>
        <v>114499</v>
      </c>
      <c r="M49" s="38">
        <f>I49+K49</f>
        <v>267943.52993913629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-19762</v>
      </c>
      <c r="E51" s="65">
        <v>-47965</v>
      </c>
      <c r="F51" s="60">
        <f>H51-D51</f>
        <v>0</v>
      </c>
      <c r="G51" s="37">
        <f>I51-E51</f>
        <v>0</v>
      </c>
      <c r="H51" s="65">
        <f>D51</f>
        <v>-19762</v>
      </c>
      <c r="I51" s="66">
        <f>E51</f>
        <v>-47965</v>
      </c>
      <c r="J51" s="60"/>
      <c r="K51" s="38"/>
      <c r="L51" s="60">
        <f>H51+J51</f>
        <v>-19762</v>
      </c>
      <c r="M51" s="38">
        <f>I51+K51</f>
        <v>-47965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-196967.95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-196967.95</v>
      </c>
      <c r="J54" s="60"/>
      <c r="K54" s="38"/>
      <c r="L54" s="60">
        <f>H54+J54</f>
        <v>0</v>
      </c>
      <c r="M54" s="38">
        <f>I54+K54</f>
        <v>-196967.95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-425156.49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-425156.49</v>
      </c>
      <c r="J55" s="60"/>
      <c r="K55" s="38"/>
      <c r="L55" s="60">
        <f>H55+J55</f>
        <v>0</v>
      </c>
      <c r="M55" s="38">
        <f>I55+K55</f>
        <v>-425156.49</v>
      </c>
    </row>
    <row r="56" spans="1:15" x14ac:dyDescent="0.25">
      <c r="A56" s="9"/>
      <c r="B56" s="7" t="s">
        <v>57</v>
      </c>
      <c r="C56" s="6"/>
      <c r="D56" s="61">
        <v>0</v>
      </c>
      <c r="E56" s="39">
        <v>-622124.43999999994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-622124.43999999994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-622124.43999999994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1275.0399999998044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1275.0399999998044</v>
      </c>
      <c r="J70" s="60"/>
      <c r="K70" s="38"/>
      <c r="L70" s="60">
        <f>H70+J70</f>
        <v>0</v>
      </c>
      <c r="M70" s="38">
        <f>I70+K70</f>
        <v>1275.0399999998044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-178192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-178192</v>
      </c>
      <c r="J71" s="60"/>
      <c r="K71" s="38"/>
      <c r="L71" s="60">
        <f>H71+J71</f>
        <v>0</v>
      </c>
      <c r="M71" s="38">
        <f>I71+K71</f>
        <v>-178192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-176916.96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-176916.9600000002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-176916.9600000002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-26575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-26575</v>
      </c>
      <c r="J74" s="60"/>
      <c r="K74" s="38"/>
      <c r="L74" s="60">
        <f t="shared" si="22"/>
        <v>0</v>
      </c>
      <c r="M74" s="38">
        <f t="shared" si="22"/>
        <v>-26575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-642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-642</v>
      </c>
      <c r="J76" s="60"/>
      <c r="K76" s="38"/>
      <c r="L76" s="60">
        <f t="shared" si="22"/>
        <v>0</v>
      </c>
      <c r="M76" s="38">
        <f t="shared" si="22"/>
        <v>-642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78632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78632</v>
      </c>
      <c r="J81" s="60"/>
      <c r="K81" s="38"/>
      <c r="L81" s="60">
        <f t="shared" si="22"/>
        <v>0</v>
      </c>
      <c r="M81" s="38">
        <f t="shared" si="22"/>
        <v>78632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-89147.870060864603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-89147.870060864603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-89147.870060864603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212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67">
        <v>-274501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-274501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-274501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-274501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-274501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-274501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-363648.8700608646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-363648.8700608646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-363648.8700608646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66" activePane="bottomRight" state="frozen"/>
      <selection activeCell="D10" sqref="D10"/>
      <selection pane="topRight" activeCell="D10" sqref="D10"/>
      <selection pane="bottomLeft" activeCell="D10" sqref="D10"/>
      <selection pane="bottomRight" activeCell="E81" sqref="E8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-24967723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-24967723</v>
      </c>
      <c r="J12" s="60"/>
      <c r="K12" s="38"/>
      <c r="L12" s="60">
        <f t="shared" si="0"/>
        <v>0</v>
      </c>
      <c r="M12" s="38">
        <f t="shared" si="0"/>
        <v>-24967723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-24967723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-24967723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-24967723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450000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450000</v>
      </c>
      <c r="J60" s="65"/>
      <c r="K60" s="38"/>
      <c r="L60" s="60">
        <f>H60+J60</f>
        <v>0</v>
      </c>
      <c r="M60" s="38">
        <f>I60+K60</f>
        <v>450000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450000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450000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450000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98380002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98380002</v>
      </c>
      <c r="J70" s="65"/>
      <c r="K70" s="38"/>
      <c r="L70" s="60">
        <f t="shared" si="20"/>
        <v>0</v>
      </c>
      <c r="M70" s="38">
        <f t="shared" si="20"/>
        <v>98380002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-72699523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-72699523</v>
      </c>
      <c r="J71" s="65"/>
      <c r="K71" s="38"/>
      <c r="L71" s="60">
        <f t="shared" si="20"/>
        <v>0</v>
      </c>
      <c r="M71" s="38">
        <f t="shared" si="20"/>
        <v>-72699523</v>
      </c>
    </row>
    <row r="72" spans="1:13" x14ac:dyDescent="0.25">
      <c r="A72" s="9"/>
      <c r="B72" s="3"/>
      <c r="C72" s="55" t="s">
        <v>69</v>
      </c>
      <c r="D72" s="61">
        <v>0</v>
      </c>
      <c r="E72" s="39">
        <v>25680479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25680479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25680479</v>
      </c>
    </row>
    <row r="73" spans="1:13" x14ac:dyDescent="0.25">
      <c r="A73" s="9">
        <v>32</v>
      </c>
      <c r="B73" s="3"/>
      <c r="C73" s="10" t="s">
        <v>131</v>
      </c>
      <c r="D73" s="60"/>
      <c r="E73" s="38">
        <v>-328270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-328270</v>
      </c>
      <c r="J73" s="60"/>
      <c r="K73" s="38"/>
      <c r="L73" s="60">
        <f t="shared" ref="L73:M81" si="23">H73+J73</f>
        <v>0</v>
      </c>
      <c r="M73" s="38">
        <f t="shared" si="23"/>
        <v>-328270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3468797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3468797</v>
      </c>
      <c r="J74" s="60"/>
      <c r="K74" s="38"/>
      <c r="L74" s="60">
        <f t="shared" si="23"/>
        <v>0</v>
      </c>
      <c r="M74" s="38">
        <f t="shared" si="23"/>
        <v>3468797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-909291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-909291</v>
      </c>
      <c r="J75" s="60"/>
      <c r="K75" s="38"/>
      <c r="L75" s="60">
        <f t="shared" si="23"/>
        <v>0</v>
      </c>
      <c r="M75" s="38">
        <f t="shared" si="23"/>
        <v>-909291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-2185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-2185</v>
      </c>
      <c r="J76" s="60"/>
      <c r="K76" s="38"/>
      <c r="L76" s="60">
        <f t="shared" si="23"/>
        <v>0</v>
      </c>
      <c r="M76" s="38">
        <f t="shared" si="23"/>
        <v>-2185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5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5">
      <c r="A79" s="9">
        <v>38</v>
      </c>
      <c r="B79" s="3"/>
      <c r="C79" s="10" t="s">
        <v>209</v>
      </c>
      <c r="D79" s="60"/>
      <c r="E79" s="38">
        <v>-103047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-103047</v>
      </c>
      <c r="J79" s="60"/>
      <c r="K79" s="38"/>
      <c r="L79" s="60">
        <f t="shared" si="23"/>
        <v>0</v>
      </c>
      <c r="M79" s="38">
        <f t="shared" si="23"/>
        <v>-103047</v>
      </c>
    </row>
    <row r="80" spans="1:13" x14ac:dyDescent="0.25">
      <c r="A80" s="9">
        <v>39</v>
      </c>
      <c r="B80" s="3"/>
      <c r="C80" s="10" t="s">
        <v>215</v>
      </c>
      <c r="D80" s="60"/>
      <c r="E80" s="38">
        <v>88418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88418</v>
      </c>
      <c r="J80" s="60"/>
      <c r="K80" s="38"/>
      <c r="L80" s="60">
        <f t="shared" si="23"/>
        <v>0</v>
      </c>
      <c r="M80" s="38">
        <f t="shared" si="23"/>
        <v>88418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3814751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3814751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3814751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E62" zoomScale="75" workbookViewId="0">
      <selection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47077931</v>
      </c>
      <c r="E11" s="146">
        <v>130767443</v>
      </c>
      <c r="F11" s="60">
        <f>H11-D11</f>
        <v>0</v>
      </c>
      <c r="G11" s="37">
        <f>I11-E11</f>
        <v>0</v>
      </c>
      <c r="H11" s="65">
        <f>D11</f>
        <v>47077931</v>
      </c>
      <c r="I11" s="66">
        <f>E11</f>
        <v>130767443</v>
      </c>
      <c r="J11" s="60"/>
      <c r="K11" s="38"/>
      <c r="L11" s="60">
        <f t="shared" ref="L11:M15" si="0">H11+J11</f>
        <v>47077931</v>
      </c>
      <c r="M11" s="38">
        <f t="shared" si="0"/>
        <v>130767443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785883</v>
      </c>
      <c r="E13" s="146">
        <v>2242884</v>
      </c>
      <c r="F13" s="60">
        <f t="shared" si="1"/>
        <v>0</v>
      </c>
      <c r="G13" s="37">
        <f t="shared" si="1"/>
        <v>0</v>
      </c>
      <c r="H13" s="65">
        <f t="shared" si="2"/>
        <v>785883</v>
      </c>
      <c r="I13" s="66">
        <f t="shared" si="2"/>
        <v>2242884</v>
      </c>
      <c r="J13" s="60"/>
      <c r="K13" s="38"/>
      <c r="L13" s="60">
        <f t="shared" si="0"/>
        <v>785883</v>
      </c>
      <c r="M13" s="38">
        <f t="shared" si="0"/>
        <v>2242884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47863814</v>
      </c>
      <c r="E16" s="166">
        <v>133010327</v>
      </c>
      <c r="F16" s="61">
        <f t="shared" ref="F16:M16" si="3">SUM(F11:F15)</f>
        <v>0</v>
      </c>
      <c r="G16" s="39">
        <f t="shared" si="3"/>
        <v>0</v>
      </c>
      <c r="H16" s="61">
        <f>SUM(H11:H15)</f>
        <v>47863814</v>
      </c>
      <c r="I16" s="39">
        <f>SUM(I11:I15)</f>
        <v>133010327</v>
      </c>
      <c r="J16" s="61">
        <f t="shared" si="3"/>
        <v>0</v>
      </c>
      <c r="K16" s="39">
        <f t="shared" si="3"/>
        <v>0</v>
      </c>
      <c r="L16" s="61">
        <f t="shared" si="3"/>
        <v>47863814</v>
      </c>
      <c r="M16" s="39">
        <f t="shared" si="3"/>
        <v>133010327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-46375541</v>
      </c>
      <c r="E19" s="146">
        <v>-128293510</v>
      </c>
      <c r="F19" s="60">
        <f>H19-D19</f>
        <v>0</v>
      </c>
      <c r="G19" s="37">
        <f>I19-E19</f>
        <v>0</v>
      </c>
      <c r="H19" s="65">
        <f t="shared" si="4"/>
        <v>-46375541</v>
      </c>
      <c r="I19" s="66">
        <f t="shared" si="4"/>
        <v>-128293510</v>
      </c>
      <c r="J19" s="60"/>
      <c r="K19" s="38"/>
      <c r="L19" s="60">
        <f t="shared" ref="L19:M23" si="5">H19+J19</f>
        <v>-46375541</v>
      </c>
      <c r="M19" s="38">
        <f t="shared" si="5"/>
        <v>-128293510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-1501647</v>
      </c>
      <c r="E21" s="146">
        <v>-4294217</v>
      </c>
      <c r="F21" s="60">
        <f t="shared" si="6"/>
        <v>0</v>
      </c>
      <c r="G21" s="37">
        <f t="shared" si="6"/>
        <v>0</v>
      </c>
      <c r="H21" s="65">
        <f t="shared" si="4"/>
        <v>-1501647</v>
      </c>
      <c r="I21" s="66">
        <f t="shared" si="4"/>
        <v>-4294217</v>
      </c>
      <c r="J21" s="60"/>
      <c r="K21" s="38"/>
      <c r="L21" s="60">
        <f t="shared" si="5"/>
        <v>-1501647</v>
      </c>
      <c r="M21" s="38">
        <f t="shared" si="5"/>
        <v>-4294217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-47877188</v>
      </c>
      <c r="E24" s="166">
        <v>-132587727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-47877188</v>
      </c>
      <c r="I24" s="39">
        <f>SUM(I19:I23)</f>
        <v>-132587727</v>
      </c>
      <c r="J24" s="61">
        <f t="shared" si="7"/>
        <v>0</v>
      </c>
      <c r="K24" s="39">
        <f t="shared" si="7"/>
        <v>0</v>
      </c>
      <c r="L24" s="61">
        <f t="shared" si="7"/>
        <v>-47877188</v>
      </c>
      <c r="M24" s="39">
        <f t="shared" si="7"/>
        <v>-132587727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13374</v>
      </c>
      <c r="E49" s="146">
        <v>40389.480000000003</v>
      </c>
      <c r="F49" s="60">
        <f>H49-D49</f>
        <v>0</v>
      </c>
      <c r="G49" s="37">
        <f>I49-E49</f>
        <v>0</v>
      </c>
      <c r="H49" s="65">
        <f>D49</f>
        <v>13374</v>
      </c>
      <c r="I49" s="66">
        <f>E49</f>
        <v>40389.480000000003</v>
      </c>
      <c r="J49" s="60"/>
      <c r="K49" s="38"/>
      <c r="L49" s="60">
        <f>H49+J49</f>
        <v>13374</v>
      </c>
      <c r="M49" s="38">
        <f>I49+K49</f>
        <v>40389.480000000003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-3371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-3371</v>
      </c>
      <c r="J54" s="60"/>
      <c r="K54" s="38"/>
      <c r="L54" s="60">
        <f>H54+J54</f>
        <v>0</v>
      </c>
      <c r="M54" s="38">
        <f>I54+K54</f>
        <v>-3371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-3371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-3371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-3371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115486.0210982901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115486.0210982901</v>
      </c>
      <c r="J70" s="65"/>
      <c r="K70" s="38"/>
      <c r="L70" s="60">
        <f t="shared" si="20"/>
        <v>0</v>
      </c>
      <c r="M70" s="38">
        <f t="shared" si="20"/>
        <v>115486.0210982901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-1556140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-1556140</v>
      </c>
      <c r="J71" s="65"/>
      <c r="K71" s="38"/>
      <c r="L71" s="60">
        <f t="shared" si="20"/>
        <v>0</v>
      </c>
      <c r="M71" s="38">
        <f t="shared" si="20"/>
        <v>-1556140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-1440653.9789017099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-1440653.9789017099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-1440653.9789017099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1134514.5018000002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1134514.5018000002</v>
      </c>
      <c r="J74" s="60"/>
      <c r="K74" s="38"/>
      <c r="L74" s="60">
        <f t="shared" si="23"/>
        <v>0</v>
      </c>
      <c r="M74" s="38">
        <f t="shared" si="23"/>
        <v>1134514.5018000002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-198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-198</v>
      </c>
      <c r="J76" s="60"/>
      <c r="K76" s="38"/>
      <c r="L76" s="60">
        <f t="shared" si="23"/>
        <v>0</v>
      </c>
      <c r="M76" s="38">
        <f t="shared" si="23"/>
        <v>-198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-3412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-3412</v>
      </c>
      <c r="J81" s="60"/>
      <c r="K81" s="38"/>
      <c r="L81" s="60">
        <f t="shared" si="23"/>
        <v>0</v>
      </c>
      <c r="M81" s="38">
        <f t="shared" si="23"/>
        <v>-3412</v>
      </c>
    </row>
    <row r="82" spans="1:13" s="2" customFormat="1" ht="20.25" customHeight="1" thickBot="1" x14ac:dyDescent="0.3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149869.00289828659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149869.00289828659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149869.00289828659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163</v>
      </c>
      <c r="B85" s="3"/>
      <c r="L85" s="45"/>
    </row>
    <row r="86" spans="1:13" s="3" customFormat="1" x14ac:dyDescent="0.25">
      <c r="A86" s="144"/>
      <c r="C86" s="10" t="s">
        <v>166</v>
      </c>
      <c r="D86" s="148">
        <v>0</v>
      </c>
      <c r="E86" s="148">
        <v>166051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166051</v>
      </c>
      <c r="J86" s="148"/>
      <c r="K86" s="148"/>
      <c r="L86" s="148">
        <f t="shared" ref="L86:M88" si="27">H86+J86</f>
        <v>0</v>
      </c>
      <c r="M86" s="148">
        <f t="shared" si="27"/>
        <v>166051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166051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166051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166051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315920.00289828656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315920.00289828656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315920.00289828656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21" sqref="D2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0003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14226270</v>
      </c>
      <c r="E11" s="65">
        <v>31901265</v>
      </c>
      <c r="F11" s="60">
        <f>H11-D11</f>
        <v>0</v>
      </c>
      <c r="G11" s="37">
        <f>I11-E11</f>
        <v>0</v>
      </c>
      <c r="H11" s="65">
        <f>D11</f>
        <v>14226270</v>
      </c>
      <c r="I11" s="66">
        <f>E11</f>
        <v>31901265</v>
      </c>
      <c r="J11" s="60"/>
      <c r="K11" s="38"/>
      <c r="L11" s="60">
        <f t="shared" ref="L11:M15" si="0">H11+J11</f>
        <v>14226270</v>
      </c>
      <c r="M11" s="38">
        <f t="shared" si="0"/>
        <v>31901265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36325908</v>
      </c>
      <c r="E13" s="65">
        <v>109577788</v>
      </c>
      <c r="F13" s="60">
        <f t="shared" si="1"/>
        <v>0</v>
      </c>
      <c r="G13" s="37">
        <f t="shared" si="1"/>
        <v>0</v>
      </c>
      <c r="H13" s="65">
        <f t="shared" si="2"/>
        <v>36325908</v>
      </c>
      <c r="I13" s="66">
        <f t="shared" si="2"/>
        <v>109577788</v>
      </c>
      <c r="J13" s="60"/>
      <c r="K13" s="38"/>
      <c r="L13" s="60">
        <f t="shared" si="0"/>
        <v>36325908</v>
      </c>
      <c r="M13" s="38">
        <f t="shared" si="0"/>
        <v>109577788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10479428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10479428</v>
      </c>
      <c r="J15" s="60"/>
      <c r="K15" s="38"/>
      <c r="L15" s="60">
        <f t="shared" si="0"/>
        <v>0</v>
      </c>
      <c r="M15" s="38">
        <f t="shared" si="0"/>
        <v>10479428</v>
      </c>
    </row>
    <row r="16" spans="1:26" x14ac:dyDescent="0.25">
      <c r="A16" s="9"/>
      <c r="B16" s="7" t="s">
        <v>30</v>
      </c>
      <c r="C16" s="6"/>
      <c r="D16" s="61">
        <v>50552178</v>
      </c>
      <c r="E16" s="39">
        <v>151958481</v>
      </c>
      <c r="F16" s="61">
        <f t="shared" ref="F16:M16" si="3">SUM(F11:F15)</f>
        <v>0</v>
      </c>
      <c r="G16" s="39">
        <f t="shared" si="3"/>
        <v>0</v>
      </c>
      <c r="H16" s="61">
        <f>SUM(H11:H15)</f>
        <v>50552178</v>
      </c>
      <c r="I16" s="39">
        <f>SUM(I11:I15)</f>
        <v>151958481</v>
      </c>
      <c r="J16" s="61">
        <f t="shared" si="3"/>
        <v>0</v>
      </c>
      <c r="K16" s="39">
        <f t="shared" si="3"/>
        <v>0</v>
      </c>
      <c r="L16" s="61">
        <f t="shared" si="3"/>
        <v>50552178</v>
      </c>
      <c r="M16" s="39">
        <f t="shared" si="3"/>
        <v>151958481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-8013120</v>
      </c>
      <c r="E19" s="65">
        <v>-19229332</v>
      </c>
      <c r="F19" s="60">
        <f>H19-D19</f>
        <v>0</v>
      </c>
      <c r="G19" s="37">
        <f>I19-E19</f>
        <v>0</v>
      </c>
      <c r="H19" s="65">
        <f t="shared" si="4"/>
        <v>-8013120</v>
      </c>
      <c r="I19" s="66">
        <f t="shared" si="4"/>
        <v>-19229332</v>
      </c>
      <c r="J19" s="60"/>
      <c r="K19" s="38"/>
      <c r="L19" s="60">
        <f t="shared" ref="L19:M23" si="5">H19+J19</f>
        <v>-8013120</v>
      </c>
      <c r="M19" s="38">
        <f t="shared" si="5"/>
        <v>-19229332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-37748857</v>
      </c>
      <c r="E21" s="65">
        <v>-111127606</v>
      </c>
      <c r="F21" s="60">
        <f t="shared" si="6"/>
        <v>0</v>
      </c>
      <c r="G21" s="37">
        <f t="shared" si="6"/>
        <v>0</v>
      </c>
      <c r="H21" s="65">
        <f t="shared" si="4"/>
        <v>-37748857</v>
      </c>
      <c r="I21" s="66">
        <f t="shared" si="4"/>
        <v>-111127606</v>
      </c>
      <c r="J21" s="60"/>
      <c r="K21" s="38"/>
      <c r="L21" s="60">
        <f t="shared" si="5"/>
        <v>-37748857</v>
      </c>
      <c r="M21" s="38">
        <f t="shared" si="5"/>
        <v>-111127606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622881</v>
      </c>
      <c r="E23" s="65">
        <v>1746429</v>
      </c>
      <c r="F23" s="60">
        <f t="shared" si="6"/>
        <v>0</v>
      </c>
      <c r="G23" s="37">
        <f t="shared" si="6"/>
        <v>0</v>
      </c>
      <c r="H23" s="65">
        <f t="shared" si="4"/>
        <v>622881</v>
      </c>
      <c r="I23" s="66">
        <f t="shared" si="4"/>
        <v>1746429</v>
      </c>
      <c r="J23" s="60"/>
      <c r="K23" s="38"/>
      <c r="L23" s="60">
        <f t="shared" si="5"/>
        <v>622881</v>
      </c>
      <c r="M23" s="38">
        <f t="shared" si="5"/>
        <v>1746429</v>
      </c>
    </row>
    <row r="24" spans="1:13" x14ac:dyDescent="0.25">
      <c r="A24" s="9"/>
      <c r="B24" s="7" t="s">
        <v>33</v>
      </c>
      <c r="C24" s="6"/>
      <c r="D24" s="61">
        <v>-45139096</v>
      </c>
      <c r="E24" s="39">
        <v>-128610509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-45139096</v>
      </c>
      <c r="I24" s="39">
        <f>SUM(I19:I23)</f>
        <v>-128610509</v>
      </c>
      <c r="J24" s="61">
        <f t="shared" si="7"/>
        <v>0</v>
      </c>
      <c r="K24" s="39">
        <f t="shared" si="7"/>
        <v>0</v>
      </c>
      <c r="L24" s="61">
        <f t="shared" si="7"/>
        <v>-45139096</v>
      </c>
      <c r="M24" s="39">
        <f t="shared" si="7"/>
        <v>-128610509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299827</v>
      </c>
      <c r="E39" s="65">
        <v>879007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299827</v>
      </c>
      <c r="I39" s="66">
        <f t="shared" si="12"/>
        <v>879007</v>
      </c>
      <c r="J39" s="60"/>
      <c r="K39" s="38"/>
      <c r="L39" s="60">
        <f t="shared" ref="L39:M41" si="14">H39+J39</f>
        <v>299827</v>
      </c>
      <c r="M39" s="38">
        <f t="shared" si="14"/>
        <v>879007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-5862146</v>
      </c>
      <c r="E40" s="65">
        <v>-11029269</v>
      </c>
      <c r="F40" s="60">
        <f t="shared" si="13"/>
        <v>0</v>
      </c>
      <c r="G40" s="37">
        <f t="shared" si="13"/>
        <v>0</v>
      </c>
      <c r="H40" s="65">
        <f t="shared" si="12"/>
        <v>-5862146</v>
      </c>
      <c r="I40" s="66">
        <f t="shared" si="12"/>
        <v>-11029269</v>
      </c>
      <c r="J40" s="65"/>
      <c r="K40" s="38"/>
      <c r="L40" s="60">
        <f t="shared" si="14"/>
        <v>-5862146</v>
      </c>
      <c r="M40" s="38">
        <f t="shared" si="14"/>
        <v>-11029269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-5862146</v>
      </c>
      <c r="E42" s="39">
        <v>-11029269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-5862146</v>
      </c>
      <c r="I42" s="39">
        <f>SUM(I40:I41)</f>
        <v>-11029269</v>
      </c>
      <c r="J42" s="69">
        <f t="shared" si="15"/>
        <v>0</v>
      </c>
      <c r="K42" s="39">
        <f t="shared" si="15"/>
        <v>0</v>
      </c>
      <c r="L42" s="69">
        <f t="shared" si="15"/>
        <v>-5862146</v>
      </c>
      <c r="M42" s="39">
        <f t="shared" si="15"/>
        <v>-11029269</v>
      </c>
    </row>
    <row r="43" spans="1:13" ht="21" customHeight="1" x14ac:dyDescent="0.25">
      <c r="A43" s="9"/>
      <c r="B43" s="7" t="s">
        <v>49</v>
      </c>
      <c r="C43" s="6"/>
      <c r="D43" s="61">
        <v>-5562319</v>
      </c>
      <c r="E43" s="39">
        <v>-10150262</v>
      </c>
      <c r="F43" s="61">
        <f t="shared" ref="F43:M43" si="16">F42+F39</f>
        <v>0</v>
      </c>
      <c r="G43" s="39">
        <f t="shared" si="16"/>
        <v>0</v>
      </c>
      <c r="H43" s="61">
        <f>H42+H39</f>
        <v>-5562319</v>
      </c>
      <c r="I43" s="39">
        <f>I42+I39</f>
        <v>-10150262</v>
      </c>
      <c r="J43" s="61">
        <f t="shared" si="16"/>
        <v>0</v>
      </c>
      <c r="K43" s="39">
        <f t="shared" si="16"/>
        <v>0</v>
      </c>
      <c r="L43" s="61">
        <f t="shared" si="16"/>
        <v>-5562319</v>
      </c>
      <c r="M43" s="39">
        <f t="shared" si="16"/>
        <v>-10150262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149237</v>
      </c>
      <c r="E49" s="65">
        <v>392344.07299999997</v>
      </c>
      <c r="F49" s="60">
        <f>H49-D49</f>
        <v>0</v>
      </c>
      <c r="G49" s="37">
        <f>I49-E49</f>
        <v>0</v>
      </c>
      <c r="H49" s="65">
        <f>D49</f>
        <v>149237</v>
      </c>
      <c r="I49" s="66">
        <f>E49</f>
        <v>392344.07299999997</v>
      </c>
      <c r="J49" s="60"/>
      <c r="K49" s="38"/>
      <c r="L49" s="60">
        <f>H49+J49</f>
        <v>149237</v>
      </c>
      <c r="M49" s="38">
        <f>I49+K49</f>
        <v>392344.07299999997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-622881</v>
      </c>
      <c r="E51" s="65">
        <v>-1746429</v>
      </c>
      <c r="F51" s="60">
        <f>H51-D51</f>
        <v>0</v>
      </c>
      <c r="G51" s="37">
        <f>I51-E51</f>
        <v>0</v>
      </c>
      <c r="H51" s="65">
        <f>D51</f>
        <v>-622881</v>
      </c>
      <c r="I51" s="66">
        <f>E51</f>
        <v>-1746429</v>
      </c>
      <c r="J51" s="60"/>
      <c r="K51" s="38"/>
      <c r="L51" s="60">
        <f>H51+J51</f>
        <v>-622881</v>
      </c>
      <c r="M51" s="38">
        <f>I51+K51</f>
        <v>-1746429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-1132053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-1132053</v>
      </c>
      <c r="J54" s="60"/>
      <c r="K54" s="38"/>
      <c r="L54" s="60">
        <f>H54+J54</f>
        <v>0</v>
      </c>
      <c r="M54" s="38">
        <f>I54+K54</f>
        <v>-1132053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-10479428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-10479428</v>
      </c>
      <c r="J55" s="60"/>
      <c r="K55" s="38"/>
      <c r="L55" s="60">
        <f>H55+J55</f>
        <v>0</v>
      </c>
      <c r="M55" s="38">
        <f>I55+K55</f>
        <v>-10479428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-11611481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-11611481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-11611481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-649880.27089920244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-649880.27089920244</v>
      </c>
      <c r="J70" s="65"/>
      <c r="K70" s="38"/>
      <c r="L70" s="60">
        <f t="shared" si="20"/>
        <v>0</v>
      </c>
      <c r="M70" s="38">
        <f t="shared" si="20"/>
        <v>-649880.27089920244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2467845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2467845</v>
      </c>
      <c r="J71" s="65"/>
      <c r="K71" s="38"/>
      <c r="L71" s="60">
        <f t="shared" si="20"/>
        <v>0</v>
      </c>
      <c r="M71" s="38">
        <f t="shared" si="20"/>
        <v>2467845</v>
      </c>
    </row>
    <row r="72" spans="1:13" x14ac:dyDescent="0.25">
      <c r="A72" s="9"/>
      <c r="B72" s="3"/>
      <c r="C72" s="55" t="s">
        <v>69</v>
      </c>
      <c r="D72" s="61">
        <v>0</v>
      </c>
      <c r="E72" s="39">
        <v>1817964.7291007976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1817964.7291007976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1817964.7291007976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-1773854.5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-1773854.5</v>
      </c>
      <c r="J74" s="60"/>
      <c r="K74" s="38"/>
      <c r="L74" s="60">
        <f t="shared" si="23"/>
        <v>0</v>
      </c>
      <c r="M74" s="38">
        <f t="shared" si="23"/>
        <v>-1773854.5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-543798.11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-543798.11</v>
      </c>
      <c r="J81" s="60"/>
      <c r="K81" s="38"/>
      <c r="L81" s="60">
        <f t="shared" si="23"/>
        <v>0</v>
      </c>
      <c r="M81" s="38">
        <f t="shared" si="23"/>
        <v>-543798.11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-267543.80789919011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-267543.80789919011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-267543.80789919011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O60" activePane="bottomRight" state="frozen"/>
      <selection activeCell="R86" sqref="R86"/>
      <selection pane="topRight" activeCell="R86" sqref="R86"/>
      <selection pane="bottomLeft" activeCell="R86" sqref="R86"/>
      <selection pane="bottomRight" activeCell="T68" sqref="T6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115720725</v>
      </c>
      <c r="E11" s="38">
        <f>SUM(G11,I11,K11,M11,O11,Q11,S11,U11,W11,Y11,AA11,AC11,AE11)</f>
        <v>301350150.16000003</v>
      </c>
      <c r="F11" s="60">
        <f>'TIE-OUT'!F11+RECLASS!F11</f>
        <v>0</v>
      </c>
      <c r="G11" s="38">
        <f>'TIE-OUT'!G11+RECLASS!G11</f>
        <v>-1763247</v>
      </c>
      <c r="H11" s="118">
        <f>+Actuals!E164</f>
        <v>115460182</v>
      </c>
      <c r="I11" s="119">
        <f>+Actuals!F164</f>
        <v>304250263.52000004</v>
      </c>
      <c r="J11" s="118">
        <f>+Actuals!G164</f>
        <v>454127</v>
      </c>
      <c r="K11" s="119">
        <f>+Actuals!H164</f>
        <v>532425.02</v>
      </c>
      <c r="L11" s="118">
        <f>+Actuals!I164</f>
        <v>-186888</v>
      </c>
      <c r="M11" s="215">
        <f>+Actuals!J164-359247</f>
        <v>-875681.51</v>
      </c>
      <c r="N11" s="118">
        <f>+Actuals!K164</f>
        <v>0</v>
      </c>
      <c r="O11" s="119">
        <f>+Actuals!L164</f>
        <v>-765565.86</v>
      </c>
      <c r="P11" s="118">
        <v>-10752</v>
      </c>
      <c r="Q11" s="119">
        <v>-39116.89</v>
      </c>
      <c r="R11" s="118">
        <v>4056</v>
      </c>
      <c r="S11" s="119">
        <v>11072.88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2944794.0199999996</v>
      </c>
      <c r="F12" s="60">
        <f>'TIE-OUT'!F12+RECLASS!F12</f>
        <v>0</v>
      </c>
      <c r="G12" s="38">
        <f>'TIE-OUT'!G12+RECLASS!G12</f>
        <v>-5370359.4800000004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v>8435262</v>
      </c>
      <c r="L12" s="118">
        <f>+Actuals!I165</f>
        <v>0</v>
      </c>
      <c r="M12" s="215"/>
      <c r="N12" s="118">
        <f>+Actuals!K165</f>
        <v>0</v>
      </c>
      <c r="O12" s="139">
        <v>-120108.5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61508439</v>
      </c>
      <c r="E13" s="38">
        <f t="shared" si="0"/>
        <v>166693097</v>
      </c>
      <c r="F13" s="60">
        <f>'TIE-OUT'!F13+RECLASS!F13</f>
        <v>0</v>
      </c>
      <c r="G13" s="38">
        <f>'TIE-OUT'!G13+RECLASS!G13</f>
        <v>0</v>
      </c>
      <c r="H13" s="118">
        <f>+Actuals!E166</f>
        <v>5177720</v>
      </c>
      <c r="I13" s="119">
        <f>+Actuals!F166</f>
        <v>13861560</v>
      </c>
      <c r="J13" s="118">
        <f>+Actuals!G166</f>
        <v>97955</v>
      </c>
      <c r="K13" s="119">
        <f>+Actuals!H166</f>
        <v>258474</v>
      </c>
      <c r="L13" s="118">
        <f>+Actuals!I166</f>
        <v>0</v>
      </c>
      <c r="M13" s="119">
        <f>+Actuals!J166</f>
        <v>0</v>
      </c>
      <c r="N13" s="118">
        <f>+Actuals!K166</f>
        <v>56232764</v>
      </c>
      <c r="O13" s="119">
        <f>+Actuals!L166</f>
        <v>152573063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2867660.6399999997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1247995.51</v>
      </c>
      <c r="J15" s="118">
        <f>+Actuals!G168</f>
        <v>0</v>
      </c>
      <c r="K15" s="119">
        <f>+Actuals!H168</f>
        <v>1587645</v>
      </c>
      <c r="L15" s="118">
        <f>+Actuals!I168</f>
        <v>0</v>
      </c>
      <c r="M15" s="119">
        <f>+Actuals!J168</f>
        <v>12972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v>12972</v>
      </c>
      <c r="R15" s="118">
        <f>+Actuals!O168</f>
        <v>0</v>
      </c>
      <c r="S15" s="119">
        <v>6076.13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177229164</v>
      </c>
      <c r="E16" s="39">
        <f t="shared" si="1"/>
        <v>473855701.81999999</v>
      </c>
      <c r="F16" s="61">
        <f t="shared" si="1"/>
        <v>0</v>
      </c>
      <c r="G16" s="39">
        <f t="shared" si="1"/>
        <v>-7133606.4800000004</v>
      </c>
      <c r="H16" s="61">
        <f t="shared" si="1"/>
        <v>120637902</v>
      </c>
      <c r="I16" s="39">
        <f t="shared" si="1"/>
        <v>319359819.03000003</v>
      </c>
      <c r="J16" s="61">
        <f t="shared" ref="J16:AO16" si="2">SUM(J11:J15)</f>
        <v>552082</v>
      </c>
      <c r="K16" s="39">
        <f t="shared" si="2"/>
        <v>10813806.02</v>
      </c>
      <c r="L16" s="61">
        <f>SUM(L11:L15)</f>
        <v>-186888</v>
      </c>
      <c r="M16" s="39">
        <f>SUM(M11:M15)</f>
        <v>-862709.51</v>
      </c>
      <c r="N16" s="61">
        <f t="shared" si="2"/>
        <v>56232764</v>
      </c>
      <c r="O16" s="39">
        <f t="shared" si="2"/>
        <v>151687388.63999999</v>
      </c>
      <c r="P16" s="61">
        <f t="shared" si="2"/>
        <v>-10752</v>
      </c>
      <c r="Q16" s="39">
        <f t="shared" si="2"/>
        <v>-26144.89</v>
      </c>
      <c r="R16" s="61">
        <f t="shared" si="2"/>
        <v>4056</v>
      </c>
      <c r="S16" s="39">
        <f t="shared" si="2"/>
        <v>17149.009999999998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-128920977</v>
      </c>
      <c r="E19" s="38">
        <f t="shared" si="3"/>
        <v>-337376903.42000002</v>
      </c>
      <c r="F19" s="64">
        <f>'TIE-OUT'!F19+RECLASS!F19</f>
        <v>0</v>
      </c>
      <c r="G19" s="68">
        <f>'TIE-OUT'!G19+RECLASS!G19</f>
        <v>416354</v>
      </c>
      <c r="H19" s="118">
        <f>+Actuals!E169</f>
        <v>-128008312</v>
      </c>
      <c r="I19" s="119">
        <f>+Actuals!F169</f>
        <v>-334791168.93000001</v>
      </c>
      <c r="J19" s="118">
        <f>+Actuals!G169</f>
        <v>-1452098</v>
      </c>
      <c r="K19" s="119">
        <f>+Actuals!H169</f>
        <v>-4430968.21</v>
      </c>
      <c r="L19" s="118">
        <f>+Actuals!I169</f>
        <v>841245</v>
      </c>
      <c r="M19" s="119">
        <f>+Actuals!J169</f>
        <v>2028998.07</v>
      </c>
      <c r="N19" s="118">
        <f>+Actuals!K169</f>
        <v>-322064</v>
      </c>
      <c r="O19" s="119">
        <f>+Actuals!L169</f>
        <v>-844318.06</v>
      </c>
      <c r="P19" s="118">
        <f>-213594+219959</f>
        <v>6365</v>
      </c>
      <c r="Q19" s="119">
        <f>-396654.93+574752.87</f>
        <v>178097.94</v>
      </c>
      <c r="R19" s="118">
        <v>1302551</v>
      </c>
      <c r="S19" s="119">
        <v>28000</v>
      </c>
      <c r="T19" s="118">
        <v>-1288664</v>
      </c>
      <c r="U19" s="119">
        <v>38101.769999999997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-12454.4</v>
      </c>
      <c r="F20" s="60">
        <f>'TIE-OUT'!F20+RECLASS!F20</f>
        <v>0</v>
      </c>
      <c r="G20" s="38">
        <f>'TIE-OUT'!G20+RECLASS!G20</f>
        <v>-12154.06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215">
        <v>-300.33999999999997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-49302925</v>
      </c>
      <c r="E21" s="38">
        <f t="shared" si="3"/>
        <v>-135299768</v>
      </c>
      <c r="F21" s="60">
        <f>'TIE-OUT'!F21+RECLASS!F21</f>
        <v>0</v>
      </c>
      <c r="G21" s="38">
        <f>'TIE-OUT'!G21+RECLASS!G21</f>
        <v>0</v>
      </c>
      <c r="H21" s="118">
        <f>+Actuals!E171</f>
        <v>-3077725</v>
      </c>
      <c r="I21" s="119">
        <f>+Actuals!F171</f>
        <v>-8291680</v>
      </c>
      <c r="J21" s="118">
        <f>+Actuals!G171</f>
        <v>-74784</v>
      </c>
      <c r="K21" s="119">
        <f>+Actuals!H171</f>
        <v>-220811</v>
      </c>
      <c r="L21" s="118">
        <f>+Actuals!I171</f>
        <v>0</v>
      </c>
      <c r="M21" s="119">
        <f>+Actuals!J171</f>
        <v>0</v>
      </c>
      <c r="N21" s="118">
        <f>+Actuals!K171</f>
        <v>-46150416</v>
      </c>
      <c r="O21" s="119">
        <f>+Actuals!L171</f>
        <v>-126787277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286748</v>
      </c>
      <c r="E23" s="38">
        <f t="shared" si="3"/>
        <v>749272.52399999998</v>
      </c>
      <c r="F23" s="81">
        <f>'TIE-OUT'!F23+RECLASS!F23</f>
        <v>0</v>
      </c>
      <c r="G23" s="82">
        <f>'TIE-OUT'!G23+RECLASS!G23</f>
        <v>0</v>
      </c>
      <c r="H23" s="118">
        <f>+Actuals!E173</f>
        <v>807961</v>
      </c>
      <c r="I23" s="119">
        <f>+Actuals!F173</f>
        <v>2111202.0929999999</v>
      </c>
      <c r="J23" s="118">
        <f>+Actuals!G173</f>
        <v>-22668</v>
      </c>
      <c r="K23" s="119">
        <f>+Actuals!H173</f>
        <v>-59231.483999999997</v>
      </c>
      <c r="L23" s="118">
        <f>+Actuals!I173</f>
        <v>-279890</v>
      </c>
      <c r="M23" s="119">
        <f>+Actuals!J173</f>
        <v>-731352.57</v>
      </c>
      <c r="N23" s="118">
        <f>+Actuals!K173</f>
        <v>1305</v>
      </c>
      <c r="O23" s="119">
        <f>+Actuals!L173</f>
        <v>3409.9650000000001</v>
      </c>
      <c r="P23" s="118">
        <v>-219959</v>
      </c>
      <c r="Q23" s="119">
        <v>-574752.87</v>
      </c>
      <c r="R23" s="118">
        <f>+Actuals!O173</f>
        <v>0</v>
      </c>
      <c r="S23" s="119">
        <f>+Actuals!P173</f>
        <v>0</v>
      </c>
      <c r="T23" s="118">
        <v>-1</v>
      </c>
      <c r="U23" s="119">
        <v>-2.61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-177937154</v>
      </c>
      <c r="E24" s="39">
        <f t="shared" si="4"/>
        <v>-471939853.296</v>
      </c>
      <c r="F24" s="61">
        <f t="shared" si="4"/>
        <v>0</v>
      </c>
      <c r="G24" s="39">
        <f t="shared" si="4"/>
        <v>404199.94</v>
      </c>
      <c r="H24" s="61">
        <f t="shared" si="4"/>
        <v>-130278076</v>
      </c>
      <c r="I24" s="39">
        <f t="shared" si="4"/>
        <v>-340971646.83700001</v>
      </c>
      <c r="J24" s="61">
        <f t="shared" ref="J24:AO24" si="5">SUM(J19:J23)</f>
        <v>-1549550</v>
      </c>
      <c r="K24" s="39">
        <f t="shared" si="5"/>
        <v>-4711010.6940000001</v>
      </c>
      <c r="L24" s="61">
        <f>SUM(L19:L23)</f>
        <v>561355</v>
      </c>
      <c r="M24" s="39">
        <f>SUM(M19:M23)</f>
        <v>1297345.1600000001</v>
      </c>
      <c r="N24" s="61">
        <f t="shared" si="5"/>
        <v>-46471175</v>
      </c>
      <c r="O24" s="39">
        <f t="shared" si="5"/>
        <v>-127628185.095</v>
      </c>
      <c r="P24" s="61">
        <f t="shared" si="5"/>
        <v>-213594</v>
      </c>
      <c r="Q24" s="39">
        <f t="shared" si="5"/>
        <v>-396654.93</v>
      </c>
      <c r="R24" s="61">
        <f t="shared" si="5"/>
        <v>1302551</v>
      </c>
      <c r="S24" s="39">
        <f t="shared" si="5"/>
        <v>28000</v>
      </c>
      <c r="T24" s="61">
        <f t="shared" si="5"/>
        <v>-1288665</v>
      </c>
      <c r="U24" s="39">
        <f t="shared" si="5"/>
        <v>38099.159999999996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620978</v>
      </c>
      <c r="E27" s="38">
        <f>SUM(G27,I27,K27,M27,O27,Q27,S27,U27,W27,Y27,AA27,AC27,AE27)</f>
        <v>1689839.42</v>
      </c>
      <c r="F27" s="64">
        <f>'TIE-OUT'!F27+RECLASS!F27</f>
        <v>0</v>
      </c>
      <c r="G27" s="68">
        <f>'TIE-OUT'!G27+RECLASS!G27</f>
        <v>0</v>
      </c>
      <c r="H27" s="118">
        <f>+Actuals!E174</f>
        <v>620978</v>
      </c>
      <c r="I27" s="119">
        <f>+Actuals!F174</f>
        <v>1689839.42</v>
      </c>
      <c r="J27" s="118">
        <f>+Actuals!G174</f>
        <v>80366</v>
      </c>
      <c r="K27" s="119">
        <f>+Actuals!H174</f>
        <v>224469.19</v>
      </c>
      <c r="L27" s="118">
        <f>+Actuals!I174</f>
        <v>-80366</v>
      </c>
      <c r="M27" s="119">
        <f>+Actuals!J174</f>
        <v>-224469.19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f>+Actuals!E175</f>
        <v>0</v>
      </c>
      <c r="I28" s="119">
        <f>+Actuals!F175</f>
        <v>0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620978</v>
      </c>
      <c r="E29" s="39">
        <f t="shared" si="6"/>
        <v>1689839.42</v>
      </c>
      <c r="F29" s="61">
        <f t="shared" si="6"/>
        <v>0</v>
      </c>
      <c r="G29" s="39">
        <f t="shared" si="6"/>
        <v>0</v>
      </c>
      <c r="H29" s="61">
        <f t="shared" si="6"/>
        <v>620978</v>
      </c>
      <c r="I29" s="39">
        <f t="shared" si="6"/>
        <v>1689839.42</v>
      </c>
      <c r="J29" s="61">
        <f t="shared" ref="J29:AO29" si="7">SUM(J27:J28)</f>
        <v>80366</v>
      </c>
      <c r="K29" s="39">
        <f t="shared" si="7"/>
        <v>224469.19</v>
      </c>
      <c r="L29" s="61">
        <f>SUM(L27:L28)</f>
        <v>-80366</v>
      </c>
      <c r="M29" s="39">
        <f>SUM(M27:M28)</f>
        <v>-224469.19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198518</v>
      </c>
      <c r="E32" s="38">
        <f t="shared" si="8"/>
        <v>518727.53700000019</v>
      </c>
      <c r="F32" s="64">
        <f>'TIE-OUT'!F32+RECLASS!F32</f>
        <v>0</v>
      </c>
      <c r="G32" s="68">
        <f>'TIE-OUT'!G32+RECLASS!G32</f>
        <v>0</v>
      </c>
      <c r="H32" s="118">
        <f>+Actuals!E176</f>
        <v>-706880</v>
      </c>
      <c r="I32" s="119">
        <f>+Actuals!F176</f>
        <v>-1847077.44</v>
      </c>
      <c r="J32" s="118">
        <f>+Actuals!G176</f>
        <v>561564</v>
      </c>
      <c r="K32" s="119">
        <f>+Actuals!H176</f>
        <v>1467366.7320000001</v>
      </c>
      <c r="L32" s="118">
        <f>+Actuals!I176</f>
        <v>161992</v>
      </c>
      <c r="M32" s="119">
        <f>+Actuals!J176</f>
        <v>423285.09600000002</v>
      </c>
      <c r="N32" s="118">
        <f>+Actuals!K176</f>
        <v>253</v>
      </c>
      <c r="O32" s="119">
        <f>+Actuals!L176</f>
        <v>661.08900000000006</v>
      </c>
      <c r="P32" s="118">
        <v>207845</v>
      </c>
      <c r="Q32" s="119">
        <v>543098.99</v>
      </c>
      <c r="R32" s="118">
        <v>-10147</v>
      </c>
      <c r="S32" s="119">
        <v>-26514.11</v>
      </c>
      <c r="T32" s="118">
        <v>-16109</v>
      </c>
      <c r="U32" s="119">
        <v>-42092.82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-40606</v>
      </c>
      <c r="E33" s="38">
        <f t="shared" si="8"/>
        <v>-48447.07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-22553</v>
      </c>
      <c r="K33" s="119">
        <f>+Actuals!H177</f>
        <v>-195.82</v>
      </c>
      <c r="L33" s="118">
        <f>+Actuals!I177</f>
        <v>-10056</v>
      </c>
      <c r="M33" s="119">
        <f>+Actuals!J177</f>
        <v>-27476.29</v>
      </c>
      <c r="N33" s="118">
        <f>+Actuals!K177</f>
        <v>-7996</v>
      </c>
      <c r="O33" s="119">
        <f>+Actuals!L177</f>
        <v>-20774.96</v>
      </c>
      <c r="P33" s="118">
        <f>+Actuals!M177</f>
        <v>0</v>
      </c>
      <c r="Q33" s="119">
        <f>+Actuals!N177</f>
        <v>0</v>
      </c>
      <c r="R33" s="118">
        <v>-1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29564</v>
      </c>
      <c r="E34" s="38">
        <f t="shared" si="8"/>
        <v>69690.03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690</v>
      </c>
      <c r="K34" s="119">
        <f>+Actuals!H178</f>
        <v>0</v>
      </c>
      <c r="L34" s="118">
        <f>+Actuals!I178</f>
        <v>724</v>
      </c>
      <c r="M34" s="119">
        <f>+Actuals!J178</f>
        <v>1934.38</v>
      </c>
      <c r="N34" s="118">
        <f>+Actuals!K178</f>
        <v>14389</v>
      </c>
      <c r="O34" s="119">
        <f>+Actuals!L178</f>
        <v>37323.629999999997</v>
      </c>
      <c r="P34" s="118">
        <f>+Actuals!M178</f>
        <v>0</v>
      </c>
      <c r="Q34" s="119">
        <f>+Actuals!N178</f>
        <v>0</v>
      </c>
      <c r="R34" s="118">
        <v>6092</v>
      </c>
      <c r="S34" s="119">
        <v>12194.68</v>
      </c>
      <c r="T34" s="118">
        <v>7669</v>
      </c>
      <c r="U34" s="119">
        <v>18237.34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298037</v>
      </c>
      <c r="E35" s="38">
        <f t="shared" si="8"/>
        <v>768750.01</v>
      </c>
      <c r="F35" s="81">
        <f>'TIE-OUT'!F35+RECLASS!F35</f>
        <v>0</v>
      </c>
      <c r="G35" s="82">
        <f>'TIE-OUT'!G35+RECLASS!G35</f>
        <v>768750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v>298037</v>
      </c>
      <c r="Q35" s="119">
        <v>0.01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485513</v>
      </c>
      <c r="E36" s="39">
        <f t="shared" si="9"/>
        <v>1308720.5070000002</v>
      </c>
      <c r="F36" s="61">
        <f t="shared" si="9"/>
        <v>0</v>
      </c>
      <c r="G36" s="39">
        <f t="shared" si="9"/>
        <v>768750</v>
      </c>
      <c r="H36" s="61">
        <f t="shared" si="9"/>
        <v>-706880</v>
      </c>
      <c r="I36" s="39">
        <f t="shared" si="9"/>
        <v>-1847077.44</v>
      </c>
      <c r="J36" s="61">
        <f t="shared" ref="J36:AO36" si="10">SUM(J32:J35)</f>
        <v>539701</v>
      </c>
      <c r="K36" s="39">
        <f t="shared" si="10"/>
        <v>1467170.912</v>
      </c>
      <c r="L36" s="61">
        <f>SUM(L32:L35)</f>
        <v>152660</v>
      </c>
      <c r="M36" s="39">
        <f>SUM(M32:M35)</f>
        <v>397743.18600000005</v>
      </c>
      <c r="N36" s="61">
        <f t="shared" si="10"/>
        <v>6646</v>
      </c>
      <c r="O36" s="39">
        <f t="shared" si="10"/>
        <v>17209.758999999998</v>
      </c>
      <c r="P36" s="61">
        <f t="shared" si="10"/>
        <v>505882</v>
      </c>
      <c r="Q36" s="39">
        <f t="shared" si="10"/>
        <v>543099</v>
      </c>
      <c r="R36" s="61">
        <f t="shared" si="10"/>
        <v>-4056</v>
      </c>
      <c r="S36" s="39">
        <f t="shared" si="10"/>
        <v>-14319.43</v>
      </c>
      <c r="T36" s="61">
        <f t="shared" si="10"/>
        <v>-8440</v>
      </c>
      <c r="U36" s="39">
        <f t="shared" si="10"/>
        <v>-23855.48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2458</v>
      </c>
      <c r="E39" s="38">
        <f t="shared" si="11"/>
        <v>6422.7599999997765</v>
      </c>
      <c r="F39" s="64">
        <f>'TIE-OUT'!F39+RECLASS!F39</f>
        <v>0</v>
      </c>
      <c r="G39" s="68">
        <f>'TIE-OUT'!G39+RECLASS!G39</f>
        <v>0</v>
      </c>
      <c r="H39" s="118">
        <f>+Actuals!E180</f>
        <v>552019</v>
      </c>
      <c r="I39" s="119">
        <f>+Actuals!F180</f>
        <v>1442425.65</v>
      </c>
      <c r="J39" s="118">
        <f>+Actuals!G180</f>
        <v>60439</v>
      </c>
      <c r="K39" s="119">
        <f>+Actuals!H180</f>
        <v>157927.10999999999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v>-610000</v>
      </c>
      <c r="Q39" s="119">
        <v>-1593930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-70212</v>
      </c>
      <c r="E40" s="38">
        <f t="shared" si="11"/>
        <v>-147770.10999999999</v>
      </c>
      <c r="F40" s="60">
        <f>'TIE-OUT'!F40+RECLASS!F40</f>
        <v>0</v>
      </c>
      <c r="G40" s="38">
        <f>'TIE-OUT'!G40+RECLASS!G40</f>
        <v>0</v>
      </c>
      <c r="H40" s="118">
        <f>+Actuals!E181</f>
        <v>-392942</v>
      </c>
      <c r="I40" s="119">
        <f>+Actuals!F181</f>
        <v>-860316.56</v>
      </c>
      <c r="J40" s="118">
        <f>+Actuals!G181</f>
        <v>6067</v>
      </c>
      <c r="K40" s="119">
        <f>+Actuals!H181</f>
        <v>18379.3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v>316663</v>
      </c>
      <c r="Q40" s="119">
        <v>694167.15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-70212</v>
      </c>
      <c r="E42" s="39">
        <f t="shared" si="12"/>
        <v>-147770.10999999999</v>
      </c>
      <c r="F42" s="61">
        <f t="shared" si="12"/>
        <v>0</v>
      </c>
      <c r="G42" s="39">
        <f t="shared" si="12"/>
        <v>0</v>
      </c>
      <c r="H42" s="61">
        <f t="shared" si="12"/>
        <v>-392942</v>
      </c>
      <c r="I42" s="39">
        <f t="shared" si="12"/>
        <v>-860316.56</v>
      </c>
      <c r="J42" s="61">
        <f t="shared" ref="J42:AO42" si="13">SUM(J40:J41)</f>
        <v>6067</v>
      </c>
      <c r="K42" s="39">
        <f t="shared" si="13"/>
        <v>18379.3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316663</v>
      </c>
      <c r="Q42" s="39">
        <f t="shared" si="13"/>
        <v>694167.15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-67754</v>
      </c>
      <c r="E43" s="39">
        <f t="shared" si="14"/>
        <v>-141347.35000000021</v>
      </c>
      <c r="F43" s="61">
        <f t="shared" si="14"/>
        <v>0</v>
      </c>
      <c r="G43" s="39">
        <f t="shared" si="14"/>
        <v>0</v>
      </c>
      <c r="H43" s="61">
        <f t="shared" si="14"/>
        <v>159077</v>
      </c>
      <c r="I43" s="39">
        <f t="shared" si="14"/>
        <v>582109.08999999985</v>
      </c>
      <c r="J43" s="61">
        <f t="shared" ref="J43:AO43" si="15">J42+J39</f>
        <v>66506</v>
      </c>
      <c r="K43" s="39">
        <f t="shared" si="15"/>
        <v>176306.40999999997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-293337</v>
      </c>
      <c r="Q43" s="39">
        <f t="shared" si="15"/>
        <v>-899762.85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-330747</v>
      </c>
      <c r="E49" s="38">
        <f>SUM(G49,I49,K49,M49,O49,Q49,S49,U49,W49,Y49,AA49,AC49,AE49)</f>
        <v>-864241.81600000057</v>
      </c>
      <c r="F49" s="60">
        <f>'TIE-OUT'!F49+RECLASS!F49</f>
        <v>0</v>
      </c>
      <c r="G49" s="38">
        <f>'TIE-OUT'!G49+RECLASS!G49</f>
        <v>0</v>
      </c>
      <c r="H49" s="118">
        <f>+Actuals!E185</f>
        <v>9566999</v>
      </c>
      <c r="I49" s="119">
        <f>+Actuals!F185</f>
        <v>24998568.386999998</v>
      </c>
      <c r="J49" s="118">
        <f>+Actuals!G185</f>
        <v>310895</v>
      </c>
      <c r="K49" s="119">
        <f>+Actuals!H185</f>
        <v>812368.63500000164</v>
      </c>
      <c r="L49" s="118">
        <f>+Actuals!I185</f>
        <v>-446761</v>
      </c>
      <c r="M49" s="119">
        <f>+Actuals!J185</f>
        <v>-1167386.493</v>
      </c>
      <c r="N49" s="118">
        <f>+Actuals!K185</f>
        <v>-9768235</v>
      </c>
      <c r="O49" s="119">
        <f>+Actuals!L185</f>
        <v>-25524398.055</v>
      </c>
      <c r="P49" s="118">
        <v>11801</v>
      </c>
      <c r="Q49" s="119">
        <v>30836.1</v>
      </c>
      <c r="R49" s="118">
        <v>-1302551</v>
      </c>
      <c r="S49" s="119">
        <v>-3403565.76</v>
      </c>
      <c r="T49" s="118">
        <v>1297105</v>
      </c>
      <c r="U49" s="119">
        <v>3389335.37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-286748</v>
      </c>
      <c r="E51" s="38">
        <f>SUM(G51,I51,K51,M51,O51,Q51,S51,U51,W51,Y51,AA51,AC51,AE51)</f>
        <v>-540490.52399999998</v>
      </c>
      <c r="F51" s="60">
        <f>'TIE-OUT'!F51+RECLASS!F51</f>
        <v>0</v>
      </c>
      <c r="G51" s="38">
        <f>'TIE-OUT'!G51+RECLASS!G51</f>
        <v>208782</v>
      </c>
      <c r="H51" s="118">
        <f>+Actuals!E186</f>
        <v>-807961</v>
      </c>
      <c r="I51" s="119">
        <f>+Actuals!F186</f>
        <v>-2111202.0929999999</v>
      </c>
      <c r="J51" s="118">
        <f>+Actuals!G186</f>
        <v>22668</v>
      </c>
      <c r="K51" s="119">
        <f>+Actuals!H186</f>
        <v>59231.483999999997</v>
      </c>
      <c r="L51" s="118">
        <f>+Actuals!I186</f>
        <v>279890</v>
      </c>
      <c r="M51" s="119">
        <f>+Actuals!J186</f>
        <v>731352.57</v>
      </c>
      <c r="N51" s="118">
        <f>+Actuals!K186</f>
        <v>-1305</v>
      </c>
      <c r="O51" s="119">
        <f>+Actuals!L186</f>
        <v>-3409.9650000000001</v>
      </c>
      <c r="P51" s="118">
        <v>219959</v>
      </c>
      <c r="Q51" s="119">
        <v>574752.87</v>
      </c>
      <c r="R51" s="118">
        <f>+Actuals!O186</f>
        <v>0</v>
      </c>
      <c r="S51" s="119">
        <f>+Actuals!P186</f>
        <v>0</v>
      </c>
      <c r="T51" s="118">
        <v>1</v>
      </c>
      <c r="U51" s="119">
        <v>2.61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-97416149</v>
      </c>
      <c r="E54" s="38">
        <f>SUM(G54,I54,K54,M54,O54,Q54,S54,U54,W54,Y54,AA54,AC54,AE54)</f>
        <v>21393.65999999996</v>
      </c>
      <c r="F54" s="64">
        <f>'TIE-OUT'!F54+RECLASS!F54</f>
        <v>0</v>
      </c>
      <c r="G54" s="68">
        <f>'TIE-OUT'!G54+RECLASS!G54</f>
        <v>-175814</v>
      </c>
      <c r="H54" s="118">
        <f>+Actuals!E187</f>
        <v>-76869037</v>
      </c>
      <c r="I54" s="119">
        <f>+Actuals!F187</f>
        <v>-564998.48</v>
      </c>
      <c r="J54" s="118">
        <f>+Actuals!G187</f>
        <v>-1844583</v>
      </c>
      <c r="K54" s="119">
        <f>+Actuals!H187</f>
        <v>56831.97</v>
      </c>
      <c r="L54" s="118">
        <f>+Actuals!I187</f>
        <v>-879030</v>
      </c>
      <c r="M54" s="119">
        <f>+Actuals!J187</f>
        <v>7960.26</v>
      </c>
      <c r="N54" s="118">
        <f>+Actuals!K187</f>
        <v>-5358</v>
      </c>
      <c r="O54" s="119">
        <f>+Actuals!L187</f>
        <v>757381.21</v>
      </c>
      <c r="P54" s="118">
        <v>4369</v>
      </c>
      <c r="Q54" s="119">
        <v>-19195.7</v>
      </c>
      <c r="R54" s="118">
        <v>18564</v>
      </c>
      <c r="S54" s="119">
        <v>18356.009999999998</v>
      </c>
      <c r="T54" s="118">
        <v>-17841074</v>
      </c>
      <c r="U54" s="119">
        <v>-59127.61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-2612918.52</v>
      </c>
      <c r="F55" s="81">
        <f>'TIE-OUT'!F55+RECLASS!F55</f>
        <v>0</v>
      </c>
      <c r="G55" s="82">
        <f>'TIE-OUT'!G55+RECLASS!G55</f>
        <v>-450114</v>
      </c>
      <c r="H55" s="118">
        <f>+Actuals!E188</f>
        <v>0</v>
      </c>
      <c r="I55" s="119">
        <f>+Actuals!F188</f>
        <v>-2791251.81</v>
      </c>
      <c r="J55" s="118">
        <f>+Actuals!G188</f>
        <v>0</v>
      </c>
      <c r="K55" s="119">
        <f>+Actuals!H188</f>
        <v>650200.41</v>
      </c>
      <c r="L55" s="118">
        <f>+Actuals!I188</f>
        <v>0</v>
      </c>
      <c r="M55" s="119">
        <f>+Actuals!J188</f>
        <v>-20747.060000000001</v>
      </c>
      <c r="N55" s="118">
        <f>+Actuals!K188</f>
        <v>0</v>
      </c>
      <c r="O55" s="119">
        <f>+Actuals!L188</f>
        <v>-1006.06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-97416149</v>
      </c>
      <c r="E56" s="39">
        <f t="shared" si="16"/>
        <v>-2591524.86</v>
      </c>
      <c r="F56" s="61">
        <f t="shared" si="16"/>
        <v>0</v>
      </c>
      <c r="G56" s="39">
        <f t="shared" si="16"/>
        <v>-625928</v>
      </c>
      <c r="H56" s="61">
        <f t="shared" si="16"/>
        <v>-76869037</v>
      </c>
      <c r="I56" s="39">
        <f t="shared" si="16"/>
        <v>-3356250.29</v>
      </c>
      <c r="J56" s="61">
        <f t="shared" ref="J56:AO56" si="17">SUM(J54:J55)</f>
        <v>-1844583</v>
      </c>
      <c r="K56" s="39">
        <f t="shared" si="17"/>
        <v>707032.38</v>
      </c>
      <c r="L56" s="61">
        <f>SUM(L54:L55)</f>
        <v>-879030</v>
      </c>
      <c r="M56" s="39">
        <f>SUM(M54:M55)</f>
        <v>-12786.800000000001</v>
      </c>
      <c r="N56" s="61">
        <f t="shared" si="17"/>
        <v>-5358</v>
      </c>
      <c r="O56" s="39">
        <f t="shared" si="17"/>
        <v>756375.14999999991</v>
      </c>
      <c r="P56" s="61">
        <f t="shared" si="17"/>
        <v>4369</v>
      </c>
      <c r="Q56" s="39">
        <f t="shared" si="17"/>
        <v>-19195.7</v>
      </c>
      <c r="R56" s="61">
        <f t="shared" si="17"/>
        <v>18564</v>
      </c>
      <c r="S56" s="39">
        <f t="shared" si="17"/>
        <v>18356.009999999998</v>
      </c>
      <c r="T56" s="61">
        <f t="shared" si="17"/>
        <v>-17841074</v>
      </c>
      <c r="U56" s="39">
        <f t="shared" si="17"/>
        <v>-59127.61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5834127.9100000001</v>
      </c>
      <c r="F70" s="64">
        <f>'TIE-OUT'!F70+RECLASS!F70</f>
        <v>0</v>
      </c>
      <c r="G70" s="68">
        <f>'TIE-OUT'!G70+RECLASS!G70</f>
        <v>5834127.9100000001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-4506255</v>
      </c>
      <c r="F71" s="81">
        <f>'TIE-OUT'!F71+RECLASS!F71</f>
        <v>0</v>
      </c>
      <c r="G71" s="82">
        <f>'TIE-OUT'!G71+RECLASS!G71</f>
        <v>-4506255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1327872.9100000001</v>
      </c>
      <c r="F72" s="61">
        <f t="shared" si="22"/>
        <v>0</v>
      </c>
      <c r="G72" s="39">
        <f t="shared" si="22"/>
        <v>1327872.9100000001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-2721873.47</v>
      </c>
      <c r="F74" s="60">
        <f>'TIE-OUT'!F74+RECLASS!F74</f>
        <v>0</v>
      </c>
      <c r="G74" s="60">
        <f>'TIE-OUT'!G74+RECLASS!G74</f>
        <v>-2813420.37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f>+Actuals!J196</f>
        <v>0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v>-3000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39">
        <v>94546.9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76200</v>
      </c>
      <c r="F75" s="60">
        <f>'TIE-OUT'!F75+RECLASS!F75</f>
        <v>0</v>
      </c>
      <c r="G75" s="60">
        <f>'TIE-OUT'!G75+RECLASS!G75</f>
        <v>76200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-10042.250000000002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-4361.28</v>
      </c>
      <c r="J76" s="118">
        <f>+Actuals!G198</f>
        <v>0</v>
      </c>
      <c r="K76" s="119">
        <f>+Actuals!H198</f>
        <v>-5670.51</v>
      </c>
      <c r="L76" s="118">
        <f>+Actuals!I198</f>
        <v>0</v>
      </c>
      <c r="M76" s="119">
        <f>+Actuals!J198</f>
        <v>298.64999999999998</v>
      </c>
      <c r="N76" s="118">
        <f>+Actuals!K198</f>
        <v>0</v>
      </c>
      <c r="O76" s="119">
        <f>+Actuals!L198</f>
        <v>-309.11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-67500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+Actuals!F203-67500</f>
        <v>-67500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-618538.90900001372</v>
      </c>
      <c r="F82" s="91">
        <f>F16+F24+F29+F36+F43+F45+F47+F49</f>
        <v>0</v>
      </c>
      <c r="G82" s="92">
        <f>SUM(G72:G81)+G16+G24+G29+G36+G43+G45+G47+G49+G51+G56+G61+G66</f>
        <v>-7787150.0000000009</v>
      </c>
      <c r="H82" s="91">
        <f>H16+H24+H29+H36+H43+H45+H47+H49</f>
        <v>0</v>
      </c>
      <c r="I82" s="137">
        <f>SUM(I72:I81)+I16+I24+I29+I36+I43+I45+I47+I49+I51+I56+I61+I66</f>
        <v>-1727702.0129999542</v>
      </c>
      <c r="J82" s="91">
        <f>J16+J24+J29+J36+J43+J45+J47+J49</f>
        <v>0</v>
      </c>
      <c r="K82" s="137">
        <f>SUM(K72:K81)+K16+K24+K29+K36+K43+K45+K47+K49+K51+K56+K61+K66</f>
        <v>9543703.8270000014</v>
      </c>
      <c r="L82" s="91">
        <f>L16+L24+L29+L36+L43+L45+L47+L49</f>
        <v>0</v>
      </c>
      <c r="M82" s="137">
        <f>SUM(M72:M81)+M16+M24+M29+M36+M43+M45+M47+M49+M51+M56+M61+M66</f>
        <v>159387.57300000015</v>
      </c>
      <c r="N82" s="91">
        <f>N16+N24+N29+N36+N43+N45+N47+N49</f>
        <v>0</v>
      </c>
      <c r="O82" s="92">
        <f>SUM(O72:O81)+O16+O24+O29+O36+O43+O45+O47+O49+O51+O56+O61+O66</f>
        <v>-695328.67600002768</v>
      </c>
      <c r="P82" s="91">
        <f>P16+P24+P29+P36+P43+P45+P47+P49</f>
        <v>0</v>
      </c>
      <c r="Q82" s="92">
        <f>SUM(Q72:Q81)+Q16+Q24+Q29+Q36+Q43+Q45+Q47+Q49+Q51+Q56+Q61+Q66</f>
        <v>-196070.39999999997</v>
      </c>
      <c r="R82" s="91">
        <f>R16+R24+R29+R36+R43+R45+R47+R49</f>
        <v>0</v>
      </c>
      <c r="S82" s="92">
        <f>SUM(S72:S81)+S16+S24+S29+S36+S43+S45+S47+S49+S51+S56+S61+S66</f>
        <v>-3354380.17</v>
      </c>
      <c r="T82" s="91">
        <f>T16+T24+T29+T36+T43+T45+T47+T49</f>
        <v>0</v>
      </c>
      <c r="U82" s="92">
        <f>SUM(U72:U81)+U16+U24+U29+U36+U43+U45+U47+U49+U51+U56+U61+U66</f>
        <v>3439000.95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N58" activePane="bottomRight" state="frozen"/>
      <selection activeCell="T9" sqref="T9"/>
      <selection pane="topRight" activeCell="T9" sqref="T9"/>
      <selection pane="bottomLeft" activeCell="T9" sqref="T9"/>
      <selection pane="bottomRight" activeCell="U90" sqref="U9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5736188</v>
      </c>
      <c r="E11" s="38">
        <f>SUM(G11,I11,K11,M11,O11,Q11,S11,U11,W11,Y11,AA11,AC11,AE11)</f>
        <v>15682518.279999999</v>
      </c>
      <c r="F11" s="60">
        <f>'TIE-OUT'!AD11+RECLASS!AD11</f>
        <v>0</v>
      </c>
      <c r="G11" s="38">
        <f>'TIE-OUT'!AE11+RECLASS!AE11</f>
        <v>0</v>
      </c>
      <c r="H11" s="118">
        <f>+Actuals!E404</f>
        <v>5736195</v>
      </c>
      <c r="I11" s="118">
        <f>+Actuals!F404</f>
        <v>19935115.699999999</v>
      </c>
      <c r="J11" s="118">
        <f>+Actuals!G404</f>
        <v>-7</v>
      </c>
      <c r="K11" s="118">
        <f>+Actuals!H404</f>
        <v>-3939142.19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311203.49</v>
      </c>
      <c r="P11" s="118">
        <f>+Actuals!M404</f>
        <v>0</v>
      </c>
      <c r="Q11" s="118">
        <v>-624658.72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-690292.81</v>
      </c>
      <c r="F12" s="60">
        <f>'TIE-OUT'!AD12+RECLASS!AD12</f>
        <v>0</v>
      </c>
      <c r="G12" s="38">
        <f>'TIE-OUT'!AE12+RECLASS!AE12</f>
        <v>-690292.81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216"/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5233176</v>
      </c>
      <c r="E13" s="38">
        <f t="shared" si="0"/>
        <v>14876167</v>
      </c>
      <c r="F13" s="60">
        <f>'TIE-OUT'!AD13+RECLASS!AD13</f>
        <v>0</v>
      </c>
      <c r="G13" s="38">
        <f>'TIE-OUT'!AE13+RECLASS!AE13</f>
        <v>0</v>
      </c>
      <c r="H13" s="118">
        <f>+Actuals!E406</f>
        <v>304676</v>
      </c>
      <c r="I13" s="118">
        <f>+Actuals!F406</f>
        <v>873663</v>
      </c>
      <c r="J13" s="118">
        <f>+Actuals!G406</f>
        <v>0</v>
      </c>
      <c r="K13" s="118">
        <f>+Actuals!H406</f>
        <v>0</v>
      </c>
      <c r="L13" s="118">
        <f>+Actuals!I406</f>
        <v>0</v>
      </c>
      <c r="M13" s="118">
        <f>+Actuals!J406</f>
        <v>0</v>
      </c>
      <c r="N13" s="118">
        <f>+Actuals!K406</f>
        <v>4928500</v>
      </c>
      <c r="O13" s="118">
        <f>+Actuals!L406</f>
        <v>14002504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47411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47411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10969364</v>
      </c>
      <c r="E16" s="39">
        <f t="shared" si="1"/>
        <v>29915803.469999999</v>
      </c>
      <c r="F16" s="61">
        <f t="shared" si="1"/>
        <v>0</v>
      </c>
      <c r="G16" s="39">
        <f t="shared" si="1"/>
        <v>-690292.81</v>
      </c>
      <c r="H16" s="61">
        <f t="shared" si="1"/>
        <v>6040871</v>
      </c>
      <c r="I16" s="61">
        <f t="shared" si="1"/>
        <v>20808778.699999999</v>
      </c>
      <c r="J16" s="61">
        <f t="shared" si="1"/>
        <v>-7</v>
      </c>
      <c r="K16" s="61">
        <f t="shared" si="1"/>
        <v>-3939142.19</v>
      </c>
      <c r="L16" s="61">
        <f>SUM(L11:L15)</f>
        <v>0</v>
      </c>
      <c r="M16" s="61">
        <f>SUM(M11:M15)</f>
        <v>47411</v>
      </c>
      <c r="N16" s="61">
        <f t="shared" si="1"/>
        <v>4928500</v>
      </c>
      <c r="O16" s="61">
        <f t="shared" si="1"/>
        <v>14313707.49</v>
      </c>
      <c r="P16" s="61">
        <f t="shared" si="1"/>
        <v>0</v>
      </c>
      <c r="Q16" s="61">
        <f t="shared" si="1"/>
        <v>-624658.72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-900825</v>
      </c>
      <c r="E19" s="38">
        <f t="shared" si="2"/>
        <v>-2109354.31</v>
      </c>
      <c r="F19" s="64">
        <f>'TIE-OUT'!AD19+RECLASS!AD19</f>
        <v>0</v>
      </c>
      <c r="G19" s="68">
        <f>'TIE-OUT'!AE19+RECLASS!AE19</f>
        <v>0</v>
      </c>
      <c r="H19" s="118">
        <f>+Actuals!E409</f>
        <v>-900825</v>
      </c>
      <c r="I19" s="118">
        <f>+Actuals!F409</f>
        <v>-2577650.23</v>
      </c>
      <c r="J19" s="118">
        <f>+Actuals!G409</f>
        <v>0</v>
      </c>
      <c r="K19" s="118">
        <f>+Actuals!H409</f>
        <v>-194794.04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663089.96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-66483.69</v>
      </c>
      <c r="F20" s="60">
        <f>'TIE-OUT'!AD20+RECLASS!AD20</f>
        <v>0</v>
      </c>
      <c r="G20" s="38">
        <f>'TIE-OUT'!AE20+RECLASS!AE20</f>
        <v>-66483.69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-10148038</v>
      </c>
      <c r="E21" s="38">
        <f t="shared" si="2"/>
        <v>-27401898</v>
      </c>
      <c r="F21" s="60">
        <f>'TIE-OUT'!AD21+RECLASS!AD21</f>
        <v>0</v>
      </c>
      <c r="G21" s="38">
        <f>'TIE-OUT'!AE21+RECLASS!AE21</f>
        <v>0</v>
      </c>
      <c r="H21" s="118">
        <f>+Actuals!E411</f>
        <v>-2193345</v>
      </c>
      <c r="I21" s="118">
        <f>+Actuals!F411</f>
        <v>-5837374</v>
      </c>
      <c r="J21" s="118">
        <f>+Actuals!G411</f>
        <v>-27226</v>
      </c>
      <c r="K21" s="118">
        <f>+Actuals!H411</f>
        <v>-81106</v>
      </c>
      <c r="L21" s="118">
        <f>+Actuals!I411</f>
        <v>0</v>
      </c>
      <c r="M21" s="118">
        <f>+Actuals!J411</f>
        <v>0</v>
      </c>
      <c r="N21" s="118">
        <f>+Actuals!K411</f>
        <v>-7927467</v>
      </c>
      <c r="O21" s="118">
        <f>+Actuals!L411</f>
        <v>-21483418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-11048863</v>
      </c>
      <c r="E24" s="39">
        <f t="shared" si="3"/>
        <v>-29577736</v>
      </c>
      <c r="F24" s="61">
        <f t="shared" si="3"/>
        <v>0</v>
      </c>
      <c r="G24" s="39">
        <f t="shared" si="3"/>
        <v>-66483.69</v>
      </c>
      <c r="H24" s="61">
        <f t="shared" si="3"/>
        <v>-3094170</v>
      </c>
      <c r="I24" s="61">
        <f t="shared" si="3"/>
        <v>-8415024.2300000004</v>
      </c>
      <c r="J24" s="61">
        <f t="shared" si="3"/>
        <v>-27226</v>
      </c>
      <c r="K24" s="61">
        <f t="shared" si="3"/>
        <v>-275900.04000000004</v>
      </c>
      <c r="L24" s="61">
        <f>SUM(L19:L23)</f>
        <v>0</v>
      </c>
      <c r="M24" s="61">
        <f>SUM(M19:M23)</f>
        <v>0</v>
      </c>
      <c r="N24" s="61">
        <f t="shared" si="3"/>
        <v>-7927467</v>
      </c>
      <c r="O24" s="61">
        <f t="shared" si="3"/>
        <v>-20820328.039999999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>SUM(L27:L28)</f>
        <v>0</v>
      </c>
      <c r="M29" s="61">
        <f>SUM(M27:M28)</f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>SUM(L32:L35)</f>
        <v>0</v>
      </c>
      <c r="M36" s="61">
        <f>SUM(M32:M35)</f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133135</v>
      </c>
      <c r="E39" s="38">
        <f t="shared" si="7"/>
        <v>338828.58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v>133135</v>
      </c>
      <c r="U39" s="118">
        <v>338828.58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>SUM(L40:L41)</f>
        <v>0</v>
      </c>
      <c r="M42" s="61">
        <f>SUM(M40:M41)</f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133135</v>
      </c>
      <c r="E43" s="39">
        <f>E42+E39</f>
        <v>338828.58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>L42+L39</f>
        <v>0</v>
      </c>
      <c r="M43" s="61">
        <f>M42+M39</f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133135</v>
      </c>
      <c r="U43" s="61">
        <f t="shared" si="9"/>
        <v>338828.58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-53636</v>
      </c>
      <c r="E49" s="38">
        <f>SUM(G49,I49,K49,M49,O49,Q49,S49,U49,W49,Y49,AA49,AC49,AE49)</f>
        <v>-136503.62499999994</v>
      </c>
      <c r="F49" s="60">
        <f>'TIE-OUT'!AD49+RECLASS!AD49</f>
        <v>0</v>
      </c>
      <c r="G49" s="38">
        <f>'TIE-OUT'!AE49+RECLASS!AE49</f>
        <v>0</v>
      </c>
      <c r="H49" s="118">
        <f>+Actuals!E425</f>
        <v>-2946701</v>
      </c>
      <c r="I49" s="118">
        <f>+Actuals!F425</f>
        <v>-7499354.0449999999</v>
      </c>
      <c r="J49" s="118">
        <f>+Actuals!G425</f>
        <v>27233</v>
      </c>
      <c r="K49" s="118">
        <f>+Actuals!H425</f>
        <v>69307.985000000335</v>
      </c>
      <c r="L49" s="118">
        <f>+Actuals!I425</f>
        <v>0</v>
      </c>
      <c r="M49" s="118">
        <f>+Actuals!J425</f>
        <v>0</v>
      </c>
      <c r="N49" s="118">
        <f>+Actuals!K425</f>
        <v>2998967</v>
      </c>
      <c r="O49" s="118">
        <f>+Actuals!L425</f>
        <v>7632371.0149999997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v>-133135</v>
      </c>
      <c r="U49" s="118">
        <v>-338828.58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-212423.79</v>
      </c>
      <c r="E54" s="38">
        <f>SUM(G54,I54,K54,M54,O54,Q54,S54,U54,W54,Y54,AA54,AC54,AE54)</f>
        <v>-689523.08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-663089.96</v>
      </c>
      <c r="P54" s="118">
        <f>+Actuals!M427</f>
        <v>0</v>
      </c>
      <c r="Q54" s="118">
        <f>+Actuals!N427</f>
        <v>0</v>
      </c>
      <c r="R54" s="118">
        <v>19837</v>
      </c>
      <c r="S54" s="118">
        <v>105.83</v>
      </c>
      <c r="T54" s="118">
        <v>-232260.79</v>
      </c>
      <c r="U54" s="118">
        <v>-26538.95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-212423.79</v>
      </c>
      <c r="E56" s="39">
        <f t="shared" si="10"/>
        <v>-689523.08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>SUM(L54:L55)</f>
        <v>0</v>
      </c>
      <c r="M56" s="61">
        <f>SUM(M54:M55)</f>
        <v>0</v>
      </c>
      <c r="N56" s="61">
        <f t="shared" si="10"/>
        <v>0</v>
      </c>
      <c r="O56" s="61">
        <f t="shared" si="10"/>
        <v>-663089.96</v>
      </c>
      <c r="P56" s="61">
        <f t="shared" si="10"/>
        <v>0</v>
      </c>
      <c r="Q56" s="61">
        <f t="shared" si="10"/>
        <v>0</v>
      </c>
      <c r="R56" s="61">
        <f t="shared" si="10"/>
        <v>19837</v>
      </c>
      <c r="S56" s="61">
        <f t="shared" si="10"/>
        <v>105.83</v>
      </c>
      <c r="T56" s="61">
        <f t="shared" si="10"/>
        <v>-232260.79</v>
      </c>
      <c r="U56" s="61">
        <f t="shared" si="10"/>
        <v>-26538.95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>SUM(L59:L60)</f>
        <v>0</v>
      </c>
      <c r="M61" s="61">
        <f>SUM(M59:M60)</f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>SUM(L64:L65)</f>
        <v>0</v>
      </c>
      <c r="M66" s="61">
        <f>SUM(M64:M65)</f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-344118.43</v>
      </c>
      <c r="F70" s="64">
        <f>'TIE-OUT'!AD70+RECLASS!AD70</f>
        <v>0</v>
      </c>
      <c r="G70" s="68">
        <f>'TIE-OUT'!AE70+RECLASS!AE70</f>
        <v>-344118.43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259749.42</v>
      </c>
      <c r="F71" s="81">
        <f>'TIE-OUT'!AD71+RECLASS!AD71</f>
        <v>0</v>
      </c>
      <c r="G71" s="82">
        <f>'TIE-OUT'!AE71+RECLASS!AE71</f>
        <v>259749.42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-84369.00999999998</v>
      </c>
      <c r="F72" s="61">
        <f t="shared" si="13"/>
        <v>0</v>
      </c>
      <c r="G72" s="39">
        <f t="shared" si="13"/>
        <v>-84369.00999999998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>SUM(L70:L71)</f>
        <v>0</v>
      </c>
      <c r="M72" s="61">
        <f>SUM(M70:M71)</f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-140577</v>
      </c>
      <c r="F74" s="60">
        <f>'TIE-OUT'!AD74+RECLASS!AD74</f>
        <v>0</v>
      </c>
      <c r="G74" s="60">
        <f>'TIE-OUT'!AE74+RECLASS!AE74</f>
        <v>-550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v>-140027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6">
        <v>-153274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216">
        <f>+Actuals!J443+153274</f>
        <v>153274</v>
      </c>
      <c r="N81" s="118">
        <f>+Actuals!K443</f>
        <v>0</v>
      </c>
      <c r="O81" s="232">
        <v>153274</v>
      </c>
      <c r="P81" s="118">
        <f>+Actuals!M443</f>
        <v>0</v>
      </c>
      <c r="Q81" s="118">
        <v>-153274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-374076.66500000271</v>
      </c>
      <c r="F82" s="91">
        <f>F16+F24+F29+F36+F43+F45+F47+F49</f>
        <v>0</v>
      </c>
      <c r="G82" s="92">
        <f>SUM(G72:G81)+G16+G24+G29+G36+G43+G45+G47+G49+G51+G56+G61+G66</f>
        <v>-841695.51</v>
      </c>
      <c r="H82" s="91">
        <f t="shared" ref="H82:N82" si="15">H16+H24+H29+H36+H43+H45+H47+H49</f>
        <v>0</v>
      </c>
      <c r="I82" s="91">
        <f t="shared" si="15"/>
        <v>4894400.4249999989</v>
      </c>
      <c r="J82" s="91">
        <f t="shared" si="15"/>
        <v>0</v>
      </c>
      <c r="K82" s="137">
        <f t="shared" si="15"/>
        <v>-4145734.2450000001</v>
      </c>
      <c r="L82" s="91">
        <f t="shared" si="15"/>
        <v>0</v>
      </c>
      <c r="M82" s="137">
        <f t="shared" si="15"/>
        <v>47411</v>
      </c>
      <c r="N82" s="91">
        <f t="shared" si="15"/>
        <v>0</v>
      </c>
      <c r="O82" s="92">
        <f>SUM(O72:O81)+O16+O24+O29+O36+O43+O45+O47+O49+O51+O56+O61+O66</f>
        <v>615934.50500000082</v>
      </c>
      <c r="P82" s="91">
        <f>P16+P24+P29+P36+P43+P45+P47+P49</f>
        <v>0</v>
      </c>
      <c r="Q82" s="92">
        <f>SUM(Q72:Q81)+Q16+Q24+Q29+Q36+Q43+Q45+Q47+Q49+Q51+Q56+Q61+Q66</f>
        <v>-917959.72</v>
      </c>
      <c r="R82" s="91">
        <f>R16+R24+R29+R36+R43+R45+R47+R49</f>
        <v>0</v>
      </c>
      <c r="S82" s="92">
        <f>SUM(S72:S81)+S16+S24+S29+S36+S43+S45+S47+S49+S51+S56+S61+S66</f>
        <v>105.83</v>
      </c>
      <c r="T82" s="91">
        <f>T16+T24+T29+T36+T43+T45+T47+T49</f>
        <v>0</v>
      </c>
      <c r="U82" s="92">
        <f>SUM(U72:U81)+U16+U24+U29+U36+U43+U45+U47+U49+U51+U56+U61+U66</f>
        <v>-26538.95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zoomScale="75" workbookViewId="0">
      <pane xSplit="3" ySplit="7" topLeftCell="O8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1" width="15.44140625" customWidth="1"/>
    <col min="22" max="43" width="15.44140625" hidden="1" customWidth="1"/>
    <col min="44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15578321</v>
      </c>
      <c r="E11" s="38">
        <f>SUM(G11,I11,K11,M11,O11,Q11,S11,U11,W11,Y11,AA11,AC11,AE11)</f>
        <v>41213533.420000002</v>
      </c>
      <c r="F11" s="60">
        <f>'TIE-OUT'!H11+RECLASS!AB11</f>
        <v>0</v>
      </c>
      <c r="G11" s="38">
        <f>'TIE-OUT'!I11+RECLASS!AC11</f>
        <v>-233863</v>
      </c>
      <c r="H11" s="118">
        <f>+Actuals!E324</f>
        <v>15578321</v>
      </c>
      <c r="I11" s="119">
        <f>+Actuals!F324</f>
        <v>41308896.420000002</v>
      </c>
      <c r="J11" s="118">
        <f>+Actuals!G324</f>
        <v>14056</v>
      </c>
      <c r="K11" s="119">
        <f>+Actuals!H324</f>
        <v>175151.02</v>
      </c>
      <c r="L11" s="118">
        <f>+Actuals!I324</f>
        <v>-14056</v>
      </c>
      <c r="M11" s="119">
        <f>+Actuals!J324</f>
        <v>-36651.019999999997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715209.96</v>
      </c>
      <c r="F12" s="60">
        <f>'TIE-OUT'!H12+RECLASS!AB12</f>
        <v>0</v>
      </c>
      <c r="G12" s="38">
        <f>'TIE-OUT'!I12+RECLASS!AC12</f>
        <v>715209.96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/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25594555</v>
      </c>
      <c r="E13" s="38">
        <f t="shared" si="0"/>
        <v>71534733</v>
      </c>
      <c r="F13" s="60">
        <f>'TIE-OUT'!H13+RECLASS!AB13</f>
        <v>0</v>
      </c>
      <c r="G13" s="38">
        <f>'TIE-OUT'!I13+RECLASS!AC13</f>
        <v>0</v>
      </c>
      <c r="H13" s="118">
        <f>+Actuals!E326</f>
        <v>625768</v>
      </c>
      <c r="I13" s="119">
        <f>+Actuals!F326</f>
        <v>1777308</v>
      </c>
      <c r="J13" s="118">
        <f>+Actuals!G326</f>
        <v>65854</v>
      </c>
      <c r="K13" s="119">
        <f>+Actuals!H326</f>
        <v>194599</v>
      </c>
      <c r="L13" s="118">
        <f>+Actuals!I326</f>
        <v>0</v>
      </c>
      <c r="M13" s="119">
        <f>+Actuals!J326</f>
        <v>0</v>
      </c>
      <c r="N13" s="118">
        <f>+Actuals!K326</f>
        <v>24902933</v>
      </c>
      <c r="O13" s="119">
        <f>+Actuals!L326</f>
        <v>69562826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3058223</v>
      </c>
      <c r="F15" s="81">
        <f>'TIE-OUT'!H15+RECLASS!AB15</f>
        <v>0</v>
      </c>
      <c r="G15" s="82">
        <f>'TIE-OUT'!I15+RECLASS!AC15</f>
        <v>0</v>
      </c>
      <c r="H15" s="118">
        <f>+Actuals!E328</f>
        <v>0</v>
      </c>
      <c r="I15" s="119">
        <f>+Actuals!F328</f>
        <v>3000223</v>
      </c>
      <c r="J15" s="118">
        <f>+Actuals!G328</f>
        <v>0</v>
      </c>
      <c r="K15" s="119">
        <f>+Actuals!H328</f>
        <v>58000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41172876</v>
      </c>
      <c r="E16" s="39">
        <f t="shared" si="1"/>
        <v>116521699.38</v>
      </c>
      <c r="F16" s="61">
        <f t="shared" si="1"/>
        <v>0</v>
      </c>
      <c r="G16" s="39">
        <f t="shared" si="1"/>
        <v>481346.95999999996</v>
      </c>
      <c r="H16" s="61">
        <f t="shared" si="1"/>
        <v>16204089</v>
      </c>
      <c r="I16" s="39">
        <f t="shared" si="1"/>
        <v>46086427.420000002</v>
      </c>
      <c r="J16" s="61">
        <f t="shared" ref="J16:AO16" si="2">SUM(J11:J15)</f>
        <v>79910</v>
      </c>
      <c r="K16" s="39">
        <f t="shared" si="2"/>
        <v>427750.02</v>
      </c>
      <c r="L16" s="61">
        <f>SUM(L11:L15)</f>
        <v>-14056</v>
      </c>
      <c r="M16" s="39">
        <f>SUM(M11:M15)</f>
        <v>-36651.019999999997</v>
      </c>
      <c r="N16" s="61">
        <f t="shared" si="2"/>
        <v>24902933</v>
      </c>
      <c r="O16" s="39">
        <f t="shared" si="2"/>
        <v>69562826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-9905988</v>
      </c>
      <c r="E19" s="38">
        <f t="shared" si="3"/>
        <v>-25852987.260000002</v>
      </c>
      <c r="F19" s="64">
        <f>'TIE-OUT'!H19+RECLASS!AB19</f>
        <v>0</v>
      </c>
      <c r="G19" s="68">
        <f>'TIE-OUT'!I19+RECLASS!AC19</f>
        <v>134932</v>
      </c>
      <c r="H19" s="118">
        <f>+Actuals!E329</f>
        <v>-9905968</v>
      </c>
      <c r="I19" s="119">
        <f>+Actuals!F329</f>
        <v>-25985875.810000002</v>
      </c>
      <c r="J19" s="118">
        <f>+Actuals!G329</f>
        <v>-20</v>
      </c>
      <c r="K19" s="119">
        <f>+Actuals!H329</f>
        <v>0.01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v>-2043.46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-335726</v>
      </c>
      <c r="F20" s="60">
        <f>'TIE-OUT'!H20+RECLASS!AB20</f>
        <v>0</v>
      </c>
      <c r="G20" s="38">
        <f>'TIE-OUT'!I20+RECLASS!AC20</f>
        <v>-335726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5">
        <f>+Actuals!H330</f>
        <v>0</v>
      </c>
      <c r="L20" s="118">
        <f>+Actuals!I330</f>
        <v>0</v>
      </c>
      <c r="M20" s="215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-31487425</v>
      </c>
      <c r="E21" s="38">
        <f t="shared" si="3"/>
        <v>-86532422</v>
      </c>
      <c r="F21" s="60">
        <f>'TIE-OUT'!H21+RECLASS!AB21</f>
        <v>0</v>
      </c>
      <c r="G21" s="38">
        <f>'TIE-OUT'!I21+RECLASS!AC21</f>
        <v>0</v>
      </c>
      <c r="H21" s="118">
        <f>+Actuals!E331</f>
        <v>-55556</v>
      </c>
      <c r="I21" s="119">
        <f>+Actuals!F331</f>
        <v>-155961</v>
      </c>
      <c r="J21" s="118">
        <f>+Actuals!G331</f>
        <v>0</v>
      </c>
      <c r="K21" s="119">
        <f>+Actuals!H331</f>
        <v>0</v>
      </c>
      <c r="L21" s="118">
        <f>+Actuals!I331</f>
        <v>0</v>
      </c>
      <c r="M21" s="119">
        <f>+Actuals!J331</f>
        <v>0</v>
      </c>
      <c r="N21" s="118">
        <f>+Actuals!K331</f>
        <v>-31431869</v>
      </c>
      <c r="O21" s="119">
        <f>+Actuals!L331</f>
        <v>-86376461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276158</v>
      </c>
      <c r="E23" s="38">
        <f t="shared" si="3"/>
        <v>720081.98499999999</v>
      </c>
      <c r="F23" s="81">
        <f>'TIE-OUT'!H23+RECLASS!AB23</f>
        <v>0</v>
      </c>
      <c r="G23" s="82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276158</v>
      </c>
      <c r="M23" s="119">
        <f>+Actuals!J333</f>
        <v>720081.98499999999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-41117255</v>
      </c>
      <c r="E24" s="39">
        <f t="shared" si="4"/>
        <v>-112001053.27500001</v>
      </c>
      <c r="F24" s="61">
        <f t="shared" si="4"/>
        <v>0</v>
      </c>
      <c r="G24" s="39">
        <f t="shared" si="4"/>
        <v>-200794</v>
      </c>
      <c r="H24" s="61">
        <f t="shared" si="4"/>
        <v>-9961524</v>
      </c>
      <c r="I24" s="39">
        <f t="shared" si="4"/>
        <v>-26141836.810000002</v>
      </c>
      <c r="J24" s="61">
        <f t="shared" ref="J24:AO24" si="5">SUM(J19:J23)</f>
        <v>-20</v>
      </c>
      <c r="K24" s="39">
        <f t="shared" si="5"/>
        <v>0.01</v>
      </c>
      <c r="L24" s="61">
        <f>SUM(L19:L23)</f>
        <v>276158</v>
      </c>
      <c r="M24" s="39">
        <f>SUM(M19:M23)</f>
        <v>720081.98499999999</v>
      </c>
      <c r="N24" s="61">
        <f t="shared" si="5"/>
        <v>-31431869</v>
      </c>
      <c r="O24" s="39">
        <f t="shared" si="5"/>
        <v>-86376461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-2043.46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'TIE-OUT'!H27+RECLASS!AB27</f>
        <v>0</v>
      </c>
      <c r="G27" s="6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'TIE-OUT'!H28+RECLASS!AB28</f>
        <v>0</v>
      </c>
      <c r="G28" s="82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'TIE-OUT'!H32+RECLASS!AB32</f>
        <v>0</v>
      </c>
      <c r="G32" s="6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'TIE-OUT'!H35+RECLASS!AB35</f>
        <v>0</v>
      </c>
      <c r="G35" s="82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'TIE-OUT'!H39+RECLASS!AB39</f>
        <v>0</v>
      </c>
      <c r="G39" s="6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'TIE-OUT'!H41+RECLASS!AB41</f>
        <v>0</v>
      </c>
      <c r="G41" s="82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'TIE-OUT'!H45+RECLASS!AB45</f>
        <v>0</v>
      </c>
      <c r="G45" s="6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-55621</v>
      </c>
      <c r="E49" s="38">
        <f>SUM(G49,I49,K49,M49,O49,Q49,S49,U49,W49,Y49,AA49,AC49,AE49)</f>
        <v>-145031.7575000003</v>
      </c>
      <c r="F49" s="60">
        <f>'TIE-OUT'!H49+RECLASS!AB49</f>
        <v>0</v>
      </c>
      <c r="G49" s="38">
        <f>'TIE-OUT'!I49+RECLASS!AC49</f>
        <v>0</v>
      </c>
      <c r="H49" s="118">
        <f>+Actuals!E345</f>
        <v>-6242565</v>
      </c>
      <c r="I49" s="119">
        <f>+Actuals!F345</f>
        <v>-16277488.237500001</v>
      </c>
      <c r="J49" s="118">
        <f>+Actuals!G345</f>
        <v>-79890</v>
      </c>
      <c r="K49" s="119">
        <f>+Actuals!H345</f>
        <v>-208313.17499999888</v>
      </c>
      <c r="L49" s="118">
        <f>+Actuals!I345</f>
        <v>-262102</v>
      </c>
      <c r="M49" s="119">
        <f>+Actuals!J345</f>
        <v>-683430.96499999997</v>
      </c>
      <c r="N49" s="118">
        <f>+Actuals!K345</f>
        <v>6528936</v>
      </c>
      <c r="O49" s="119">
        <f>+Actuals!L345</f>
        <v>17024200.620000001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-276158</v>
      </c>
      <c r="E51" s="38">
        <f>SUM(G51,I51,K51,M51,O51,Q51,S51,U51,W51,Y51,AA51,AC51,AE51)</f>
        <v>-720081.98499999999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-276158</v>
      </c>
      <c r="M51" s="119">
        <f>+Actuals!J346</f>
        <v>-720081.98499999999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-7488944</v>
      </c>
      <c r="E54" s="38">
        <f>SUM(G54,I54,K54,M54,O54,Q54,S54,U54,W54,Y54,AA54,AC54,AE54)</f>
        <v>-129077.93000000001</v>
      </c>
      <c r="F54" s="64">
        <f>'TIE-OUT'!H54+RECLASS!AB54</f>
        <v>0</v>
      </c>
      <c r="G54" s="68">
        <f>'TIE-OUT'!I54+RECLASS!AC54</f>
        <v>0</v>
      </c>
      <c r="H54" s="118">
        <f>+Actuals!E347</f>
        <v>-7488946</v>
      </c>
      <c r="I54" s="119">
        <f>+Actuals!F347</f>
        <v>-129077.94</v>
      </c>
      <c r="J54" s="118">
        <f>+Actuals!G347</f>
        <v>2</v>
      </c>
      <c r="K54" s="119">
        <f>+Actuals!H347</f>
        <v>0.01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-3029624.54</v>
      </c>
      <c r="F55" s="81">
        <f>'TIE-OUT'!H55+RECLASS!AB55</f>
        <v>0</v>
      </c>
      <c r="G55" s="82">
        <f>'TIE-OUT'!I55+RECLASS!AC55</f>
        <v>547052</v>
      </c>
      <c r="H55" s="118">
        <f>+Actuals!E348</f>
        <v>0</v>
      </c>
      <c r="I55" s="119">
        <f>+Actuals!F348</f>
        <v>-3029587.8</v>
      </c>
      <c r="J55" s="118">
        <f>+Actuals!G348</f>
        <v>0</v>
      </c>
      <c r="K55" s="119">
        <f>+Actuals!H348</f>
        <v>-547088.74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-7488944</v>
      </c>
      <c r="E56" s="39">
        <f t="shared" si="16"/>
        <v>-3158702.47</v>
      </c>
      <c r="F56" s="61">
        <f t="shared" si="16"/>
        <v>0</v>
      </c>
      <c r="G56" s="39">
        <f t="shared" si="16"/>
        <v>547052</v>
      </c>
      <c r="H56" s="61">
        <f t="shared" si="16"/>
        <v>-7488946</v>
      </c>
      <c r="I56" s="39">
        <f t="shared" si="16"/>
        <v>-3158665.7399999998</v>
      </c>
      <c r="J56" s="61">
        <f t="shared" ref="J56:AO56" si="17">SUM(J54:J55)</f>
        <v>2</v>
      </c>
      <c r="K56" s="39">
        <f t="shared" si="17"/>
        <v>-547088.73</v>
      </c>
      <c r="L56" s="61">
        <f>SUM(L54:L55)</f>
        <v>0</v>
      </c>
      <c r="M56" s="39">
        <f>SUM(M54:M55)</f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'TIE-OUT'!H59+RECLASS!AB59</f>
        <v>0</v>
      </c>
      <c r="G59" s="6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'TIE-OUT'!H60+RECLASS!AB60</f>
        <v>0</v>
      </c>
      <c r="G60" s="82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'TIE-OUT'!H64+RECLASS!AB64</f>
        <v>0</v>
      </c>
      <c r="G64" s="6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/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'TIE-OUT'!H65+RECLASS!AB65</f>
        <v>0</v>
      </c>
      <c r="G65" s="82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-4177637</v>
      </c>
      <c r="F70" s="64">
        <f>'TIE-OUT'!H70+RECLASS!AB70</f>
        <v>0</v>
      </c>
      <c r="G70" s="68">
        <f>'TIE-OUT'!I70+RECLASS!AC70</f>
        <v>-1948054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11104037</v>
      </c>
      <c r="L70" s="118">
        <f>+Actuals!I353</f>
        <v>0</v>
      </c>
      <c r="M70" s="119"/>
      <c r="N70" s="118">
        <f>+Actuals!K353</f>
        <v>0</v>
      </c>
      <c r="O70" s="119">
        <f>-11104037-2229583</f>
        <v>-13333620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-8513318.9399999995</v>
      </c>
      <c r="F71" s="81">
        <f>'TIE-OUT'!H71+RECLASS!AB71</f>
        <v>0</v>
      </c>
      <c r="G71" s="82">
        <f>'TIE-OUT'!I71+RECLASS!AC71</f>
        <v>-8513318.9399999995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-12690955.939999999</v>
      </c>
      <c r="F72" s="61">
        <f t="shared" si="22"/>
        <v>0</v>
      </c>
      <c r="G72" s="39">
        <f t="shared" si="22"/>
        <v>-10461372.939999999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11104037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-13333620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60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11509041.68</v>
      </c>
      <c r="F74" s="60">
        <f>'TIE-OUT'!H74+RECLASS!AB74</f>
        <v>0</v>
      </c>
      <c r="G74" s="60">
        <f>'TIE-OUT'!I74+RECLASS!AC74</f>
        <v>360264.68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11008750</f>
        <v>11008750</v>
      </c>
      <c r="P74" s="118">
        <f>+Actuals!M356</f>
        <v>0</v>
      </c>
      <c r="Q74" s="119">
        <v>140027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60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60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60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60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60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60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60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-685084.36750001647</v>
      </c>
      <c r="F82" s="91">
        <f>F16+F24+F29+F36+F43+F45+F47+F49</f>
        <v>0</v>
      </c>
      <c r="G82" s="92">
        <f>SUM(G72:G81)+G16+G24+G29+G36+G43+G45+G47+G49+G51+G56+G61+G66</f>
        <v>-9273503.3000000007</v>
      </c>
      <c r="H82" s="91">
        <f>H16+H24+H29+H36+H43+H45+H47+H49</f>
        <v>0</v>
      </c>
      <c r="I82" s="137">
        <f>SUM(I72:I81)+I16+I24+I29+I36+I43+I45+I47+I49+I51+I56+I61+I66</f>
        <v>508436.6324999989</v>
      </c>
      <c r="J82" s="91">
        <f>J16+J24+J29+J36+J43+J45+J47+J49</f>
        <v>0</v>
      </c>
      <c r="K82" s="137">
        <f>SUM(K72:K81)+K16+K24+K29+K36+K43+K45+K47+K49+K51+K56+K61+K66</f>
        <v>10776385.125</v>
      </c>
      <c r="L82" s="91">
        <f>L16+L24+L29+L36+L43+L45+L47+L49</f>
        <v>0</v>
      </c>
      <c r="M82" s="137">
        <f>SUM(M72:M81)+M16+M24+M29+M36+M43+M45+M47+M49+M51+M56+M61+M66</f>
        <v>-720081.98499999999</v>
      </c>
      <c r="N82" s="91">
        <f>N16+N24+N29+N36+N43+N45+N47+N49</f>
        <v>0</v>
      </c>
      <c r="O82" s="92">
        <f>SUM(O72:O81)+O16+O24+O29+O36+O43+O45+O47+O49+O51+O56+O61+O66</f>
        <v>-2114304.379999999</v>
      </c>
      <c r="P82" s="91">
        <f>P16+P24+P29+P36+P43+P45+P47+P49</f>
        <v>0</v>
      </c>
      <c r="Q82" s="92">
        <f>SUM(Q72:Q81)+Q16+Q24+Q29+Q36+Q43+Q45+Q47+Q49+Q51+Q56+Q61+Q66</f>
        <v>140027</v>
      </c>
      <c r="R82" s="91">
        <f>R16+R24+R29+R36+R43+R45+R47+R49</f>
        <v>0</v>
      </c>
      <c r="S82" s="92">
        <f>SUM(S72:S81)+S16+S24+S29+S36+S43+S45+S47+S49+S51+S56+S61+S66</f>
        <v>-2043.46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D26" activePane="bottomRight" state="frozen"/>
      <selection activeCell="T9" sqref="T9"/>
      <selection pane="topRight" activeCell="T9" sqref="T9"/>
      <selection pane="bottomLeft" activeCell="T9" sqref="T9"/>
      <selection pane="bottomRight" activeCell="G35" sqref="G3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1" width="15.44140625" customWidth="1"/>
    <col min="22" max="41" width="15.44140625" hidden="1" customWidth="1"/>
    <col min="42" max="42" width="0" hidden="1" customWidth="1"/>
    <col min="43" max="43" width="10.5546875" hidden="1" customWidth="1"/>
    <col min="44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200496698</v>
      </c>
      <c r="E11" s="38">
        <f>SUM(G11,I11,K11,M11,O11,Q11,S11,U11,W11,Y11,AA11,AC11,AE11)</f>
        <v>536421018.63999993</v>
      </c>
      <c r="F11" s="60">
        <f>'TIE-OUT'!J11+RECLASS!H11</f>
        <v>0</v>
      </c>
      <c r="G11" s="38">
        <f>'TIE-OUT'!K11+RECLASS!I11</f>
        <v>-4554972</v>
      </c>
      <c r="H11" s="118">
        <f>+Actuals!E244</f>
        <v>197305664</v>
      </c>
      <c r="I11" s="119">
        <f>+Actuals!F244</f>
        <v>536010571.90999997</v>
      </c>
      <c r="J11" s="118">
        <f>+Actuals!G244</f>
        <v>2704985</v>
      </c>
      <c r="K11" s="119">
        <f>+Actuals!H244</f>
        <v>8315082.4099999992</v>
      </c>
      <c r="L11" s="118">
        <f>+Actuals!I244</f>
        <v>-1093251</v>
      </c>
      <c r="M11" s="119">
        <f>+Actuals!J244</f>
        <v>-2887771.47</v>
      </c>
      <c r="N11" s="118">
        <f>+Actuals!K244</f>
        <v>1643737</v>
      </c>
      <c r="O11" s="119">
        <f>+Actuals!L244</f>
        <v>5001041.95</v>
      </c>
      <c r="P11" s="118">
        <v>72106</v>
      </c>
      <c r="Q11" s="119">
        <v>-5035502.87</v>
      </c>
      <c r="R11" s="118">
        <v>-135164</v>
      </c>
      <c r="S11" s="119">
        <v>-427332.97</v>
      </c>
      <c r="T11" s="118">
        <v>-1379</v>
      </c>
      <c r="U11" s="119">
        <v>-98.32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3461878.87</v>
      </c>
      <c r="F12" s="60">
        <f>'TIE-OUT'!J12+RECLASS!H12</f>
        <v>0</v>
      </c>
      <c r="G12" s="38">
        <f>'TIE-OUT'!K12+RECLASS!I12</f>
        <v>3306029.27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v>0</v>
      </c>
      <c r="L12" s="118">
        <f>+Actuals!I245</f>
        <v>0</v>
      </c>
      <c r="M12" s="215"/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v>155849.60000000001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96028476</v>
      </c>
      <c r="E13" s="38">
        <f t="shared" si="0"/>
        <v>269283472</v>
      </c>
      <c r="F13" s="60">
        <f>'TIE-OUT'!J13+RECLASS!H13</f>
        <v>0</v>
      </c>
      <c r="G13" s="38">
        <f>'TIE-OUT'!K13+RECLASS!I13</f>
        <v>0</v>
      </c>
      <c r="H13" s="118">
        <f>+Actuals!E246</f>
        <v>14505729</v>
      </c>
      <c r="I13" s="119">
        <f>+Actuals!F246</f>
        <v>39605175</v>
      </c>
      <c r="J13" s="118">
        <f>+Actuals!G246</f>
        <v>44423</v>
      </c>
      <c r="K13" s="119">
        <f>+Actuals!H246</f>
        <v>134252</v>
      </c>
      <c r="L13" s="118">
        <f>+Actuals!I246</f>
        <v>0</v>
      </c>
      <c r="M13" s="119">
        <f>+Actuals!J246</f>
        <v>0</v>
      </c>
      <c r="N13" s="118">
        <f>+Actuals!K246</f>
        <v>81478324</v>
      </c>
      <c r="O13" s="119">
        <f>+Actuals!L246</f>
        <v>229544045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16221823.67</v>
      </c>
      <c r="F15" s="81">
        <f>'TIE-OUT'!J15+RECLASS!H15</f>
        <v>0</v>
      </c>
      <c r="G15" s="82">
        <f>'TIE-OUT'!K15+RECLASS!I15</f>
        <v>2029585</v>
      </c>
      <c r="H15" s="118">
        <f>+Actuals!E248</f>
        <v>0</v>
      </c>
      <c r="I15" s="119">
        <f>+Actuals!F248</f>
        <v>3704959.57</v>
      </c>
      <c r="J15" s="118">
        <f>+Actuals!G248</f>
        <v>0</v>
      </c>
      <c r="K15" s="119">
        <f>+Actuals!H248</f>
        <v>291832.76</v>
      </c>
      <c r="L15" s="118">
        <f>+Actuals!I248</f>
        <v>0</v>
      </c>
      <c r="M15" s="119">
        <f>+Actuals!J248</f>
        <v>2532346</v>
      </c>
      <c r="N15" s="118">
        <f>+Actuals!K248</f>
        <v>0</v>
      </c>
      <c r="O15" s="119">
        <f>+Actuals!L248</f>
        <v>2629223</v>
      </c>
      <c r="P15" s="118">
        <f>+Actuals!M248</f>
        <v>0</v>
      </c>
      <c r="Q15" s="119">
        <v>5067202.7300000004</v>
      </c>
      <c r="R15" s="118">
        <f>+Actuals!O248</f>
        <v>0</v>
      </c>
      <c r="S15" s="119">
        <v>-33325.39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296525174</v>
      </c>
      <c r="E16" s="39">
        <f t="shared" si="1"/>
        <v>825388193.17999983</v>
      </c>
      <c r="F16" s="61">
        <f t="shared" si="1"/>
        <v>0</v>
      </c>
      <c r="G16" s="39">
        <f t="shared" si="1"/>
        <v>780642.27</v>
      </c>
      <c r="H16" s="61">
        <f t="shared" si="1"/>
        <v>211811393</v>
      </c>
      <c r="I16" s="39">
        <f t="shared" si="1"/>
        <v>579320706.48000002</v>
      </c>
      <c r="J16" s="61">
        <f t="shared" ref="J16:AO16" si="2">SUM(J11:J15)</f>
        <v>2749408</v>
      </c>
      <c r="K16" s="39">
        <f t="shared" si="2"/>
        <v>8741167.1699999999</v>
      </c>
      <c r="L16" s="61">
        <f>SUM(L11:L15)</f>
        <v>-1093251</v>
      </c>
      <c r="M16" s="39">
        <f>SUM(M11:M15)</f>
        <v>-355425.4700000002</v>
      </c>
      <c r="N16" s="61">
        <f t="shared" si="2"/>
        <v>83122061</v>
      </c>
      <c r="O16" s="39">
        <f t="shared" si="2"/>
        <v>237174309.94999999</v>
      </c>
      <c r="P16" s="61">
        <f t="shared" si="2"/>
        <v>72106</v>
      </c>
      <c r="Q16" s="39">
        <f t="shared" si="2"/>
        <v>31699.860000000335</v>
      </c>
      <c r="R16" s="61">
        <f t="shared" si="2"/>
        <v>-135164</v>
      </c>
      <c r="S16" s="39">
        <f t="shared" si="2"/>
        <v>-304808.76</v>
      </c>
      <c r="T16" s="61">
        <f t="shared" si="2"/>
        <v>-1379</v>
      </c>
      <c r="U16" s="39">
        <f t="shared" si="2"/>
        <v>-98.32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-201940380</v>
      </c>
      <c r="E19" s="38">
        <f t="shared" si="3"/>
        <v>-542860410.65999997</v>
      </c>
      <c r="F19" s="64">
        <f>'TIE-OUT'!J19+RECLASS!H19</f>
        <v>0</v>
      </c>
      <c r="G19" s="68">
        <f>'TIE-OUT'!K19+RECLASS!I19</f>
        <v>3101707</v>
      </c>
      <c r="H19" s="118">
        <f>+Actuals!E249</f>
        <v>-197512953</v>
      </c>
      <c r="I19" s="119">
        <f>+Actuals!F249</f>
        <v>-529355597.60000002</v>
      </c>
      <c r="J19" s="118">
        <f>+Actuals!G249</f>
        <v>-2048513</v>
      </c>
      <c r="K19" s="119">
        <f>+Actuals!H249</f>
        <v>-3122048.52</v>
      </c>
      <c r="L19" s="118">
        <f>+Actuals!I249</f>
        <v>608641</v>
      </c>
      <c r="M19" s="119">
        <f>+Actuals!J249</f>
        <v>-4579074.58</v>
      </c>
      <c r="N19" s="118">
        <f>+Actuals!K249</f>
        <v>-2521988</v>
      </c>
      <c r="O19" s="119">
        <f>+Actuals!L249</f>
        <v>-6917588.1299999999</v>
      </c>
      <c r="P19" s="118">
        <f>-1240602+537532</f>
        <v>-703070</v>
      </c>
      <c r="Q19" s="119">
        <f>-3162075.04+1413172</f>
        <v>-1748903.04</v>
      </c>
      <c r="R19" s="118">
        <v>234935</v>
      </c>
      <c r="S19" s="119">
        <v>-251942.13</v>
      </c>
      <c r="T19" s="118">
        <v>2568</v>
      </c>
      <c r="U19" s="119">
        <v>13036.34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-5562164.5800000001</v>
      </c>
      <c r="F20" s="60">
        <f>'TIE-OUT'!J20+RECLASS!H20</f>
        <v>0</v>
      </c>
      <c r="G20" s="38">
        <f>'TIE-OUT'!K20+RECLASS!I20</f>
        <v>-5577675.8399999999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215">
        <v>15511.26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-95637682</v>
      </c>
      <c r="E21" s="38">
        <f t="shared" si="3"/>
        <v>-270388484</v>
      </c>
      <c r="F21" s="60">
        <f>'TIE-OUT'!J21+RECLASS!H21</f>
        <v>0</v>
      </c>
      <c r="G21" s="38">
        <f>'TIE-OUT'!K21+RECLASS!I21</f>
        <v>0</v>
      </c>
      <c r="H21" s="118">
        <f>+Actuals!E251</f>
        <v>-14226249</v>
      </c>
      <c r="I21" s="119">
        <f>+Actuals!F251</f>
        <v>-41084728</v>
      </c>
      <c r="J21" s="118">
        <f>+Actuals!G251</f>
        <v>-85855</v>
      </c>
      <c r="K21" s="119">
        <f>+Actuals!H251</f>
        <v>-224401</v>
      </c>
      <c r="L21" s="118">
        <f>+Actuals!I251</f>
        <v>0</v>
      </c>
      <c r="M21" s="119">
        <f>+Actuals!J251</f>
        <v>0</v>
      </c>
      <c r="N21" s="118">
        <f>+Actuals!K251</f>
        <v>-81325578</v>
      </c>
      <c r="O21" s="119">
        <f>+Actuals!L251</f>
        <v>-229079355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588078</v>
      </c>
      <c r="E23" s="38">
        <f t="shared" si="3"/>
        <v>1546056.6890000002</v>
      </c>
      <c r="F23" s="81">
        <f>'TIE-OUT'!J23+RECLASS!H23</f>
        <v>0</v>
      </c>
      <c r="G23" s="82">
        <f>'TIE-OUT'!K23+RECLASS!I23</f>
        <v>0</v>
      </c>
      <c r="H23" s="118">
        <f>+Actuals!E253</f>
        <v>1361359</v>
      </c>
      <c r="I23" s="119">
        <f>+Actuals!F253</f>
        <v>3579012.8110000002</v>
      </c>
      <c r="J23" s="118">
        <f>+Actuals!G253</f>
        <v>6719</v>
      </c>
      <c r="K23" s="119">
        <f>+Actuals!H253</f>
        <v>17664.251</v>
      </c>
      <c r="L23" s="118">
        <f>+Actuals!I253</f>
        <v>-25900</v>
      </c>
      <c r="M23" s="119">
        <f>+Actuals!J253</f>
        <v>-68091.100000000006</v>
      </c>
      <c r="N23" s="118">
        <f>+Actuals!K253</f>
        <v>-222417</v>
      </c>
      <c r="O23" s="119">
        <f>+Actuals!L253</f>
        <v>-584734.29299999995</v>
      </c>
      <c r="P23" s="118">
        <v>-537532</v>
      </c>
      <c r="Q23" s="119">
        <v>-1413172</v>
      </c>
      <c r="R23" s="118">
        <v>5852</v>
      </c>
      <c r="S23" s="119">
        <v>15384.91</v>
      </c>
      <c r="T23" s="118">
        <v>-3</v>
      </c>
      <c r="U23" s="119">
        <v>-7.89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-296989984</v>
      </c>
      <c r="E24" s="39">
        <f t="shared" si="4"/>
        <v>-817265002.551</v>
      </c>
      <c r="F24" s="61">
        <f t="shared" si="4"/>
        <v>0</v>
      </c>
      <c r="G24" s="39">
        <f t="shared" si="4"/>
        <v>-2475968.84</v>
      </c>
      <c r="H24" s="61">
        <f t="shared" si="4"/>
        <v>-210377843</v>
      </c>
      <c r="I24" s="39">
        <f t="shared" si="4"/>
        <v>-566861312.78900003</v>
      </c>
      <c r="J24" s="61">
        <f t="shared" ref="J24:AO24" si="5">SUM(J19:J23)</f>
        <v>-2127649</v>
      </c>
      <c r="K24" s="39">
        <f t="shared" si="5"/>
        <v>-3328785.2689999999</v>
      </c>
      <c r="L24" s="61">
        <f>SUM(L19:L23)</f>
        <v>582741</v>
      </c>
      <c r="M24" s="39">
        <f>SUM(M19:M23)</f>
        <v>-4631654.42</v>
      </c>
      <c r="N24" s="61">
        <f t="shared" si="5"/>
        <v>-84069983</v>
      </c>
      <c r="O24" s="39">
        <f t="shared" si="5"/>
        <v>-236581677.42300001</v>
      </c>
      <c r="P24" s="61">
        <f t="shared" si="5"/>
        <v>-1240602</v>
      </c>
      <c r="Q24" s="39">
        <f t="shared" si="5"/>
        <v>-3162075.04</v>
      </c>
      <c r="R24" s="61">
        <f t="shared" si="5"/>
        <v>240787</v>
      </c>
      <c r="S24" s="39">
        <f t="shared" si="5"/>
        <v>-236557.22</v>
      </c>
      <c r="T24" s="61">
        <f t="shared" si="5"/>
        <v>2565</v>
      </c>
      <c r="U24" s="39">
        <f t="shared" si="5"/>
        <v>13028.45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781501</v>
      </c>
      <c r="E27" s="38">
        <f>SUM(G27,I27,K27,M27,O27,Q27,S27,U27,W27,Y27,AA27,AC27,AE27)</f>
        <v>2125712.02</v>
      </c>
      <c r="F27" s="64">
        <f>'TIE-OUT'!J27+RECLASS!H27</f>
        <v>0</v>
      </c>
      <c r="G27" s="68">
        <f>'TIE-OUT'!K27+RECLASS!I27</f>
        <v>0</v>
      </c>
      <c r="H27" s="118">
        <f>+Actuals!E254</f>
        <v>778143</v>
      </c>
      <c r="I27" s="119">
        <f>+Actuals!F254</f>
        <v>2116022</v>
      </c>
      <c r="J27" s="118">
        <f>+Actuals!G254</f>
        <v>3358</v>
      </c>
      <c r="K27" s="119">
        <f>+Actuals!H254</f>
        <v>9690.02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-492141</v>
      </c>
      <c r="E28" s="38">
        <f>SUM(G28,I28,K28,M28,O28,Q28,S28,U28,W28,Y28,AA28,AC28,AE28)</f>
        <v>-1309200.8099999998</v>
      </c>
      <c r="F28" s="81">
        <f>'TIE-OUT'!J28+RECLASS!H28</f>
        <v>0</v>
      </c>
      <c r="G28" s="82">
        <f>'TIE-OUT'!K28+RECLASS!I28</f>
        <v>0</v>
      </c>
      <c r="H28" s="118">
        <f>+Actuals!E255</f>
        <v>-493423</v>
      </c>
      <c r="I28" s="119">
        <f>+Actuals!F255</f>
        <v>-1312703.19</v>
      </c>
      <c r="J28" s="118">
        <f>+Actuals!G255</f>
        <v>1441</v>
      </c>
      <c r="K28" s="119">
        <f>+Actuals!H255</f>
        <v>3940.42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-24.64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v>-159</v>
      </c>
      <c r="U28" s="119">
        <v>-413.4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289360</v>
      </c>
      <c r="E29" s="39">
        <f t="shared" si="6"/>
        <v>816511.2100000002</v>
      </c>
      <c r="F29" s="61">
        <f t="shared" si="6"/>
        <v>0</v>
      </c>
      <c r="G29" s="39">
        <f t="shared" si="6"/>
        <v>0</v>
      </c>
      <c r="H29" s="61">
        <f t="shared" si="6"/>
        <v>284720</v>
      </c>
      <c r="I29" s="39">
        <f t="shared" si="6"/>
        <v>803318.81</v>
      </c>
      <c r="J29" s="61">
        <f t="shared" ref="J29:AO29" si="7">SUM(J27:J28)</f>
        <v>4799</v>
      </c>
      <c r="K29" s="39">
        <f t="shared" si="7"/>
        <v>13630.44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-24.64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-159</v>
      </c>
      <c r="U29" s="39">
        <f t="shared" si="7"/>
        <v>-413.4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883902</v>
      </c>
      <c r="E32" s="38">
        <f t="shared" si="8"/>
        <v>2323778.3549999986</v>
      </c>
      <c r="F32" s="64">
        <f>'TIE-OUT'!J32+RECLASS!H32</f>
        <v>0</v>
      </c>
      <c r="G32" s="68">
        <f>'TIE-OUT'!K32+RECLASS!I32</f>
        <v>0</v>
      </c>
      <c r="H32" s="118">
        <f>+Actuals!E256</f>
        <v>84069</v>
      </c>
      <c r="I32" s="119">
        <f>+Actuals!F256</f>
        <v>221017.40100000001</v>
      </c>
      <c r="J32" s="118">
        <f>+Actuals!G256</f>
        <v>-570714</v>
      </c>
      <c r="K32" s="119">
        <f>+Actuals!H256</f>
        <v>-1500407.1059999999</v>
      </c>
      <c r="L32" s="118">
        <f>+Actuals!I256</f>
        <v>1596744</v>
      </c>
      <c r="M32" s="119">
        <f>+Actuals!J256</f>
        <v>4197839.9759999998</v>
      </c>
      <c r="N32" s="118">
        <f>+Actuals!K256</f>
        <v>1097516</v>
      </c>
      <c r="O32" s="119">
        <f>+Actuals!L256</f>
        <v>2885369.5639999998</v>
      </c>
      <c r="P32" s="118">
        <v>-465914</v>
      </c>
      <c r="Q32" s="119">
        <v>-1224887.9099999999</v>
      </c>
      <c r="R32" s="118">
        <v>253391</v>
      </c>
      <c r="S32" s="119">
        <v>666164.93999999994</v>
      </c>
      <c r="T32" s="118">
        <v>-1111190</v>
      </c>
      <c r="U32" s="119">
        <v>-2921318.51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-962579</v>
      </c>
      <c r="E33" s="38">
        <f t="shared" si="8"/>
        <v>-2063819.9700000002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-397497</v>
      </c>
      <c r="K33" s="119">
        <f>+Actuals!H257</f>
        <v>-1085638.6100000001</v>
      </c>
      <c r="L33" s="118">
        <f>+Actuals!I257</f>
        <v>-193276</v>
      </c>
      <c r="M33" s="119">
        <f>+Actuals!J257</f>
        <v>-487267.43</v>
      </c>
      <c r="N33" s="118">
        <f>+Actuals!K257</f>
        <v>-167645</v>
      </c>
      <c r="O33" s="119">
        <f>+Actuals!L257</f>
        <v>-483822.69</v>
      </c>
      <c r="P33" s="118">
        <v>-199300</v>
      </c>
      <c r="Q33" s="119">
        <v>-6882.87</v>
      </c>
      <c r="R33" s="118">
        <v>-4786</v>
      </c>
      <c r="S33" s="119">
        <f>+Actuals!P257</f>
        <v>0</v>
      </c>
      <c r="T33" s="118">
        <v>-75</v>
      </c>
      <c r="U33" s="119">
        <v>-208.37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414830</v>
      </c>
      <c r="E34" s="38">
        <f t="shared" si="8"/>
        <v>563322.67999999993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162357</v>
      </c>
      <c r="K34" s="119">
        <f>+Actuals!H258</f>
        <v>401370.06</v>
      </c>
      <c r="L34" s="118">
        <f>+Actuals!I258</f>
        <v>26308</v>
      </c>
      <c r="M34" s="119">
        <f>+Actuals!J258</f>
        <v>73233.23</v>
      </c>
      <c r="N34" s="118">
        <f>+Actuals!K258</f>
        <v>21618</v>
      </c>
      <c r="O34" s="119">
        <f>+Actuals!L258</f>
        <v>59611.34</v>
      </c>
      <c r="P34" s="118">
        <v>201860</v>
      </c>
      <c r="Q34" s="119">
        <v>17747.48</v>
      </c>
      <c r="R34" s="118">
        <v>2687</v>
      </c>
      <c r="S34" s="119">
        <v>11360.57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336153</v>
      </c>
      <c r="E36" s="39">
        <f t="shared" si="9"/>
        <v>823281.06499999831</v>
      </c>
      <c r="F36" s="61">
        <f t="shared" si="9"/>
        <v>0</v>
      </c>
      <c r="G36" s="39">
        <f t="shared" si="9"/>
        <v>0</v>
      </c>
      <c r="H36" s="61">
        <f t="shared" si="9"/>
        <v>84069</v>
      </c>
      <c r="I36" s="39">
        <f t="shared" si="9"/>
        <v>221017.40100000001</v>
      </c>
      <c r="J36" s="61">
        <f t="shared" ref="J36:AO36" si="10">SUM(J32:J35)</f>
        <v>-805854</v>
      </c>
      <c r="K36" s="39">
        <f t="shared" si="10"/>
        <v>-2184675.656</v>
      </c>
      <c r="L36" s="61">
        <f>SUM(L32:L35)</f>
        <v>1429776</v>
      </c>
      <c r="M36" s="39">
        <f>SUM(M32:M35)</f>
        <v>3783805.7759999996</v>
      </c>
      <c r="N36" s="61">
        <f t="shared" si="10"/>
        <v>951489</v>
      </c>
      <c r="O36" s="39">
        <f t="shared" si="10"/>
        <v>2461158.2139999997</v>
      </c>
      <c r="P36" s="61">
        <f t="shared" si="10"/>
        <v>-463354</v>
      </c>
      <c r="Q36" s="39">
        <f t="shared" si="10"/>
        <v>-1214023.3</v>
      </c>
      <c r="R36" s="61">
        <f t="shared" si="10"/>
        <v>251292</v>
      </c>
      <c r="S36" s="39">
        <f t="shared" si="10"/>
        <v>677525.50999999989</v>
      </c>
      <c r="T36" s="61">
        <f t="shared" si="10"/>
        <v>-1111265</v>
      </c>
      <c r="U36" s="39">
        <f t="shared" si="10"/>
        <v>-2921526.88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71525</v>
      </c>
      <c r="E39" s="38">
        <f t="shared" si="11"/>
        <v>188031.35</v>
      </c>
      <c r="F39" s="64">
        <f>'TIE-OUT'!J39+RECLASS!H39</f>
        <v>0</v>
      </c>
      <c r="G39" s="68">
        <f>'TIE-OUT'!K39+RECLASS!I39</f>
        <v>0</v>
      </c>
      <c r="H39" s="118">
        <f>+Actuals!E260</f>
        <v>86490</v>
      </c>
      <c r="I39" s="119">
        <f>+Actuals!F260</f>
        <v>227382.21</v>
      </c>
      <c r="J39" s="118">
        <f>+Actuals!G260</f>
        <v>-86451</v>
      </c>
      <c r="K39" s="119">
        <f>+Actuals!H260</f>
        <v>-227279.68</v>
      </c>
      <c r="L39" s="118">
        <f>+Actuals!I260</f>
        <v>0</v>
      </c>
      <c r="M39" s="119">
        <f>+Actuals!J260</f>
        <v>0</v>
      </c>
      <c r="N39" s="118">
        <f>+Actuals!K260</f>
        <v>3</v>
      </c>
      <c r="O39" s="119">
        <f>+Actuals!L260</f>
        <v>0.01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v>71483</v>
      </c>
      <c r="U39" s="119">
        <v>187928.81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-811671</v>
      </c>
      <c r="E40" s="38">
        <f t="shared" si="11"/>
        <v>-643281.41000000061</v>
      </c>
      <c r="F40" s="60">
        <f>'TIE-OUT'!J40+RECLASS!H40</f>
        <v>0</v>
      </c>
      <c r="G40" s="38">
        <f>'TIE-OUT'!K40+RECLASS!I40</f>
        <v>0</v>
      </c>
      <c r="H40" s="118">
        <f>+Actuals!E261</f>
        <v>-1466369</v>
      </c>
      <c r="I40" s="119">
        <f>+Actuals!F261</f>
        <v>-2695450.25</v>
      </c>
      <c r="J40" s="118">
        <f>+Actuals!G261</f>
        <v>-176985</v>
      </c>
      <c r="K40" s="119">
        <f>+Actuals!H261</f>
        <v>-435547.12</v>
      </c>
      <c r="L40" s="118">
        <f>+Actuals!I261</f>
        <v>0</v>
      </c>
      <c r="M40" s="119">
        <f>+Actuals!J261</f>
        <v>0</v>
      </c>
      <c r="N40" s="118">
        <f>+Actuals!K261</f>
        <v>-169</v>
      </c>
      <c r="O40" s="119">
        <f>+Actuals!L261</f>
        <v>-453.85</v>
      </c>
      <c r="P40" s="118">
        <v>-4115</v>
      </c>
      <c r="Q40" s="119">
        <v>-9657.91</v>
      </c>
      <c r="R40" s="118">
        <v>9670</v>
      </c>
      <c r="S40" s="119">
        <v>23934.26</v>
      </c>
      <c r="T40" s="118">
        <v>826297</v>
      </c>
      <c r="U40" s="119">
        <v>2473893.46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-811671</v>
      </c>
      <c r="E42" s="39">
        <f t="shared" si="12"/>
        <v>-643281.41000000061</v>
      </c>
      <c r="F42" s="61">
        <f t="shared" si="12"/>
        <v>0</v>
      </c>
      <c r="G42" s="39">
        <f t="shared" si="12"/>
        <v>0</v>
      </c>
      <c r="H42" s="61">
        <f t="shared" si="12"/>
        <v>-1466369</v>
      </c>
      <c r="I42" s="39">
        <f t="shared" si="12"/>
        <v>-2695450.25</v>
      </c>
      <c r="J42" s="61">
        <f t="shared" ref="J42:AO42" si="13">SUM(J40:J41)</f>
        <v>-176985</v>
      </c>
      <c r="K42" s="39">
        <f t="shared" si="13"/>
        <v>-435547.12</v>
      </c>
      <c r="L42" s="61">
        <f>SUM(L40:L41)</f>
        <v>0</v>
      </c>
      <c r="M42" s="39">
        <f>SUM(M40:M41)</f>
        <v>0</v>
      </c>
      <c r="N42" s="61">
        <f t="shared" si="13"/>
        <v>-169</v>
      </c>
      <c r="O42" s="39">
        <f t="shared" si="13"/>
        <v>-453.85</v>
      </c>
      <c r="P42" s="61">
        <f t="shared" si="13"/>
        <v>-4115</v>
      </c>
      <c r="Q42" s="39">
        <f t="shared" si="13"/>
        <v>-9657.91</v>
      </c>
      <c r="R42" s="61">
        <f t="shared" si="13"/>
        <v>9670</v>
      </c>
      <c r="S42" s="39">
        <f t="shared" si="13"/>
        <v>23934.26</v>
      </c>
      <c r="T42" s="61">
        <f t="shared" si="13"/>
        <v>826297</v>
      </c>
      <c r="U42" s="39">
        <f t="shared" si="13"/>
        <v>2473893.46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-740146</v>
      </c>
      <c r="E43" s="39">
        <f t="shared" si="14"/>
        <v>-455250.06000000064</v>
      </c>
      <c r="F43" s="61">
        <f t="shared" si="14"/>
        <v>0</v>
      </c>
      <c r="G43" s="39">
        <f t="shared" si="14"/>
        <v>0</v>
      </c>
      <c r="H43" s="61">
        <f t="shared" si="14"/>
        <v>-1379879</v>
      </c>
      <c r="I43" s="39">
        <f t="shared" si="14"/>
        <v>-2468068.04</v>
      </c>
      <c r="J43" s="61">
        <f t="shared" ref="J43:AO43" si="15">J42+J39</f>
        <v>-263436</v>
      </c>
      <c r="K43" s="39">
        <f t="shared" si="15"/>
        <v>-662826.80000000005</v>
      </c>
      <c r="L43" s="61">
        <f>L42+L39</f>
        <v>0</v>
      </c>
      <c r="M43" s="39">
        <f>M42+M39</f>
        <v>0</v>
      </c>
      <c r="N43" s="61">
        <f t="shared" si="15"/>
        <v>-166</v>
      </c>
      <c r="O43" s="39">
        <f t="shared" si="15"/>
        <v>-453.84000000000003</v>
      </c>
      <c r="P43" s="61">
        <f t="shared" si="15"/>
        <v>-4115</v>
      </c>
      <c r="Q43" s="39">
        <f t="shared" si="15"/>
        <v>-9657.91</v>
      </c>
      <c r="R43" s="61">
        <f t="shared" si="15"/>
        <v>9670</v>
      </c>
      <c r="S43" s="39">
        <f t="shared" si="15"/>
        <v>23934.26</v>
      </c>
      <c r="T43" s="61">
        <f t="shared" si="15"/>
        <v>897780</v>
      </c>
      <c r="U43" s="39">
        <f t="shared" si="15"/>
        <v>2661822.27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579443</v>
      </c>
      <c r="E49" s="38">
        <f>SUM(G49,I49,K49,M49,O49,Q49,S49,U49,W49,Y49,AA49,AC49,AE49)</f>
        <v>1523355.6450000005</v>
      </c>
      <c r="F49" s="60">
        <f>'TIE-OUT'!J49+RECLASS!H49</f>
        <v>0</v>
      </c>
      <c r="G49" s="38">
        <f>'TIE-OUT'!K49+RECLASS!I49</f>
        <v>0</v>
      </c>
      <c r="H49" s="118">
        <f>+Actuals!E265</f>
        <v>-422460</v>
      </c>
      <c r="I49" s="119">
        <f>+Actuals!F265</f>
        <v>-1110647.3400000001</v>
      </c>
      <c r="J49" s="118">
        <f>+Actuals!G265</f>
        <v>442732</v>
      </c>
      <c r="K49" s="119">
        <f>+Actuals!H265</f>
        <v>1163942.4280000001</v>
      </c>
      <c r="L49" s="118">
        <f>+Actuals!I265</f>
        <v>-919266</v>
      </c>
      <c r="M49" s="119">
        <f>+Actuals!J265</f>
        <v>-2416750.3139999998</v>
      </c>
      <c r="N49" s="118">
        <f>+Actuals!K265</f>
        <v>-3401</v>
      </c>
      <c r="O49" s="119">
        <f>+Actuals!L265</f>
        <v>-8941.2289999999994</v>
      </c>
      <c r="P49" s="118">
        <v>1635965</v>
      </c>
      <c r="Q49" s="119">
        <v>4300951.99</v>
      </c>
      <c r="R49" s="118">
        <v>-366585</v>
      </c>
      <c r="S49" s="119">
        <v>-963751.97</v>
      </c>
      <c r="T49" s="118">
        <v>212458</v>
      </c>
      <c r="U49" s="119">
        <v>558552.07999999996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-588078</v>
      </c>
      <c r="E51" s="38">
        <f>SUM(G51,I51,K51,M51,O51,Q51,S51,U51,W51,Y51,AA51,AC51,AE51)</f>
        <v>-1546057.0640000007</v>
      </c>
      <c r="F51" s="60">
        <f>'TIE-OUT'!J51+RECLASS!H51</f>
        <v>0</v>
      </c>
      <c r="G51" s="38">
        <f>'TIE-OUT'!K51+RECLASS!I51</f>
        <v>0</v>
      </c>
      <c r="H51" s="118">
        <f>+Actuals!E266</f>
        <v>-1361359</v>
      </c>
      <c r="I51" s="119">
        <f>+Actuals!F266</f>
        <v>-3579012.8110000002</v>
      </c>
      <c r="J51" s="118">
        <f>+Actuals!G266</f>
        <v>-6719</v>
      </c>
      <c r="K51" s="119">
        <f>+Actuals!H266</f>
        <v>-17664.251</v>
      </c>
      <c r="L51" s="118">
        <f>+Actuals!I266</f>
        <v>648795</v>
      </c>
      <c r="M51" s="119">
        <f>+Actuals!J266</f>
        <v>1705682.0549999999</v>
      </c>
      <c r="N51" s="118">
        <f>+Actuals!K266</f>
        <v>222417</v>
      </c>
      <c r="O51" s="119">
        <f>+Actuals!L266</f>
        <v>584734.29299999995</v>
      </c>
      <c r="P51" s="118">
        <v>-85363</v>
      </c>
      <c r="Q51" s="119">
        <v>-224419.33</v>
      </c>
      <c r="R51" s="118">
        <v>-5852</v>
      </c>
      <c r="S51" s="119">
        <v>-15384.91</v>
      </c>
      <c r="T51" s="118">
        <v>3</v>
      </c>
      <c r="U51" s="119">
        <v>7.89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-152830718</v>
      </c>
      <c r="E54" s="38">
        <f>SUM(G54,I54,K54,M54,O54,Q54,S54,U54,W54,Y54,AA54,AC54,AE54)</f>
        <v>-1972415.63</v>
      </c>
      <c r="F54" s="64">
        <f>'TIE-OUT'!J54+RECLASS!H54</f>
        <v>0</v>
      </c>
      <c r="G54" s="68">
        <f>'TIE-OUT'!K54+RECLASS!I54</f>
        <v>522</v>
      </c>
      <c r="H54" s="118">
        <f>+Actuals!E267</f>
        <v>-156628547</v>
      </c>
      <c r="I54" s="119">
        <f>+Actuals!F267</f>
        <v>-2152001.3199999998</v>
      </c>
      <c r="J54" s="118">
        <f>+Actuals!G267</f>
        <v>21908879</v>
      </c>
      <c r="K54" s="119">
        <f>+Actuals!H267</f>
        <v>-158391.46</v>
      </c>
      <c r="L54" s="118">
        <f>+Actuals!I267</f>
        <v>-6356985</v>
      </c>
      <c r="M54" s="119">
        <f>+Actuals!J267</f>
        <v>-44680.35</v>
      </c>
      <c r="N54" s="118">
        <f>+Actuals!K267</f>
        <v>379530</v>
      </c>
      <c r="O54" s="119">
        <f>+Actuals!L267</f>
        <v>542546.55000000005</v>
      </c>
      <c r="P54" s="118">
        <v>-2506034</v>
      </c>
      <c r="Q54" s="119">
        <v>-166004.69</v>
      </c>
      <c r="R54" s="118">
        <v>-3579875</v>
      </c>
      <c r="S54" s="119">
        <v>-57060.75</v>
      </c>
      <c r="T54" s="118">
        <v>-6047686</v>
      </c>
      <c r="U54" s="119">
        <v>62654.39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-8048099.0199999996</v>
      </c>
      <c r="F55" s="81">
        <f>'TIE-OUT'!J55+RECLASS!H55</f>
        <v>0</v>
      </c>
      <c r="G55" s="82">
        <f>'TIE-OUT'!K55+RECLASS!I55</f>
        <v>34847</v>
      </c>
      <c r="H55" s="118">
        <f>+Actuals!E268</f>
        <v>0</v>
      </c>
      <c r="I55" s="119">
        <f>+Actuals!F268</f>
        <v>-7995911.4199999999</v>
      </c>
      <c r="J55" s="118">
        <f>+Actuals!G268</f>
        <v>0</v>
      </c>
      <c r="K55" s="119">
        <f>+Actuals!H268</f>
        <v>-66720.37</v>
      </c>
      <c r="L55" s="118">
        <f>+Actuals!I268</f>
        <v>0</v>
      </c>
      <c r="M55" s="119">
        <f>+Actuals!J268</f>
        <v>-14166.89</v>
      </c>
      <c r="N55" s="118">
        <f>+Actuals!K268</f>
        <v>0</v>
      </c>
      <c r="O55" s="119">
        <f>+Actuals!L268</f>
        <v>-100</v>
      </c>
      <c r="P55" s="118">
        <f>+Actuals!M268</f>
        <v>0</v>
      </c>
      <c r="Q55" s="119">
        <v>-363.76</v>
      </c>
      <c r="R55" s="118">
        <f>+Actuals!O268</f>
        <v>0</v>
      </c>
      <c r="S55" s="119">
        <v>-5754.74</v>
      </c>
      <c r="T55" s="118">
        <f>+Actuals!Q268</f>
        <v>0</v>
      </c>
      <c r="U55" s="119">
        <f>114.85-43.69</f>
        <v>71.16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-152830718</v>
      </c>
      <c r="E56" s="39">
        <f t="shared" si="16"/>
        <v>-10020514.649999999</v>
      </c>
      <c r="F56" s="61">
        <f t="shared" si="16"/>
        <v>0</v>
      </c>
      <c r="G56" s="39">
        <f t="shared" si="16"/>
        <v>35369</v>
      </c>
      <c r="H56" s="61">
        <f t="shared" si="16"/>
        <v>-156628547</v>
      </c>
      <c r="I56" s="39">
        <f t="shared" si="16"/>
        <v>-10147912.74</v>
      </c>
      <c r="J56" s="61">
        <f t="shared" ref="J56:AO56" si="17">SUM(J54:J55)</f>
        <v>21908879</v>
      </c>
      <c r="K56" s="39">
        <f t="shared" si="17"/>
        <v>-225111.83</v>
      </c>
      <c r="L56" s="61">
        <f>SUM(L54:L55)</f>
        <v>-6356985</v>
      </c>
      <c r="M56" s="39">
        <f>SUM(M54:M55)</f>
        <v>-58847.24</v>
      </c>
      <c r="N56" s="61">
        <f t="shared" si="17"/>
        <v>379530</v>
      </c>
      <c r="O56" s="39">
        <f t="shared" si="17"/>
        <v>542446.55000000005</v>
      </c>
      <c r="P56" s="61">
        <f t="shared" si="17"/>
        <v>-2506034</v>
      </c>
      <c r="Q56" s="39">
        <f t="shared" si="17"/>
        <v>-166368.45000000001</v>
      </c>
      <c r="R56" s="61">
        <f t="shared" si="17"/>
        <v>-3579875</v>
      </c>
      <c r="S56" s="39">
        <f t="shared" si="17"/>
        <v>-62815.49</v>
      </c>
      <c r="T56" s="61">
        <f t="shared" si="17"/>
        <v>-6047686</v>
      </c>
      <c r="U56" s="39">
        <f t="shared" si="17"/>
        <v>62725.55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65509.369999999995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86158.06</v>
      </c>
      <c r="J59" s="118">
        <f>+Actuals!G269</f>
        <v>0</v>
      </c>
      <c r="K59" s="119">
        <f>+Actuals!H269</f>
        <v>-21516.69</v>
      </c>
      <c r="L59" s="118">
        <f>+Actuals!I269</f>
        <v>0</v>
      </c>
      <c r="M59" s="119">
        <f>+Actuals!J269</f>
        <v>868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65509.369999999995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86158.06</v>
      </c>
      <c r="J61" s="61">
        <f t="shared" ref="J61:AO61" si="19">SUM(J59:J60)</f>
        <v>0</v>
      </c>
      <c r="K61" s="39">
        <f t="shared" si="19"/>
        <v>-21516.69</v>
      </c>
      <c r="L61" s="61">
        <f>SUM(L59:L60)</f>
        <v>0</v>
      </c>
      <c r="M61" s="39">
        <f>SUM(M59:M60)</f>
        <v>868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'TIE-OUT'!J70+RECLASS!H70</f>
        <v>0</v>
      </c>
      <c r="G70" s="68">
        <f>'TIE-OUT'!K70+RECLASS!I70</f>
        <v>1165617.6100000001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'TIE-OUT'!J71+RECLASS!H71</f>
        <v>0</v>
      </c>
      <c r="G71" s="82">
        <f>'TIE-OUT'!K71+RECLASS!I71</f>
        <v>-563222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602395.6100000001</v>
      </c>
      <c r="F72" s="61">
        <f t="shared" si="22"/>
        <v>0</v>
      </c>
      <c r="G72" s="39">
        <f t="shared" si="22"/>
        <v>602395.6100000001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-1886252.9100000001</v>
      </c>
      <c r="F74" s="60">
        <f>'TIE-OUT'!J74+RECLASS!H74</f>
        <v>0</v>
      </c>
      <c r="G74" s="60">
        <f>'TIE-OUT'!K74+RECLASS!I74</f>
        <v>-1821155.8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5">
        <v>-65097.11</v>
      </c>
      <c r="L74" s="118">
        <f>+Actuals!I276</f>
        <v>0</v>
      </c>
      <c r="M74" s="215"/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-34400</v>
      </c>
      <c r="F75" s="60">
        <f>'TIE-OUT'!J75+RECLASS!H75</f>
        <v>0</v>
      </c>
      <c r="G75" s="60">
        <f>'TIE-OUT'!K75+RECLASS!I75</f>
        <v>-34400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22636.920000000013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-8316.2099999999991</v>
      </c>
      <c r="J76" s="118">
        <f>+Actuals!G278</f>
        <v>0</v>
      </c>
      <c r="K76" s="119">
        <f>+Actuals!H278</f>
        <v>85046.63</v>
      </c>
      <c r="L76" s="118">
        <f>+Actuals!I278</f>
        <v>0</v>
      </c>
      <c r="M76" s="119">
        <f>+Actuals!J278</f>
        <v>35285.449999999997</v>
      </c>
      <c r="N76" s="118">
        <f>+Actuals!K278</f>
        <v>0</v>
      </c>
      <c r="O76" s="119">
        <f>+Actuals!L278</f>
        <v>82.05</v>
      </c>
      <c r="P76" s="118">
        <f>+Actuals!M278</f>
        <v>0</v>
      </c>
      <c r="Q76" s="119">
        <v>-89461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-105000</v>
      </c>
      <c r="F77" s="60">
        <f>'TIE-OUT'!J77+RECLASS!H77</f>
        <v>0</v>
      </c>
      <c r="G77" s="60">
        <f>'TIE-OUT'!K77+RECLASS!I77</f>
        <v>-105000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-202500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+Actuals!F282-202500</f>
        <v>-202500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2449330.04</v>
      </c>
      <c r="F81" s="60">
        <f>'TIE-OUT'!J81+RECLASS!H81</f>
        <v>0</v>
      </c>
      <c r="G81" s="60">
        <f>'TIE-OUT'!K81+RECLASS!I81</f>
        <v>0</v>
      </c>
      <c r="H81" s="118">
        <f>+Actuals!E283</f>
        <v>0</v>
      </c>
      <c r="I81" s="119">
        <f>+Actuals!F283</f>
        <v>228262.05</v>
      </c>
      <c r="J81" s="118">
        <f>+Actuals!G283</f>
        <v>0</v>
      </c>
      <c r="K81" s="119">
        <f>+Actuals!H283</f>
        <v>223543.27</v>
      </c>
      <c r="L81" s="118">
        <f>+Actuals!I283</f>
        <v>0</v>
      </c>
      <c r="M81" s="119">
        <f>+Actuals!J283</f>
        <v>-197425.28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868+2194082</f>
        <v>2194950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176235.80499979563</v>
      </c>
      <c r="F82" s="91">
        <f>F16+F24+F29+F36+F43+F45+F47+F49</f>
        <v>0</v>
      </c>
      <c r="G82" s="92">
        <f>SUM(G72:G81)+G16+G24+G29+G36+G43+G45+G47+G49+G51+G56+G61+G66</f>
        <v>-3018117.76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137">
        <f>SUM(K72:K81)+K16+K24+K29+K36+K43+K45+K47+K49+K51+K56+K61+K66</f>
        <v>3721652.3319999999</v>
      </c>
      <c r="L82" s="91">
        <f>L16+L24+L29+L36+L43+L45+L47+L49</f>
        <v>0</v>
      </c>
      <c r="M82" s="137">
        <f>SUM(M72:M81)+M16+M24+M29+M36+M43+M45+M47+M49+M51+M56+M61+M66</f>
        <v>-2134461.443</v>
      </c>
      <c r="N82" s="91">
        <f>N16+N24+N29+N36+N43+N45+N47+N49</f>
        <v>0</v>
      </c>
      <c r="O82" s="92">
        <f>SUM(O72:O81)+O16+O24+O29+O36+O43+O45+O47+O49+O51+O56+O61+O66</f>
        <v>4171633.9249999924</v>
      </c>
      <c r="P82" s="91">
        <f>P16+P24+P29+P36+P43+P45+P47+P49</f>
        <v>0</v>
      </c>
      <c r="Q82" s="92">
        <f>SUM(Q72:Q81)+Q16+Q24+Q29+Q36+Q43+Q45+Q47+Q49+Q51+Q56+Q61+Q66</f>
        <v>1661596.8200000005</v>
      </c>
      <c r="R82" s="91">
        <f>R16+R24+R29+R36+R43+R45+R47+R49</f>
        <v>0</v>
      </c>
      <c r="S82" s="92">
        <f>SUM(S72:S81)+S16+S24+S29+S36+S43+S45+S47+S49+S51+S56+S61+S66</f>
        <v>-881858.58000000007</v>
      </c>
      <c r="T82" s="91">
        <f>T16+T24+T29+T36+T43+T45+T47+T49</f>
        <v>0</v>
      </c>
      <c r="U82" s="92">
        <f>SUM(U72:U81)+U16+U24+U29+U36+U43+U45+U47+U49+U51+U56+U61+U66</f>
        <v>374097.64000000007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65999.69</v>
      </c>
      <c r="F86" s="145">
        <f>'TIE-OUT'!J86+RECLASS!H86</f>
        <v>0</v>
      </c>
      <c r="G86" s="145">
        <f>'TIE-OUT'!K86+RECLASS!I86</f>
        <v>330612.69</v>
      </c>
      <c r="H86" s="145">
        <v>0</v>
      </c>
      <c r="I86" s="145">
        <v>0</v>
      </c>
      <c r="J86" s="145">
        <v>0</v>
      </c>
      <c r="K86" s="145">
        <v>-264613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65999.69</v>
      </c>
      <c r="F89" s="160">
        <f t="shared" si="26"/>
        <v>0</v>
      </c>
      <c r="G89" s="160">
        <f t="shared" si="26"/>
        <v>330612.69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-264613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242235.49499979563</v>
      </c>
      <c r="F91" s="160">
        <f t="shared" si="29"/>
        <v>0</v>
      </c>
      <c r="G91" s="160">
        <f t="shared" si="29"/>
        <v>-2687505.07</v>
      </c>
      <c r="H91" s="160">
        <f t="shared" si="29"/>
        <v>0</v>
      </c>
      <c r="I91" s="160">
        <f t="shared" si="29"/>
        <v>-3718307.1289999825</v>
      </c>
      <c r="J91" s="160">
        <f t="shared" si="29"/>
        <v>0</v>
      </c>
      <c r="K91" s="160">
        <f t="shared" si="29"/>
        <v>3457039.3319999999</v>
      </c>
      <c r="L91" s="160">
        <f t="shared" si="29"/>
        <v>0</v>
      </c>
      <c r="M91" s="160">
        <f t="shared" si="29"/>
        <v>-2134461.443</v>
      </c>
      <c r="N91" s="160">
        <f t="shared" ref="N91:AE91" si="30">+N82+N89</f>
        <v>0</v>
      </c>
      <c r="O91" s="160">
        <f t="shared" si="30"/>
        <v>4171633.9249999924</v>
      </c>
      <c r="P91" s="160">
        <f t="shared" si="30"/>
        <v>0</v>
      </c>
      <c r="Q91" s="160">
        <f t="shared" si="30"/>
        <v>1661596.8200000005</v>
      </c>
      <c r="R91" s="160">
        <f t="shared" si="30"/>
        <v>0</v>
      </c>
      <c r="S91" s="160">
        <f t="shared" si="30"/>
        <v>-881858.58000000007</v>
      </c>
      <c r="T91" s="160">
        <f t="shared" si="30"/>
        <v>0</v>
      </c>
      <c r="U91" s="160">
        <f t="shared" si="30"/>
        <v>374097.64000000007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J10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21" width="15.44140625" customWidth="1"/>
    <col min="22" max="41" width="15.44140625" hidden="1" customWidth="1"/>
    <col min="42" max="62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11124</v>
      </c>
      <c r="E11" s="38">
        <f>SUM(G11,I11,K11,M11,O11,Q11,S11,U11,W11,Y11,AA11,AC11,AE11)</f>
        <v>10231.080000000002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+Actuals!G44+5562</f>
        <v>5562</v>
      </c>
      <c r="K11" s="119">
        <f>+Actuals!H44+15005</f>
        <v>-4773.9199999999983</v>
      </c>
      <c r="L11" s="118">
        <f>+Actuals!I44+5562</f>
        <v>5562</v>
      </c>
      <c r="M11" s="119">
        <f>+Actuals!J44+15005</f>
        <v>15005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-147054.67000000001</v>
      </c>
      <c r="F12" s="58">
        <f>'TIE-OUT'!L12+RECLASS!J12</f>
        <v>0</v>
      </c>
      <c r="G12" s="15">
        <f>'TIE-OUT'!M12+RECLASS!K12</f>
        <v>-147054.67000000001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/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11124</v>
      </c>
      <c r="E16" s="39">
        <f t="shared" si="1"/>
        <v>-136823.59000000003</v>
      </c>
      <c r="F16" s="59">
        <f t="shared" si="1"/>
        <v>0</v>
      </c>
      <c r="G16" s="23">
        <f t="shared" si="1"/>
        <v>-147054.67000000001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5562</v>
      </c>
      <c r="K16" s="39">
        <f t="shared" si="2"/>
        <v>-4773.9199999999983</v>
      </c>
      <c r="L16" s="61">
        <f>SUM(L11:L15)</f>
        <v>5562</v>
      </c>
      <c r="M16" s="39">
        <f>SUM(M11:M15)</f>
        <v>15005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</f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-65719.960000000006</v>
      </c>
      <c r="F20" s="58">
        <f>'TIE-OUT'!L20+RECLASS!J20</f>
        <v>0</v>
      </c>
      <c r="G20" s="15">
        <f>'TIE-OUT'!M20+RECLASS!K20</f>
        <v>-65719.960000000006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-65719.960000000006</v>
      </c>
      <c r="F24" s="59">
        <f t="shared" si="4"/>
        <v>0</v>
      </c>
      <c r="G24" s="23">
        <f t="shared" si="4"/>
        <v>-65719.960000000006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>SUM(L19:L23)</f>
        <v>0</v>
      </c>
      <c r="M24" s="39">
        <f>SUM(M19:M23)</f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-8063</v>
      </c>
      <c r="E27" s="38">
        <f>SUM(G27,I27,K27,M27,O27,Q27,S27,U27,W27,Y27,AA27,AC27,AE27)</f>
        <v>-23851</v>
      </c>
      <c r="F27" s="84">
        <f>'TIE-OUT'!L27+RECLASS!J27</f>
        <v>0</v>
      </c>
      <c r="G27" s="85">
        <f>'TIE-OUT'!M27+RECLASS!K27</f>
        <v>0</v>
      </c>
      <c r="H27" s="118">
        <f>+Actuals!E54+15733</f>
        <v>15733</v>
      </c>
      <c r="I27" s="119">
        <f>+Actuals!F54+44731</f>
        <v>44731</v>
      </c>
      <c r="J27" s="118">
        <f>+Actuals!G54-11898</f>
        <v>-11898</v>
      </c>
      <c r="K27" s="119">
        <f>+Actuals!H54-34291</f>
        <v>-34291</v>
      </c>
      <c r="L27" s="118">
        <f>+Actuals!I54-11898</f>
        <v>-11898</v>
      </c>
      <c r="M27" s="119">
        <f>+Actuals!J54-34291</f>
        <v>-34291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-3061</v>
      </c>
      <c r="E28" s="38">
        <f>SUM(G28,I28,K28,M28,O28,Q28,S28,U28,W28,Y28,AA28,AC28,AE28)</f>
        <v>-6159</v>
      </c>
      <c r="F28" s="97">
        <f>'TIE-OUT'!L28+RECLASS!J28</f>
        <v>0</v>
      </c>
      <c r="G28" s="98">
        <f>'TIE-OUT'!M28+RECLASS!K28</f>
        <v>0</v>
      </c>
      <c r="H28" s="118">
        <f>+Actuals!E55-15733</f>
        <v>-15733</v>
      </c>
      <c r="I28" s="119">
        <f>+Actuals!F55-44731</f>
        <v>-44731</v>
      </c>
      <c r="J28" s="118">
        <f>+Actuals!G55+6336</f>
        <v>6336</v>
      </c>
      <c r="K28" s="119">
        <f>+Actuals!H55+19286</f>
        <v>19286</v>
      </c>
      <c r="L28" s="118">
        <f>+Actuals!I55+6336</f>
        <v>6336</v>
      </c>
      <c r="M28" s="119">
        <f>+Actuals!J55+19286</f>
        <v>19286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-11124</v>
      </c>
      <c r="E29" s="39">
        <f t="shared" si="6"/>
        <v>-30010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-5562</v>
      </c>
      <c r="K29" s="39">
        <f t="shared" si="7"/>
        <v>-15005</v>
      </c>
      <c r="L29" s="61">
        <f>SUM(L27:L28)</f>
        <v>-5562</v>
      </c>
      <c r="M29" s="39">
        <f>SUM(M27:M28)</f>
        <v>-15005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0</v>
      </c>
      <c r="K32" s="119">
        <f>+Actuals!H56</f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/>
      <c r="Q33" s="119"/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>SUM(L54:L55)</f>
        <v>0</v>
      </c>
      <c r="M56" s="39">
        <f>SUM(M54:M55)</f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-232553.55000000005</v>
      </c>
      <c r="F82" s="91">
        <f>F16+F24+F29+F36+F43+F45+F47+F49</f>
        <v>0</v>
      </c>
      <c r="G82" s="92">
        <f>SUM(G72:G81)+G16+G24+G29+G36+G43+G45+G47+G49+G51+G56+G61+G66</f>
        <v>-212774.63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-19778.919999999998</v>
      </c>
      <c r="L82" s="91">
        <f>L16+L24+L29+L36+L43+L45+L47+L49</f>
        <v>0</v>
      </c>
      <c r="M82" s="110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D29" activePane="bottomRight" state="frozen"/>
      <selection activeCell="T9" sqref="T9"/>
      <selection pane="topRight" activeCell="T9" sqref="T9"/>
      <selection pane="bottomLeft" activeCell="T9" sqref="T9"/>
      <selection pane="bottomRight" activeCell="A38" sqref="A3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200507822</v>
      </c>
      <c r="E11" s="38">
        <f>SUM(G11,I11,K11,M11,O11,Q11,S11,U11,W11,Y11,AA11,AC11,AE11)</f>
        <v>536431249.71999997</v>
      </c>
      <c r="F11" s="60">
        <f>('TIE-OUT'!L11+'TIE-OUT'!J11)+(RECLASS!J11+RECLASS!H11)</f>
        <v>0</v>
      </c>
      <c r="G11" s="38">
        <f>('TIE-OUT'!M11+'TIE-OUT'!K11)+(RECLASS!K11+RECLASS!I11)</f>
        <v>-4554972</v>
      </c>
      <c r="H11" s="60">
        <f>'EAST-EGM-GL'!H11+'EAST-LRC-GL'!H11</f>
        <v>197305664</v>
      </c>
      <c r="I11" s="38">
        <f>'EAST-EGM-GL'!I11+'EAST-LRC-GL'!I11</f>
        <v>536010571.90999997</v>
      </c>
      <c r="J11" s="60">
        <f>'EAST-EGM-GL'!J11+'EAST-LRC-GL'!J11</f>
        <v>2710547</v>
      </c>
      <c r="K11" s="38">
        <f>'EAST-EGM-GL'!K11+'EAST-LRC-GL'!K11</f>
        <v>8310308.4899999993</v>
      </c>
      <c r="L11" s="60">
        <f>'EAST-EGM-GL'!L11+'EAST-LRC-GL'!L11</f>
        <v>-1087689</v>
      </c>
      <c r="M11" s="38">
        <f>'EAST-EGM-GL'!M11+'EAST-LRC-GL'!M11</f>
        <v>-2872766.47</v>
      </c>
      <c r="N11" s="60">
        <f>'EAST-EGM-GL'!N11+'EAST-LRC-GL'!N11</f>
        <v>1643737</v>
      </c>
      <c r="O11" s="38">
        <f>'EAST-EGM-GL'!O11+'EAST-LRC-GL'!O11</f>
        <v>5001041.95</v>
      </c>
      <c r="P11" s="60">
        <f>'EAST-EGM-GL'!P11+'EAST-LRC-GL'!P11</f>
        <v>72106</v>
      </c>
      <c r="Q11" s="38">
        <f>'EAST-EGM-GL'!Q11+'EAST-LRC-GL'!Q11</f>
        <v>-5035502.87</v>
      </c>
      <c r="R11" s="60">
        <f>'EAST-EGM-GL'!R11+'EAST-LRC-GL'!R11</f>
        <v>-135164</v>
      </c>
      <c r="S11" s="38">
        <f>'EAST-EGM-GL'!S11+'EAST-LRC-GL'!S11</f>
        <v>-427332.97</v>
      </c>
      <c r="T11" s="60">
        <f>'EAST-EGM-GL'!T11+'EAST-LRC-GL'!T11</f>
        <v>-1379</v>
      </c>
      <c r="U11" s="38">
        <f>'EAST-EGM-GL'!U11+'EAST-LRC-GL'!U11</f>
        <v>-98.32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3314824.2</v>
      </c>
      <c r="F12" s="60">
        <f>('TIE-OUT'!L12+'TIE-OUT'!J12)+(RECLASS!J12+RECLASS!H12)</f>
        <v>0</v>
      </c>
      <c r="G12" s="38">
        <f>('TIE-OUT'!M12+'TIE-OUT'!K12)+(RECLASS!K12+RECLASS!I12)</f>
        <v>3158974.6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/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155849.60000000001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96028476</v>
      </c>
      <c r="E13" s="38">
        <f t="shared" si="0"/>
        <v>269283472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14505729</v>
      </c>
      <c r="I13" s="38">
        <f>'EAST-EGM-GL'!I13+'EAST-LRC-GL'!I13</f>
        <v>39605175</v>
      </c>
      <c r="J13" s="60">
        <f>'EAST-EGM-GL'!J13+'EAST-LRC-GL'!J13</f>
        <v>44423</v>
      </c>
      <c r="K13" s="38">
        <f>'EAST-EGM-GL'!K13+'EAST-LRC-GL'!K13</f>
        <v>134252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81478324</v>
      </c>
      <c r="O13" s="38">
        <f>'EAST-EGM-GL'!O13+'EAST-LRC-GL'!O13</f>
        <v>229544045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16221823.67</v>
      </c>
      <c r="F15" s="81">
        <f>('TIE-OUT'!L15+'TIE-OUT'!J15)+(RECLASS!J15+RECLASS!H15)</f>
        <v>0</v>
      </c>
      <c r="G15" s="82">
        <f>('TIE-OUT'!M15+'TIE-OUT'!K15)+(RECLASS!K15+RECLASS!I15)</f>
        <v>2029585</v>
      </c>
      <c r="H15" s="60">
        <f>'EAST-EGM-GL'!H15+'EAST-LRC-GL'!H15</f>
        <v>0</v>
      </c>
      <c r="I15" s="38">
        <f>'EAST-EGM-GL'!I15+'EAST-LRC-GL'!I15</f>
        <v>3704959.57</v>
      </c>
      <c r="J15" s="60">
        <f>'EAST-EGM-GL'!J15+'EAST-LRC-GL'!J15</f>
        <v>0</v>
      </c>
      <c r="K15" s="38">
        <f>'EAST-EGM-GL'!K15+'EAST-LRC-GL'!K15</f>
        <v>291832.76</v>
      </c>
      <c r="L15" s="60">
        <f>'EAST-EGM-GL'!L15+'EAST-LRC-GL'!L15</f>
        <v>0</v>
      </c>
      <c r="M15" s="38">
        <f>'EAST-EGM-GL'!M15+'EAST-LRC-GL'!M15</f>
        <v>2532346</v>
      </c>
      <c r="N15" s="60">
        <f>'EAST-EGM-GL'!N15+'EAST-LRC-GL'!N15</f>
        <v>0</v>
      </c>
      <c r="O15" s="38">
        <f>'EAST-EGM-GL'!O15+'EAST-LRC-GL'!O15</f>
        <v>2629223</v>
      </c>
      <c r="P15" s="60">
        <f>'EAST-EGM-GL'!P15+'EAST-LRC-GL'!P15</f>
        <v>0</v>
      </c>
      <c r="Q15" s="38">
        <f>'EAST-EGM-GL'!Q15+'EAST-LRC-GL'!Q15</f>
        <v>5067202.7300000004</v>
      </c>
      <c r="R15" s="60">
        <f>'EAST-EGM-GL'!R15+'EAST-LRC-GL'!R15</f>
        <v>0</v>
      </c>
      <c r="S15" s="38">
        <f>'EAST-EGM-GL'!S15+'EAST-LRC-GL'!S15</f>
        <v>-33325.39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296536298</v>
      </c>
      <c r="E16" s="39">
        <f t="shared" si="1"/>
        <v>825251369.58999991</v>
      </c>
      <c r="F16" s="61">
        <f t="shared" si="1"/>
        <v>0</v>
      </c>
      <c r="G16" s="39">
        <f t="shared" si="1"/>
        <v>633587.60000000009</v>
      </c>
      <c r="H16" s="61">
        <f t="shared" si="1"/>
        <v>211811393</v>
      </c>
      <c r="I16" s="39">
        <f t="shared" si="1"/>
        <v>579320706.48000002</v>
      </c>
      <c r="J16" s="61">
        <f t="shared" si="1"/>
        <v>2754970</v>
      </c>
      <c r="K16" s="39">
        <f t="shared" si="1"/>
        <v>8736393.2499999981</v>
      </c>
      <c r="L16" s="61">
        <f>SUM(L11:L15)</f>
        <v>-1087689</v>
      </c>
      <c r="M16" s="39">
        <f>SUM(M11:M15)</f>
        <v>-340420.4700000002</v>
      </c>
      <c r="N16" s="61">
        <f t="shared" si="1"/>
        <v>83122061</v>
      </c>
      <c r="O16" s="39">
        <f t="shared" si="1"/>
        <v>237174309.94999999</v>
      </c>
      <c r="P16" s="61">
        <f t="shared" si="1"/>
        <v>72106</v>
      </c>
      <c r="Q16" s="39">
        <f t="shared" si="1"/>
        <v>31699.860000000335</v>
      </c>
      <c r="R16" s="61">
        <f t="shared" si="1"/>
        <v>-135164</v>
      </c>
      <c r="S16" s="39">
        <f t="shared" si="1"/>
        <v>-304808.76</v>
      </c>
      <c r="T16" s="61">
        <f t="shared" si="1"/>
        <v>-1379</v>
      </c>
      <c r="U16" s="39">
        <f t="shared" si="1"/>
        <v>-98.32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-201940380</v>
      </c>
      <c r="E19" s="38">
        <f t="shared" si="2"/>
        <v>-542860410.65999997</v>
      </c>
      <c r="F19" s="64">
        <f>('TIE-OUT'!L19+'TIE-OUT'!J19)+(RECLASS!J19+RECLASS!H19)</f>
        <v>0</v>
      </c>
      <c r="G19" s="68">
        <f>('TIE-OUT'!M19+'TIE-OUT'!K19)+(RECLASS!K19+RECLASS!I19)</f>
        <v>3101707</v>
      </c>
      <c r="H19" s="60">
        <f>'EAST-EGM-GL'!H19+'EAST-LRC-GL'!H19</f>
        <v>-197512953</v>
      </c>
      <c r="I19" s="38">
        <f>'EAST-EGM-GL'!I19+'EAST-LRC-GL'!I19</f>
        <v>-529355597.60000002</v>
      </c>
      <c r="J19" s="60">
        <f>'EAST-EGM-GL'!J19+'EAST-LRC-GL'!J19</f>
        <v>-2048513</v>
      </c>
      <c r="K19" s="38">
        <f>'EAST-EGM-GL'!K19+'EAST-LRC-GL'!K19</f>
        <v>-3122048.52</v>
      </c>
      <c r="L19" s="60">
        <f>'EAST-EGM-GL'!L19+'EAST-LRC-GL'!L19</f>
        <v>608641</v>
      </c>
      <c r="M19" s="38">
        <f>'EAST-EGM-GL'!M19+'EAST-LRC-GL'!M19</f>
        <v>-4579074.58</v>
      </c>
      <c r="N19" s="60">
        <f>'EAST-EGM-GL'!N19+'EAST-LRC-GL'!N19</f>
        <v>-2521988</v>
      </c>
      <c r="O19" s="38">
        <f>'EAST-EGM-GL'!O19+'EAST-LRC-GL'!O19</f>
        <v>-6917588.1299999999</v>
      </c>
      <c r="P19" s="60">
        <f>'EAST-EGM-GL'!P19+'EAST-LRC-GL'!P19</f>
        <v>-703070</v>
      </c>
      <c r="Q19" s="38">
        <f>'EAST-EGM-GL'!Q19+'EAST-LRC-GL'!Q19</f>
        <v>-1748903.04</v>
      </c>
      <c r="R19" s="60">
        <f>'EAST-EGM-GL'!R19+'EAST-LRC-GL'!R19</f>
        <v>234935</v>
      </c>
      <c r="S19" s="38">
        <f>'EAST-EGM-GL'!S19+'EAST-LRC-GL'!S19</f>
        <v>-251942.13</v>
      </c>
      <c r="T19" s="60">
        <f>'EAST-EGM-GL'!T19+'EAST-LRC-GL'!T19</f>
        <v>2568</v>
      </c>
      <c r="U19" s="38">
        <f>'EAST-EGM-GL'!U19+'EAST-LRC-GL'!U19</f>
        <v>13036.34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-4444884.54</v>
      </c>
      <c r="F20" s="60">
        <f>('TIE-OUT'!L20+'TIE-OUT'!J20)+(RECLASS!J20+RECLASS!H20)</f>
        <v>0</v>
      </c>
      <c r="G20" s="38">
        <f>('TIE-OUT'!M20+'TIE-OUT'!K20)+(RECLASS!K20+RECLASS!I20)</f>
        <v>-5643395.7999999998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15511.26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v>1183000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-95637682</v>
      </c>
      <c r="E21" s="38">
        <f t="shared" si="2"/>
        <v>-270388484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-14226249</v>
      </c>
      <c r="I21" s="38">
        <f>'EAST-EGM-GL'!I21+'EAST-LRC-GL'!I21</f>
        <v>-41084728</v>
      </c>
      <c r="J21" s="60">
        <f>'EAST-EGM-GL'!J21+'EAST-LRC-GL'!J21</f>
        <v>-85855</v>
      </c>
      <c r="K21" s="38">
        <f>'EAST-EGM-GL'!K21+'EAST-LRC-GL'!K21</f>
        <v>-224401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-81325578</v>
      </c>
      <c r="O21" s="38">
        <f>'EAST-EGM-GL'!O21+'EAST-LRC-GL'!O21</f>
        <v>-229079355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588078</v>
      </c>
      <c r="E23" s="38">
        <f t="shared" si="2"/>
        <v>1546056.6890000002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1361359</v>
      </c>
      <c r="I23" s="38">
        <f>'EAST-EGM-GL'!I23+'EAST-LRC-GL'!I23</f>
        <v>3579012.8110000002</v>
      </c>
      <c r="J23" s="60">
        <f>'EAST-EGM-GL'!J23+'EAST-LRC-GL'!J23</f>
        <v>6719</v>
      </c>
      <c r="K23" s="38">
        <f>'EAST-EGM-GL'!K23+'EAST-LRC-GL'!K23</f>
        <v>17664.251</v>
      </c>
      <c r="L23" s="60">
        <f>'EAST-EGM-GL'!L23+'EAST-LRC-GL'!L23</f>
        <v>-25900</v>
      </c>
      <c r="M23" s="38">
        <f>'EAST-EGM-GL'!M23+'EAST-LRC-GL'!M23</f>
        <v>-68091.100000000006</v>
      </c>
      <c r="N23" s="60">
        <f>'EAST-EGM-GL'!N23+'EAST-LRC-GL'!N23</f>
        <v>-222417</v>
      </c>
      <c r="O23" s="38">
        <f>'EAST-EGM-GL'!O23+'EAST-LRC-GL'!O23</f>
        <v>-584734.29299999995</v>
      </c>
      <c r="P23" s="60">
        <f>'EAST-EGM-GL'!P23+'EAST-LRC-GL'!P23</f>
        <v>-537532</v>
      </c>
      <c r="Q23" s="38">
        <f>'EAST-EGM-GL'!Q23+'EAST-LRC-GL'!Q23</f>
        <v>-1413172</v>
      </c>
      <c r="R23" s="60">
        <f>'EAST-EGM-GL'!R23+'EAST-LRC-GL'!R23</f>
        <v>5852</v>
      </c>
      <c r="S23" s="38">
        <f>'EAST-EGM-GL'!S23+'EAST-LRC-GL'!S23</f>
        <v>15384.91</v>
      </c>
      <c r="T23" s="60">
        <f>'EAST-EGM-GL'!T23+'EAST-LRC-GL'!T23</f>
        <v>-3</v>
      </c>
      <c r="U23" s="38">
        <f>'EAST-EGM-GL'!U23+'EAST-LRC-GL'!U23</f>
        <v>-7.89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-296989984</v>
      </c>
      <c r="E24" s="39">
        <f t="shared" si="3"/>
        <v>-816147722.51099992</v>
      </c>
      <c r="F24" s="61">
        <f t="shared" si="3"/>
        <v>0</v>
      </c>
      <c r="G24" s="39">
        <f t="shared" si="3"/>
        <v>-2541688.7999999998</v>
      </c>
      <c r="H24" s="61">
        <f t="shared" si="3"/>
        <v>-210377843</v>
      </c>
      <c r="I24" s="39">
        <f t="shared" si="3"/>
        <v>-566861312.78900003</v>
      </c>
      <c r="J24" s="61">
        <f t="shared" si="3"/>
        <v>-2127649</v>
      </c>
      <c r="K24" s="39">
        <f t="shared" si="3"/>
        <v>-3328785.2689999999</v>
      </c>
      <c r="L24" s="61">
        <f>SUM(L19:L23)</f>
        <v>582741</v>
      </c>
      <c r="M24" s="39">
        <f>SUM(M19:M23)</f>
        <v>-4631654.42</v>
      </c>
      <c r="N24" s="61">
        <f t="shared" si="3"/>
        <v>-84069983</v>
      </c>
      <c r="O24" s="39">
        <f t="shared" si="3"/>
        <v>-236581677.42300001</v>
      </c>
      <c r="P24" s="61">
        <f t="shared" si="3"/>
        <v>-1240602</v>
      </c>
      <c r="Q24" s="39">
        <f t="shared" si="3"/>
        <v>-3162075.04</v>
      </c>
      <c r="R24" s="61">
        <f t="shared" si="3"/>
        <v>240787</v>
      </c>
      <c r="S24" s="39">
        <f t="shared" si="3"/>
        <v>-236557.22</v>
      </c>
      <c r="T24" s="61">
        <f t="shared" si="3"/>
        <v>2565</v>
      </c>
      <c r="U24" s="39">
        <f t="shared" si="3"/>
        <v>1196028.4500000002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773438</v>
      </c>
      <c r="E27" s="38">
        <f>SUM(G27,I27,K27,M27,O27,Q27,S27,U27,W27,Y27,AA27,AC27,AE27)</f>
        <v>2101861.02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793876</v>
      </c>
      <c r="I27" s="38">
        <f>'EAST-EGM-GL'!I27+'EAST-LRC-GL'!I27</f>
        <v>2160753</v>
      </c>
      <c r="J27" s="60">
        <f>'EAST-EGM-GL'!J27+'EAST-LRC-GL'!J27</f>
        <v>-8540</v>
      </c>
      <c r="K27" s="38">
        <f>'EAST-EGM-GL'!K27+'EAST-LRC-GL'!K27</f>
        <v>-24600.98</v>
      </c>
      <c r="L27" s="60">
        <f>'EAST-EGM-GL'!L27+'EAST-LRC-GL'!L27</f>
        <v>-11898</v>
      </c>
      <c r="M27" s="38">
        <f>'EAST-EGM-GL'!M27+'EAST-LRC-GL'!M27</f>
        <v>-34291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-495202</v>
      </c>
      <c r="E28" s="38">
        <f>SUM(G28,I28,K28,M28,O28,Q28,S28,U28,W28,Y28,AA28,AC28,AE28)</f>
        <v>-1315359.8099999998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-509156</v>
      </c>
      <c r="I28" s="38">
        <f>'EAST-EGM-GL'!I28+'EAST-LRC-GL'!I28</f>
        <v>-1357434.19</v>
      </c>
      <c r="J28" s="60">
        <f>'EAST-EGM-GL'!J28+'EAST-LRC-GL'!J28</f>
        <v>7777</v>
      </c>
      <c r="K28" s="38">
        <f>'EAST-EGM-GL'!K28+'EAST-LRC-GL'!K28</f>
        <v>23226.42</v>
      </c>
      <c r="L28" s="60">
        <f>'EAST-EGM-GL'!L28+'EAST-LRC-GL'!L28</f>
        <v>6336</v>
      </c>
      <c r="M28" s="38">
        <f>'EAST-EGM-GL'!M28+'EAST-LRC-GL'!M28</f>
        <v>19286</v>
      </c>
      <c r="N28" s="60">
        <f>'EAST-EGM-GL'!N28+'EAST-LRC-GL'!N28</f>
        <v>0</v>
      </c>
      <c r="O28" s="38">
        <f>'EAST-EGM-GL'!O28+'EAST-LRC-GL'!O28</f>
        <v>-24.64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-159</v>
      </c>
      <c r="U28" s="38">
        <f>'EAST-EGM-GL'!U28+'EAST-LRC-GL'!U28</f>
        <v>-413.4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278236</v>
      </c>
      <c r="E29" s="39">
        <f t="shared" si="4"/>
        <v>786501.2100000002</v>
      </c>
      <c r="F29" s="61">
        <f t="shared" si="4"/>
        <v>0</v>
      </c>
      <c r="G29" s="39">
        <f t="shared" si="4"/>
        <v>0</v>
      </c>
      <c r="H29" s="61">
        <f t="shared" si="4"/>
        <v>284720</v>
      </c>
      <c r="I29" s="39">
        <f t="shared" si="4"/>
        <v>803318.81</v>
      </c>
      <c r="J29" s="61">
        <f t="shared" si="4"/>
        <v>-763</v>
      </c>
      <c r="K29" s="39">
        <f t="shared" si="4"/>
        <v>-1374.5600000000013</v>
      </c>
      <c r="L29" s="61">
        <f>SUM(L27:L28)</f>
        <v>-5562</v>
      </c>
      <c r="M29" s="39">
        <f>SUM(M27:M28)</f>
        <v>-15005</v>
      </c>
      <c r="N29" s="61">
        <f t="shared" si="4"/>
        <v>0</v>
      </c>
      <c r="O29" s="39">
        <f t="shared" si="4"/>
        <v>-24.64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-159</v>
      </c>
      <c r="U29" s="39">
        <f t="shared" si="4"/>
        <v>-413.4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883902</v>
      </c>
      <c r="E32" s="38">
        <f t="shared" si="5"/>
        <v>2323778.3549999986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84069</v>
      </c>
      <c r="I32" s="38">
        <f>'EAST-EGM-GL'!I32+'EAST-LRC-GL'!I32</f>
        <v>221017.40100000001</v>
      </c>
      <c r="J32" s="60">
        <f>'EAST-EGM-GL'!J32+'EAST-LRC-GL'!J32</f>
        <v>-570714</v>
      </c>
      <c r="K32" s="38">
        <f>'EAST-EGM-GL'!K32+'EAST-LRC-GL'!K32</f>
        <v>-1500407.1059999999</v>
      </c>
      <c r="L32" s="60">
        <f>'EAST-EGM-GL'!L32+'EAST-LRC-GL'!L32</f>
        <v>1596744</v>
      </c>
      <c r="M32" s="38">
        <f>'EAST-EGM-GL'!M32+'EAST-LRC-GL'!M32</f>
        <v>4197839.9759999998</v>
      </c>
      <c r="N32" s="60">
        <f>'EAST-EGM-GL'!N32+'EAST-LRC-GL'!N32</f>
        <v>1097516</v>
      </c>
      <c r="O32" s="38">
        <f>'EAST-EGM-GL'!O32+'EAST-LRC-GL'!O32</f>
        <v>2885369.5639999998</v>
      </c>
      <c r="P32" s="60">
        <f>'EAST-EGM-GL'!P32+'EAST-LRC-GL'!P32</f>
        <v>-465914</v>
      </c>
      <c r="Q32" s="38">
        <f>'EAST-EGM-GL'!Q32+'EAST-LRC-GL'!Q32</f>
        <v>-1224887.9099999999</v>
      </c>
      <c r="R32" s="60">
        <f>'EAST-EGM-GL'!R32+'EAST-LRC-GL'!R32</f>
        <v>253391</v>
      </c>
      <c r="S32" s="38">
        <f>'EAST-EGM-GL'!S32+'EAST-LRC-GL'!S32</f>
        <v>666164.93999999994</v>
      </c>
      <c r="T32" s="60">
        <f>'EAST-EGM-GL'!T32+'EAST-LRC-GL'!T32</f>
        <v>-1111190</v>
      </c>
      <c r="U32" s="38">
        <f>'EAST-EGM-GL'!U32+'EAST-LRC-GL'!U32</f>
        <v>-2921318.51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-962579</v>
      </c>
      <c r="E33" s="38">
        <f t="shared" si="5"/>
        <v>-2063819.9700000002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-397497</v>
      </c>
      <c r="K33" s="38">
        <f>'EAST-EGM-GL'!K33+'EAST-LRC-GL'!K33</f>
        <v>-1085638.6100000001</v>
      </c>
      <c r="L33" s="60">
        <f>'EAST-EGM-GL'!L33+'EAST-LRC-GL'!L33</f>
        <v>-193276</v>
      </c>
      <c r="M33" s="38">
        <f>'EAST-EGM-GL'!M33+'EAST-LRC-GL'!M33</f>
        <v>-487267.43</v>
      </c>
      <c r="N33" s="60">
        <f>'EAST-EGM-GL'!N33+'EAST-LRC-GL'!N33</f>
        <v>-167645</v>
      </c>
      <c r="O33" s="38">
        <f>'EAST-EGM-GL'!O33+'EAST-LRC-GL'!O33</f>
        <v>-483822.69</v>
      </c>
      <c r="P33" s="60">
        <f>'EAST-EGM-GL'!P33+'EAST-LRC-GL'!P33</f>
        <v>-199300</v>
      </c>
      <c r="Q33" s="38">
        <f>'EAST-EGM-GL'!Q33+'EAST-LRC-GL'!Q33</f>
        <v>-6882.87</v>
      </c>
      <c r="R33" s="60">
        <f>'EAST-EGM-GL'!R33+'EAST-LRC-GL'!R33</f>
        <v>-4786</v>
      </c>
      <c r="S33" s="38">
        <f>'EAST-EGM-GL'!S33+'EAST-LRC-GL'!S33</f>
        <v>0</v>
      </c>
      <c r="T33" s="60">
        <f>'EAST-EGM-GL'!T33+'EAST-LRC-GL'!T33</f>
        <v>-75</v>
      </c>
      <c r="U33" s="38">
        <f>'EAST-EGM-GL'!U33+'EAST-LRC-GL'!U33</f>
        <v>-208.37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414830</v>
      </c>
      <c r="E34" s="38">
        <f t="shared" si="5"/>
        <v>563322.67999999993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162357</v>
      </c>
      <c r="K34" s="38">
        <f>'EAST-EGM-GL'!K34+'EAST-LRC-GL'!K34</f>
        <v>401370.06</v>
      </c>
      <c r="L34" s="60">
        <f>'EAST-EGM-GL'!L34+'EAST-LRC-GL'!L34</f>
        <v>26308</v>
      </c>
      <c r="M34" s="38">
        <f>'EAST-EGM-GL'!M34+'EAST-LRC-GL'!M34</f>
        <v>73233.23</v>
      </c>
      <c r="N34" s="60">
        <f>'EAST-EGM-GL'!N34+'EAST-LRC-GL'!N34</f>
        <v>21618</v>
      </c>
      <c r="O34" s="38">
        <f>'EAST-EGM-GL'!O34+'EAST-LRC-GL'!O34</f>
        <v>59611.34</v>
      </c>
      <c r="P34" s="60">
        <f>'EAST-EGM-GL'!P34+'EAST-LRC-GL'!P34</f>
        <v>201860</v>
      </c>
      <c r="Q34" s="38">
        <f>'EAST-EGM-GL'!Q34+'EAST-LRC-GL'!Q34</f>
        <v>17747.48</v>
      </c>
      <c r="R34" s="60">
        <f>'EAST-EGM-GL'!R34+'EAST-LRC-GL'!R34</f>
        <v>2687</v>
      </c>
      <c r="S34" s="38">
        <f>'EAST-EGM-GL'!S34+'EAST-LRC-GL'!S34</f>
        <v>11360.57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-1183000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v>-1183000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336153</v>
      </c>
      <c r="E36" s="39">
        <f t="shared" si="6"/>
        <v>-359718.93500000169</v>
      </c>
      <c r="F36" s="61">
        <f t="shared" si="6"/>
        <v>0</v>
      </c>
      <c r="G36" s="39">
        <f t="shared" si="6"/>
        <v>0</v>
      </c>
      <c r="H36" s="61">
        <f t="shared" si="6"/>
        <v>84069</v>
      </c>
      <c r="I36" s="39">
        <f t="shared" si="6"/>
        <v>221017.40100000001</v>
      </c>
      <c r="J36" s="61">
        <f t="shared" si="6"/>
        <v>-805854</v>
      </c>
      <c r="K36" s="39">
        <f t="shared" si="6"/>
        <v>-2184675.656</v>
      </c>
      <c r="L36" s="61">
        <f>SUM(L32:L35)</f>
        <v>1429776</v>
      </c>
      <c r="M36" s="39">
        <f>SUM(M32:M35)</f>
        <v>3783805.7759999996</v>
      </c>
      <c r="N36" s="61">
        <f t="shared" si="6"/>
        <v>951489</v>
      </c>
      <c r="O36" s="39">
        <f t="shared" si="6"/>
        <v>2461158.2139999997</v>
      </c>
      <c r="P36" s="61">
        <f t="shared" si="6"/>
        <v>-463354</v>
      </c>
      <c r="Q36" s="39">
        <f t="shared" si="6"/>
        <v>-1214023.3</v>
      </c>
      <c r="R36" s="61">
        <f t="shared" si="6"/>
        <v>251292</v>
      </c>
      <c r="S36" s="39">
        <f t="shared" si="6"/>
        <v>677525.50999999989</v>
      </c>
      <c r="T36" s="61">
        <f t="shared" si="6"/>
        <v>-1111265</v>
      </c>
      <c r="U36" s="39">
        <f t="shared" si="6"/>
        <v>-4104526.88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71525</v>
      </c>
      <c r="E39" s="38">
        <f t="shared" si="7"/>
        <v>188031.35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86490</v>
      </c>
      <c r="I39" s="38">
        <f>'EAST-EGM-GL'!I39+'EAST-LRC-GL'!I39</f>
        <v>227382.21</v>
      </c>
      <c r="J39" s="60">
        <f>'EAST-EGM-GL'!J39+'EAST-LRC-GL'!J39</f>
        <v>-86451</v>
      </c>
      <c r="K39" s="38">
        <f>'EAST-EGM-GL'!K39+'EAST-LRC-GL'!K39</f>
        <v>-227279.68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3</v>
      </c>
      <c r="O39" s="38">
        <f>'EAST-EGM-GL'!O39+'EAST-LRC-GL'!O39</f>
        <v>0.01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71483</v>
      </c>
      <c r="U39" s="38">
        <f>'EAST-EGM-GL'!U39+'EAST-LRC-GL'!U39</f>
        <v>187928.81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-811671</v>
      </c>
      <c r="E40" s="38">
        <f t="shared" si="7"/>
        <v>-643281.41000000061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-1466369</v>
      </c>
      <c r="I40" s="38">
        <f>'EAST-EGM-GL'!I40+'EAST-LRC-GL'!I40</f>
        <v>-2695450.25</v>
      </c>
      <c r="J40" s="60">
        <f>'EAST-EGM-GL'!J40+'EAST-LRC-GL'!J40</f>
        <v>-176985</v>
      </c>
      <c r="K40" s="38">
        <f>'EAST-EGM-GL'!K40+'EAST-LRC-GL'!K40</f>
        <v>-435547.12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-169</v>
      </c>
      <c r="O40" s="38">
        <f>'EAST-EGM-GL'!O40+'EAST-LRC-GL'!O40</f>
        <v>-453.85</v>
      </c>
      <c r="P40" s="60">
        <f>'EAST-EGM-GL'!P40+'EAST-LRC-GL'!P40</f>
        <v>-4115</v>
      </c>
      <c r="Q40" s="38">
        <f>'EAST-EGM-GL'!Q40+'EAST-LRC-GL'!Q40</f>
        <v>-9657.91</v>
      </c>
      <c r="R40" s="60">
        <f>'EAST-EGM-GL'!R40+'EAST-LRC-GL'!R40</f>
        <v>9670</v>
      </c>
      <c r="S40" s="38">
        <f>'EAST-EGM-GL'!S40+'EAST-LRC-GL'!S40</f>
        <v>23934.26</v>
      </c>
      <c r="T40" s="60">
        <f>'EAST-EGM-GL'!T40+'EAST-LRC-GL'!T40</f>
        <v>826297</v>
      </c>
      <c r="U40" s="38">
        <f>'EAST-EGM-GL'!U40+'EAST-LRC-GL'!U40</f>
        <v>2473893.46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-811671</v>
      </c>
      <c r="E42" s="39">
        <f t="shared" si="8"/>
        <v>-643281.41000000061</v>
      </c>
      <c r="F42" s="61">
        <f t="shared" si="8"/>
        <v>0</v>
      </c>
      <c r="G42" s="39">
        <f t="shared" si="8"/>
        <v>0</v>
      </c>
      <c r="H42" s="61">
        <f t="shared" si="8"/>
        <v>-1466369</v>
      </c>
      <c r="I42" s="39">
        <f t="shared" si="8"/>
        <v>-2695450.25</v>
      </c>
      <c r="J42" s="61">
        <f t="shared" si="8"/>
        <v>-176985</v>
      </c>
      <c r="K42" s="39">
        <f t="shared" si="8"/>
        <v>-435547.12</v>
      </c>
      <c r="L42" s="61">
        <f>SUM(L40:L41)</f>
        <v>0</v>
      </c>
      <c r="M42" s="39">
        <f>SUM(M40:M41)</f>
        <v>0</v>
      </c>
      <c r="N42" s="61">
        <f t="shared" si="8"/>
        <v>-169</v>
      </c>
      <c r="O42" s="39">
        <f t="shared" si="8"/>
        <v>-453.85</v>
      </c>
      <c r="P42" s="61">
        <f t="shared" si="8"/>
        <v>-4115</v>
      </c>
      <c r="Q42" s="39">
        <f t="shared" si="8"/>
        <v>-9657.91</v>
      </c>
      <c r="R42" s="61">
        <f t="shared" si="8"/>
        <v>9670</v>
      </c>
      <c r="S42" s="39">
        <f t="shared" si="8"/>
        <v>23934.26</v>
      </c>
      <c r="T42" s="61">
        <f t="shared" si="8"/>
        <v>826297</v>
      </c>
      <c r="U42" s="39">
        <f t="shared" si="8"/>
        <v>2473893.46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-740146</v>
      </c>
      <c r="E43" s="39">
        <f t="shared" si="9"/>
        <v>-455250.06000000064</v>
      </c>
      <c r="F43" s="61">
        <f t="shared" si="9"/>
        <v>0</v>
      </c>
      <c r="G43" s="39">
        <f t="shared" si="9"/>
        <v>0</v>
      </c>
      <c r="H43" s="61">
        <f t="shared" si="9"/>
        <v>-1379879</v>
      </c>
      <c r="I43" s="39">
        <f t="shared" si="9"/>
        <v>-2468068.04</v>
      </c>
      <c r="J43" s="61">
        <f t="shared" si="9"/>
        <v>-263436</v>
      </c>
      <c r="K43" s="39">
        <f t="shared" si="9"/>
        <v>-662826.80000000005</v>
      </c>
      <c r="L43" s="61">
        <f>L42+L39</f>
        <v>0</v>
      </c>
      <c r="M43" s="39">
        <f>M42+M39</f>
        <v>0</v>
      </c>
      <c r="N43" s="61">
        <f t="shared" si="9"/>
        <v>-166</v>
      </c>
      <c r="O43" s="39">
        <f t="shared" si="9"/>
        <v>-453.84000000000003</v>
      </c>
      <c r="P43" s="61">
        <f t="shared" si="9"/>
        <v>-4115</v>
      </c>
      <c r="Q43" s="39">
        <f t="shared" si="9"/>
        <v>-9657.91</v>
      </c>
      <c r="R43" s="61">
        <f t="shared" si="9"/>
        <v>9670</v>
      </c>
      <c r="S43" s="39">
        <f t="shared" si="9"/>
        <v>23934.26</v>
      </c>
      <c r="T43" s="61">
        <f t="shared" si="9"/>
        <v>897780</v>
      </c>
      <c r="U43" s="39">
        <f t="shared" si="9"/>
        <v>2661822.27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579443</v>
      </c>
      <c r="E49" s="38">
        <f>SUM(G49,I49,K49,M49,O49,Q49,S49,U49,W49,Y49,AA49,AC49,AE49)</f>
        <v>1523355.6450000005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-422460</v>
      </c>
      <c r="I49" s="38">
        <f>'EAST-EGM-GL'!I49+'EAST-LRC-GL'!I49</f>
        <v>-1110647.3400000001</v>
      </c>
      <c r="J49" s="60">
        <f>'EAST-EGM-GL'!J49+'EAST-LRC-GL'!J49</f>
        <v>442732</v>
      </c>
      <c r="K49" s="38">
        <f>'EAST-EGM-GL'!K49+'EAST-LRC-GL'!K49</f>
        <v>1163942.4280000001</v>
      </c>
      <c r="L49" s="60">
        <f>'EAST-EGM-GL'!L49+'EAST-LRC-GL'!L49</f>
        <v>-919266</v>
      </c>
      <c r="M49" s="38">
        <f>'EAST-EGM-GL'!M49+'EAST-LRC-GL'!M49</f>
        <v>-2416750.3139999998</v>
      </c>
      <c r="N49" s="60">
        <f>'EAST-EGM-GL'!N49+'EAST-LRC-GL'!N49</f>
        <v>-3401</v>
      </c>
      <c r="O49" s="38">
        <f>'EAST-EGM-GL'!O49+'EAST-LRC-GL'!O49</f>
        <v>-8941.2289999999994</v>
      </c>
      <c r="P49" s="60">
        <f>'EAST-EGM-GL'!P49+'EAST-LRC-GL'!P49</f>
        <v>1635965</v>
      </c>
      <c r="Q49" s="38">
        <f>'EAST-EGM-GL'!Q49+'EAST-LRC-GL'!Q49</f>
        <v>4300951.99</v>
      </c>
      <c r="R49" s="60">
        <f>'EAST-EGM-GL'!R49+'EAST-LRC-GL'!R49</f>
        <v>-366585</v>
      </c>
      <c r="S49" s="38">
        <f>'EAST-EGM-GL'!S49+'EAST-LRC-GL'!S49</f>
        <v>-963751.97</v>
      </c>
      <c r="T49" s="60">
        <f>'EAST-EGM-GL'!T49+'EAST-LRC-GL'!T49</f>
        <v>212458</v>
      </c>
      <c r="U49" s="38">
        <f>'EAST-EGM-GL'!U49+'EAST-LRC-GL'!U49</f>
        <v>558552.07999999996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-588078</v>
      </c>
      <c r="E51" s="38">
        <f>SUM(G51,I51,K51,M51,O51,Q51,S51,U51,W51,Y51,AA51,AC51,AE51)</f>
        <v>-1546057.0640000007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-1361359</v>
      </c>
      <c r="I51" s="38">
        <f>'EAST-EGM-GL'!I51+'EAST-LRC-GL'!I51</f>
        <v>-3579012.8110000002</v>
      </c>
      <c r="J51" s="60">
        <f>'EAST-EGM-GL'!J51+'EAST-LRC-GL'!J51</f>
        <v>-6719</v>
      </c>
      <c r="K51" s="38">
        <f>'EAST-EGM-GL'!K51+'EAST-LRC-GL'!K51</f>
        <v>-17664.251</v>
      </c>
      <c r="L51" s="60">
        <f>'EAST-EGM-GL'!L51+'EAST-LRC-GL'!L51</f>
        <v>648795</v>
      </c>
      <c r="M51" s="38">
        <f>'EAST-EGM-GL'!M51+'EAST-LRC-GL'!M51</f>
        <v>1705682.0549999999</v>
      </c>
      <c r="N51" s="60">
        <f>'EAST-EGM-GL'!N51+'EAST-LRC-GL'!N51</f>
        <v>222417</v>
      </c>
      <c r="O51" s="38">
        <f>'EAST-EGM-GL'!O51+'EAST-LRC-GL'!O51</f>
        <v>584734.29299999995</v>
      </c>
      <c r="P51" s="60">
        <f>'EAST-EGM-GL'!P51+'EAST-LRC-GL'!P51</f>
        <v>-85363</v>
      </c>
      <c r="Q51" s="38">
        <f>'EAST-EGM-GL'!Q51+'EAST-LRC-GL'!Q51</f>
        <v>-224419.33</v>
      </c>
      <c r="R51" s="60">
        <f>'EAST-EGM-GL'!R51+'EAST-LRC-GL'!R51</f>
        <v>-5852</v>
      </c>
      <c r="S51" s="38">
        <f>'EAST-EGM-GL'!S51+'EAST-LRC-GL'!S51</f>
        <v>-15384.91</v>
      </c>
      <c r="T51" s="60">
        <f>'EAST-EGM-GL'!T51+'EAST-LRC-GL'!T51</f>
        <v>3</v>
      </c>
      <c r="U51" s="38">
        <f>'EAST-EGM-GL'!U51+'EAST-LRC-GL'!U51</f>
        <v>7.89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-152830718</v>
      </c>
      <c r="E54" s="38">
        <f>SUM(G54,I54,K54,M54,O54,Q54,S54,U54,W54,Y54,AA54,AC54,AE54)</f>
        <v>-1972415.63</v>
      </c>
      <c r="F54" s="64">
        <f>('TIE-OUT'!L54+'TIE-OUT'!J54)+(RECLASS!J54+RECLASS!H54)</f>
        <v>0</v>
      </c>
      <c r="G54" s="68">
        <f>('TIE-OUT'!M54+'TIE-OUT'!K54)+(RECLASS!K54+RECLASS!I54)</f>
        <v>522</v>
      </c>
      <c r="H54" s="60">
        <f>'EAST-EGM-GL'!H54+'EAST-LRC-GL'!H54</f>
        <v>-156628547</v>
      </c>
      <c r="I54" s="38">
        <f>'EAST-EGM-GL'!I54+'EAST-LRC-GL'!I54</f>
        <v>-2152001.3199999998</v>
      </c>
      <c r="J54" s="60">
        <f>'EAST-EGM-GL'!J54+'EAST-LRC-GL'!J54</f>
        <v>21908879</v>
      </c>
      <c r="K54" s="38">
        <f>'EAST-EGM-GL'!K54+'EAST-LRC-GL'!K54</f>
        <v>-158391.46</v>
      </c>
      <c r="L54" s="60">
        <f>'EAST-EGM-GL'!L54+'EAST-LRC-GL'!L54</f>
        <v>-6356985</v>
      </c>
      <c r="M54" s="38">
        <f>'EAST-EGM-GL'!M54+'EAST-LRC-GL'!M54</f>
        <v>-44680.35</v>
      </c>
      <c r="N54" s="60">
        <f>'EAST-EGM-GL'!N54+'EAST-LRC-GL'!N54</f>
        <v>379530</v>
      </c>
      <c r="O54" s="38">
        <f>'EAST-EGM-GL'!O54+'EAST-LRC-GL'!O54</f>
        <v>542546.55000000005</v>
      </c>
      <c r="P54" s="60">
        <f>'EAST-EGM-GL'!P54+'EAST-LRC-GL'!P54</f>
        <v>-2506034</v>
      </c>
      <c r="Q54" s="38">
        <f>'EAST-EGM-GL'!Q54+'EAST-LRC-GL'!Q54</f>
        <v>-166004.69</v>
      </c>
      <c r="R54" s="60">
        <f>'EAST-EGM-GL'!R54+'EAST-LRC-GL'!R54</f>
        <v>-3579875</v>
      </c>
      <c r="S54" s="38">
        <f>'EAST-EGM-GL'!S54+'EAST-LRC-GL'!S54</f>
        <v>-57060.75</v>
      </c>
      <c r="T54" s="60">
        <f>'EAST-EGM-GL'!T54+'EAST-LRC-GL'!T54</f>
        <v>-6047686</v>
      </c>
      <c r="U54" s="38">
        <f>'EAST-EGM-GL'!U54+'EAST-LRC-GL'!U54</f>
        <v>62654.39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-8048099.0199999996</v>
      </c>
      <c r="F55" s="81">
        <f>('TIE-OUT'!L55+'TIE-OUT'!J55)+(RECLASS!J55+RECLASS!H55)</f>
        <v>0</v>
      </c>
      <c r="G55" s="82">
        <f>('TIE-OUT'!M55+'TIE-OUT'!K55)+(RECLASS!K55+RECLASS!I55)</f>
        <v>34847</v>
      </c>
      <c r="H55" s="60">
        <f>'EAST-EGM-GL'!H55+'EAST-LRC-GL'!H55</f>
        <v>0</v>
      </c>
      <c r="I55" s="38">
        <f>'EAST-EGM-GL'!I55+'EAST-LRC-GL'!I55</f>
        <v>-7995911.4199999999</v>
      </c>
      <c r="J55" s="60">
        <f>'EAST-EGM-GL'!J55+'EAST-LRC-GL'!J55</f>
        <v>0</v>
      </c>
      <c r="K55" s="38">
        <f>'EAST-EGM-GL'!K55+'EAST-LRC-GL'!K55</f>
        <v>-66720.37</v>
      </c>
      <c r="L55" s="60">
        <f>'EAST-EGM-GL'!L55+'EAST-LRC-GL'!L55</f>
        <v>0</v>
      </c>
      <c r="M55" s="38">
        <f>'EAST-EGM-GL'!M55+'EAST-LRC-GL'!M55</f>
        <v>-14166.89</v>
      </c>
      <c r="N55" s="60">
        <f>'EAST-EGM-GL'!N55+'EAST-LRC-GL'!N55</f>
        <v>0</v>
      </c>
      <c r="O55" s="38">
        <f>'EAST-EGM-GL'!O55+'EAST-LRC-GL'!O55</f>
        <v>-100</v>
      </c>
      <c r="P55" s="60">
        <f>'EAST-EGM-GL'!P55+'EAST-LRC-GL'!P55</f>
        <v>0</v>
      </c>
      <c r="Q55" s="38">
        <f>'EAST-EGM-GL'!Q55+'EAST-LRC-GL'!Q55</f>
        <v>-363.76</v>
      </c>
      <c r="R55" s="60">
        <f>'EAST-EGM-GL'!R55+'EAST-LRC-GL'!R55</f>
        <v>0</v>
      </c>
      <c r="S55" s="38">
        <f>'EAST-EGM-GL'!S55+'EAST-LRC-GL'!S55</f>
        <v>-5754.74</v>
      </c>
      <c r="T55" s="60">
        <f>'EAST-EGM-GL'!T55+'EAST-LRC-GL'!T55</f>
        <v>0</v>
      </c>
      <c r="U55" s="38">
        <f>'EAST-EGM-GL'!U55+'EAST-LRC-GL'!U55</f>
        <v>71.16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-152830718</v>
      </c>
      <c r="E56" s="39">
        <f t="shared" si="10"/>
        <v>-10020514.649999999</v>
      </c>
      <c r="F56" s="61">
        <f t="shared" si="10"/>
        <v>0</v>
      </c>
      <c r="G56" s="39">
        <f t="shared" si="10"/>
        <v>35369</v>
      </c>
      <c r="H56" s="61">
        <f t="shared" si="10"/>
        <v>-156628547</v>
      </c>
      <c r="I56" s="39">
        <f t="shared" si="10"/>
        <v>-10147912.74</v>
      </c>
      <c r="J56" s="61">
        <f t="shared" si="10"/>
        <v>21908879</v>
      </c>
      <c r="K56" s="39">
        <f t="shared" si="10"/>
        <v>-225111.83</v>
      </c>
      <c r="L56" s="61">
        <f>SUM(L54:L55)</f>
        <v>-6356985</v>
      </c>
      <c r="M56" s="39">
        <f>SUM(M54:M55)</f>
        <v>-58847.24</v>
      </c>
      <c r="N56" s="61">
        <f t="shared" si="10"/>
        <v>379530</v>
      </c>
      <c r="O56" s="39">
        <f t="shared" si="10"/>
        <v>542446.55000000005</v>
      </c>
      <c r="P56" s="61">
        <f t="shared" si="10"/>
        <v>-2506034</v>
      </c>
      <c r="Q56" s="39">
        <f t="shared" si="10"/>
        <v>-166368.45000000001</v>
      </c>
      <c r="R56" s="61">
        <f t="shared" si="10"/>
        <v>-3579875</v>
      </c>
      <c r="S56" s="39">
        <f t="shared" si="10"/>
        <v>-62815.49</v>
      </c>
      <c r="T56" s="61">
        <f t="shared" si="10"/>
        <v>-6047686</v>
      </c>
      <c r="U56" s="39">
        <f t="shared" si="10"/>
        <v>62725.55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65509.369999999995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86158.06</v>
      </c>
      <c r="J59" s="60">
        <f>'EAST-EGM-GL'!J59+'EAST-LRC-GL'!J59</f>
        <v>0</v>
      </c>
      <c r="K59" s="38">
        <f>'EAST-EGM-GL'!K59+'EAST-LRC-GL'!K59</f>
        <v>-21516.69</v>
      </c>
      <c r="L59" s="60">
        <f>'EAST-EGM-GL'!L59+'EAST-LRC-GL'!L59</f>
        <v>0</v>
      </c>
      <c r="M59" s="38">
        <f>'EAST-EGM-GL'!M59+'EAST-LRC-GL'!M59</f>
        <v>868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65509.369999999995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86158.06</v>
      </c>
      <c r="J61" s="61">
        <f t="shared" si="11"/>
        <v>0</v>
      </c>
      <c r="K61" s="39">
        <f t="shared" si="11"/>
        <v>-21516.69</v>
      </c>
      <c r="L61" s="61">
        <f>SUM(L59:L60)</f>
        <v>0</v>
      </c>
      <c r="M61" s="39">
        <f>SUM(M59:M60)</f>
        <v>868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1165617.6100000001</v>
      </c>
      <c r="F70" s="64">
        <f>('TIE-OUT'!L70+'TIE-OUT'!J70)+(RECLASS!J70+RECLASS!H70)</f>
        <v>0</v>
      </c>
      <c r="G70" s="68">
        <f>('TIE-OUT'!M70+'TIE-OUT'!K70)+(RECLASS!K70+RECLASS!I70)</f>
        <v>1165617.6100000001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-563222</v>
      </c>
      <c r="F71" s="81">
        <f>('TIE-OUT'!L71+'TIE-OUT'!J71)+(RECLASS!J71+RECLASS!H71)</f>
        <v>0</v>
      </c>
      <c r="G71" s="82">
        <f>('TIE-OUT'!M71+'TIE-OUT'!K71)+(RECLASS!K71+RECLASS!I71)</f>
        <v>-563222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602395.6100000001</v>
      </c>
      <c r="F72" s="61">
        <f t="shared" si="13"/>
        <v>0</v>
      </c>
      <c r="G72" s="39">
        <f t="shared" si="13"/>
        <v>602395.6100000001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-1886252.9100000001</v>
      </c>
      <c r="F74" s="60">
        <f>('TIE-OUT'!L74+'TIE-OUT'!J74)+(RECLASS!J74+RECLASS!H74)</f>
        <v>0</v>
      </c>
      <c r="G74" s="60">
        <f>('TIE-OUT'!M74+'TIE-OUT'!K74)+(RECLASS!K74+RECLASS!I74)</f>
        <v>-1821155.8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-65097.11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-34400</v>
      </c>
      <c r="F75" s="60">
        <f>('TIE-OUT'!L75+'TIE-OUT'!J75)+(RECLASS!J75+RECLASS!H75)</f>
        <v>0</v>
      </c>
      <c r="G75" s="60">
        <f>('TIE-OUT'!M75+'TIE-OUT'!K75)+(RECLASS!K75+RECLASS!I75)</f>
        <v>-34400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22636.920000000013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-8316.2099999999991</v>
      </c>
      <c r="J76" s="60">
        <f>'EAST-EGM-GL'!J76+'EAST-LRC-GL'!J76</f>
        <v>0</v>
      </c>
      <c r="K76" s="38">
        <f>'EAST-EGM-GL'!K76+'EAST-LRC-GL'!K76</f>
        <v>85046.63</v>
      </c>
      <c r="L76" s="60">
        <f>'EAST-EGM-GL'!L76+'EAST-LRC-GL'!L76</f>
        <v>0</v>
      </c>
      <c r="M76" s="38">
        <f>'EAST-EGM-GL'!M76+'EAST-LRC-GL'!M76</f>
        <v>35285.449999999997</v>
      </c>
      <c r="N76" s="60">
        <f>'EAST-EGM-GL'!N76+'EAST-LRC-GL'!N76</f>
        <v>0</v>
      </c>
      <c r="O76" s="38">
        <f>'EAST-EGM-GL'!O76+'EAST-LRC-GL'!O76</f>
        <v>82.05</v>
      </c>
      <c r="P76" s="60">
        <f>'EAST-EGM-GL'!P76+'EAST-LRC-GL'!P76</f>
        <v>0</v>
      </c>
      <c r="Q76" s="38">
        <f>'EAST-EGM-GL'!Q76+'EAST-LRC-GL'!Q76</f>
        <v>-89461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-105000</v>
      </c>
      <c r="F77" s="60">
        <f>('TIE-OUT'!L77+'TIE-OUT'!J77)+(RECLASS!J77+RECLASS!H77)</f>
        <v>0</v>
      </c>
      <c r="G77" s="60">
        <f>('TIE-OUT'!M77+'TIE-OUT'!K77)+(RECLASS!K77+RECLASS!I77)</f>
        <v>-105000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-202500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-202500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2449330.04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0</v>
      </c>
      <c r="I81" s="38">
        <f>'EAST-EGM-GL'!I81+'EAST-LRC-GL'!I81</f>
        <v>228262.05</v>
      </c>
      <c r="J81" s="60">
        <f>'EAST-EGM-GL'!J81+'EAST-LRC-GL'!J81</f>
        <v>0</v>
      </c>
      <c r="K81" s="38">
        <f>'EAST-EGM-GL'!K81+'EAST-LRC-GL'!K81</f>
        <v>223543.27</v>
      </c>
      <c r="L81" s="60">
        <f>'EAST-EGM-GL'!L81+'EAST-LRC-GL'!L81</f>
        <v>0</v>
      </c>
      <c r="M81" s="38">
        <f>'EAST-EGM-GL'!M81+'EAST-LRC-GL'!M81</f>
        <v>-197425.28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2194950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-56317.745000037481</v>
      </c>
      <c r="F82" s="91">
        <f>F16+F24+F29+F36+F43+F45+F47+F49</f>
        <v>0</v>
      </c>
      <c r="G82" s="92">
        <f>SUM(G72:G81)+G16+G24+G29+G36+G43+G45+G47+G49+G51+G56+G61+G66</f>
        <v>-3230892.3899999997</v>
      </c>
      <c r="H82" s="91">
        <f>H16+H24+H29+H36+H43+H45+H47+H49</f>
        <v>0</v>
      </c>
      <c r="I82" s="92">
        <f>SUM(I72:I81)+I16+I24+I29+I36+I43+I45+I47+I49+I51+I56+I61+I66</f>
        <v>-3718307.1289999825</v>
      </c>
      <c r="J82" s="91">
        <f>J16+J24+J29+J36+J43+J45+J47+J49</f>
        <v>0</v>
      </c>
      <c r="K82" s="92">
        <f>SUM(K72:K81)+K16+K24+K29+K36+K43+K45+K47+K49+K51+K56+K61+K66</f>
        <v>3701873.4119999981</v>
      </c>
      <c r="L82" s="91">
        <f>L16+L24+L29+L36+L43+L45+L47+L49</f>
        <v>0</v>
      </c>
      <c r="M82" s="92">
        <f>SUM(M72:M81)+M16+M24+M29+M36+M43+M45+M47+M49+M51+M56+M61+M66</f>
        <v>-2134461.443</v>
      </c>
      <c r="N82" s="91">
        <f>N16+N24+N29+N36+N43+N45+N47+N49</f>
        <v>0</v>
      </c>
      <c r="O82" s="92">
        <f>SUM(O72:O81)+O16+O24+O29+O36+O43+O45+O47+O49+O51+O56+O61+O66</f>
        <v>4171633.9249999924</v>
      </c>
      <c r="P82" s="91">
        <f>P16+P24+P29+P36+P43+P45+P47+P49</f>
        <v>0</v>
      </c>
      <c r="Q82" s="92">
        <f>SUM(Q72:Q81)+Q16+Q24+Q29+Q36+Q43+Q45+Q47+Q49+Q51+Q56+Q61+Q66</f>
        <v>1661596.8200000005</v>
      </c>
      <c r="R82" s="91">
        <f>R16+R24+R29+R36+R43+R45+R47+R49</f>
        <v>0</v>
      </c>
      <c r="S82" s="92">
        <f>SUM(S72:S81)+S16+S24+S29+S36+S43+S45+S47+S49+S51+S56+S61+S66</f>
        <v>-881858.58000000007</v>
      </c>
      <c r="T82" s="91">
        <f>T16+T24+T29+T36+T43+T45+T47+T49</f>
        <v>0</v>
      </c>
      <c r="U82" s="92">
        <f>SUM(U72:U81)+U16+U24+U29+U36+U43+U45+U47+U49+U51+U56+U61+U66</f>
        <v>374097.64000000054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-56317.745000204421</v>
      </c>
      <c r="G84" s="14">
        <f>+'EAST-LRC-GL'!G82+'EAST-EGM-GL'!G82</f>
        <v>-3230892.3899999997</v>
      </c>
      <c r="I84" s="14">
        <f>+'EAST-LRC-GL'!I82+'EAST-EGM-GL'!I82</f>
        <v>-3718307.1289999825</v>
      </c>
      <c r="K84" s="14">
        <f>+'EAST-LRC-GL'!K82+'EAST-EGM-GL'!K82</f>
        <v>3701873.412</v>
      </c>
    </row>
    <row r="85" spans="1:77" x14ac:dyDescent="0.25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65999.69</v>
      </c>
      <c r="F86" s="145">
        <f>'EAST-EGM-GL'!F86+'EAST-LRC-GL'!F86</f>
        <v>0</v>
      </c>
      <c r="G86" s="145">
        <f>'EAST-EGM-GL'!G86+'EAST-LRC-GL'!G86</f>
        <v>330612.69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-264613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65999.69</v>
      </c>
      <c r="F89" s="155">
        <f t="shared" si="16"/>
        <v>0</v>
      </c>
      <c r="G89" s="155">
        <f t="shared" si="16"/>
        <v>330612.69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-264613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9681.9449999625213</v>
      </c>
      <c r="F91" s="160">
        <f t="shared" si="19"/>
        <v>0</v>
      </c>
      <c r="G91" s="160">
        <f t="shared" si="19"/>
        <v>-2900279.6999999997</v>
      </c>
      <c r="H91" s="160">
        <f t="shared" si="19"/>
        <v>0</v>
      </c>
      <c r="I91" s="160">
        <f t="shared" si="19"/>
        <v>-3718307.1289999825</v>
      </c>
      <c r="J91" s="160">
        <f t="shared" si="19"/>
        <v>0</v>
      </c>
      <c r="K91" s="160">
        <f t="shared" si="19"/>
        <v>3437260.4119999981</v>
      </c>
      <c r="L91" s="160">
        <f t="shared" si="19"/>
        <v>0</v>
      </c>
      <c r="M91" s="160">
        <f t="shared" si="19"/>
        <v>-2134461.443</v>
      </c>
      <c r="N91" s="160">
        <f t="shared" ref="N91:AE91" si="20">+N82+N89</f>
        <v>0</v>
      </c>
      <c r="O91" s="160">
        <f t="shared" si="20"/>
        <v>4171633.9249999924</v>
      </c>
      <c r="P91" s="160">
        <f t="shared" si="20"/>
        <v>0</v>
      </c>
      <c r="Q91" s="160">
        <f t="shared" si="20"/>
        <v>1661596.8200000005</v>
      </c>
      <c r="R91" s="160">
        <f t="shared" si="20"/>
        <v>0</v>
      </c>
      <c r="S91" s="160">
        <f t="shared" si="20"/>
        <v>-881858.58000000007</v>
      </c>
      <c r="T91" s="160">
        <f t="shared" si="20"/>
        <v>0</v>
      </c>
      <c r="U91" s="160">
        <f t="shared" si="20"/>
        <v>374097.64000000054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E75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/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>SUM(L11:L15)</f>
        <v>0</v>
      </c>
      <c r="M16" s="61">
        <f>SUM(M11:M15)</f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>SUM(L19:L23)</f>
        <v>0</v>
      </c>
      <c r="M24" s="61">
        <f>SUM(M19:M23)</f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>SUM(L27:L28)</f>
        <v>0</v>
      </c>
      <c r="M29" s="61">
        <f>SUM(M27:M28)</f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>SUM(L32:L35)</f>
        <v>0</v>
      </c>
      <c r="M36" s="61">
        <f>SUM(M32:M35)</f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>SUM(L40:L41)</f>
        <v>0</v>
      </c>
      <c r="M42" s="61">
        <f>SUM(M40:M41)</f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>L42+L39</f>
        <v>0</v>
      </c>
      <c r="M43" s="61">
        <f>M42+M39</f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>SUM(L54:L55)</f>
        <v>0</v>
      </c>
      <c r="M56" s="61">
        <f>SUM(M54:M55)</f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>SUM(L59:L60)</f>
        <v>0</v>
      </c>
      <c r="M61" s="61">
        <f>SUM(M59:M60)</f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>SUM(L64:L65)</f>
        <v>0</v>
      </c>
      <c r="M66" s="61">
        <f>SUM(M64:M65)</f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>SUM(L70:L71)</f>
        <v>0</v>
      </c>
      <c r="M72" s="61">
        <f>SUM(M70:M71)</f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M79" activePane="bottomRight" state="frozen"/>
      <selection activeCell="T9" sqref="T9"/>
      <selection pane="topRight" activeCell="T9" sqref="T9"/>
      <selection pane="bottomLeft" activeCell="T9" sqref="T9"/>
      <selection pane="bottomRight" activeCell="T98" sqref="T9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13920745</v>
      </c>
      <c r="E11" s="38">
        <f>SUM(G11,I11,K11,M11,O11,Q11,S11,U11,W11,Y11,AA11,AC11,AE11)</f>
        <v>37894908.189999998</v>
      </c>
      <c r="F11" s="60">
        <f>'TIE-OUT'!V11+RECLASS!T11</f>
        <v>0</v>
      </c>
      <c r="G11" s="38">
        <f>'TIE-OUT'!W11+RECLASS!U11</f>
        <v>0</v>
      </c>
      <c r="H11" s="118">
        <f>+Actuals!E444</f>
        <v>14094413</v>
      </c>
      <c r="I11" s="119">
        <f>+Actuals!F444</f>
        <v>38590088.68</v>
      </c>
      <c r="J11" s="118">
        <f>+Actuals!G444</f>
        <v>-239972</v>
      </c>
      <c r="K11" s="119">
        <f>+Actuals!H444</f>
        <v>-794636.36</v>
      </c>
      <c r="L11" s="118">
        <f>+Actuals!I444</f>
        <v>60989</v>
      </c>
      <c r="M11" s="119">
        <f>+Actuals!J444</f>
        <v>171297.78</v>
      </c>
      <c r="N11" s="118">
        <f>+Actuals!K444</f>
        <v>-21258</v>
      </c>
      <c r="O11" s="119">
        <f>+Actuals!L444</f>
        <v>-138251.85</v>
      </c>
      <c r="P11" s="118">
        <v>4366</v>
      </c>
      <c r="Q11" s="119">
        <v>11931.43</v>
      </c>
      <c r="R11" s="118">
        <v>22207</v>
      </c>
      <c r="S11" s="119">
        <v>54478.51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-3186873.06</v>
      </c>
      <c r="F12" s="60">
        <f>'TIE-OUT'!V12+RECLASS!T12</f>
        <v>0</v>
      </c>
      <c r="G12" s="38">
        <f>'TIE-OUT'!W12+RECLASS!U12</f>
        <v>-3186873.06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</f>
        <v>0</v>
      </c>
      <c r="L12" s="118">
        <f>+Actuals!I445</f>
        <v>0</v>
      </c>
      <c r="M12" s="215"/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15365272</v>
      </c>
      <c r="E13" s="38">
        <f t="shared" si="0"/>
        <v>42696439</v>
      </c>
      <c r="F13" s="60">
        <f>'TIE-OUT'!V13+RECLASS!T13</f>
        <v>0</v>
      </c>
      <c r="G13" s="38">
        <f>'TIE-OUT'!W13+RECLASS!U13</f>
        <v>0</v>
      </c>
      <c r="H13" s="118">
        <f>+Actuals!E446</f>
        <v>429232</v>
      </c>
      <c r="I13" s="119">
        <f>+Actuals!F446</f>
        <v>1157267</v>
      </c>
      <c r="J13" s="118">
        <f>+Actuals!G446</f>
        <v>0</v>
      </c>
      <c r="K13" s="119">
        <f>+Actuals!H446</f>
        <v>0</v>
      </c>
      <c r="L13" s="118">
        <f>+Actuals!I446</f>
        <v>0</v>
      </c>
      <c r="M13" s="119">
        <f>+Actuals!J446</f>
        <v>0</v>
      </c>
      <c r="N13" s="118">
        <f>+Actuals!K446</f>
        <v>14936040</v>
      </c>
      <c r="O13" s="119">
        <f>+Actuals!L446</f>
        <v>41539172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1876275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1875810</v>
      </c>
      <c r="J15" s="118">
        <f>+Actuals!G448</f>
        <v>0</v>
      </c>
      <c r="K15" s="119">
        <f>+Actuals!H448</f>
        <v>465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29286017</v>
      </c>
      <c r="E16" s="39">
        <f t="shared" si="1"/>
        <v>79280749.129999995</v>
      </c>
      <c r="F16" s="61">
        <f t="shared" si="1"/>
        <v>0</v>
      </c>
      <c r="G16" s="39">
        <f t="shared" si="1"/>
        <v>-3186873.06</v>
      </c>
      <c r="H16" s="61">
        <f t="shared" si="1"/>
        <v>14523645</v>
      </c>
      <c r="I16" s="39">
        <f t="shared" si="1"/>
        <v>41623165.68</v>
      </c>
      <c r="J16" s="61">
        <f t="shared" ref="J16:AO16" si="2">SUM(J11:J15)</f>
        <v>-239972</v>
      </c>
      <c r="K16" s="39">
        <f t="shared" si="2"/>
        <v>-794171.36</v>
      </c>
      <c r="L16" s="61">
        <f>SUM(L11:L15)</f>
        <v>60989</v>
      </c>
      <c r="M16" s="39">
        <f>SUM(M11:M15)</f>
        <v>171297.78</v>
      </c>
      <c r="N16" s="61">
        <f t="shared" si="2"/>
        <v>14914782</v>
      </c>
      <c r="O16" s="39">
        <f t="shared" si="2"/>
        <v>41400920.149999999</v>
      </c>
      <c r="P16" s="61">
        <f t="shared" si="2"/>
        <v>4366</v>
      </c>
      <c r="Q16" s="39">
        <f t="shared" si="2"/>
        <v>11931.43</v>
      </c>
      <c r="R16" s="61">
        <f t="shared" si="2"/>
        <v>22207</v>
      </c>
      <c r="S16" s="39">
        <f t="shared" si="2"/>
        <v>54478.51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-4732344</v>
      </c>
      <c r="E19" s="38">
        <f t="shared" si="3"/>
        <v>-12077345.52</v>
      </c>
      <c r="F19" s="64">
        <f>'TIE-OUT'!V19+RECLASS!T19</f>
        <v>0</v>
      </c>
      <c r="G19" s="68">
        <f>'TIE-OUT'!W19+RECLASS!U19</f>
        <v>0</v>
      </c>
      <c r="H19" s="118">
        <f>+Actuals!E449</f>
        <v>-4564560</v>
      </c>
      <c r="I19" s="119">
        <f>+Actuals!F449</f>
        <v>-11643619.66</v>
      </c>
      <c r="J19" s="118">
        <f>+Actuals!G449</f>
        <v>-130571</v>
      </c>
      <c r="K19" s="119">
        <f>+Actuals!H449</f>
        <v>-335409.28999999998</v>
      </c>
      <c r="L19" s="118">
        <f>+Actuals!I449</f>
        <v>-77125</v>
      </c>
      <c r="M19" s="119">
        <f>+Actuals!J449</f>
        <v>-202596.17</v>
      </c>
      <c r="N19" s="118">
        <f>+Actuals!K449</f>
        <v>70389</v>
      </c>
      <c r="O19" s="119">
        <f>+Actuals!L449</f>
        <v>163404.44</v>
      </c>
      <c r="P19" s="118">
        <v>-3728</v>
      </c>
      <c r="Q19" s="119">
        <v>14278.53</v>
      </c>
      <c r="R19" s="118">
        <v>-25093</v>
      </c>
      <c r="S19" s="119">
        <v>-69346.17</v>
      </c>
      <c r="T19" s="118">
        <v>-1656</v>
      </c>
      <c r="U19" s="119">
        <v>-4057.2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1741459.37</v>
      </c>
      <c r="F20" s="60">
        <f>'TIE-OUT'!V20+RECLASS!T20</f>
        <v>0</v>
      </c>
      <c r="G20" s="38">
        <f>'TIE-OUT'!W20+RECLASS!U20</f>
        <v>1741459.37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215"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-15476079</v>
      </c>
      <c r="E21" s="38">
        <f t="shared" si="3"/>
        <v>-43042838</v>
      </c>
      <c r="F21" s="60">
        <f>'TIE-OUT'!V21+RECLASS!T21</f>
        <v>0</v>
      </c>
      <c r="G21" s="38">
        <f>'TIE-OUT'!W21+RECLASS!U21</f>
        <v>0</v>
      </c>
      <c r="H21" s="118">
        <f>+Actuals!E451</f>
        <v>-19000</v>
      </c>
      <c r="I21" s="119">
        <f>+Actuals!F451</f>
        <v>-50650</v>
      </c>
      <c r="J21" s="118">
        <f>+Actuals!G451</f>
        <v>-2000</v>
      </c>
      <c r="K21" s="119">
        <f>+Actuals!H451</f>
        <v>-5332</v>
      </c>
      <c r="L21" s="118">
        <f>+Actuals!I451</f>
        <v>0</v>
      </c>
      <c r="M21" s="119">
        <f>+Actuals!J451</f>
        <v>0</v>
      </c>
      <c r="N21" s="118">
        <f>+Actuals!K451</f>
        <v>-15455079</v>
      </c>
      <c r="O21" s="119">
        <f>+Actuals!L451</f>
        <v>-42986856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19392</v>
      </c>
      <c r="E23" s="38">
        <f t="shared" si="3"/>
        <v>49255.679999999993</v>
      </c>
      <c r="F23" s="81">
        <f>'TIE-OUT'!V23+RECLASS!T23</f>
        <v>0</v>
      </c>
      <c r="G23" s="82">
        <f>'TIE-OUT'!W23+RECLASS!U23</f>
        <v>0</v>
      </c>
      <c r="H23" s="118">
        <f>+Actuals!E453</f>
        <v>15521</v>
      </c>
      <c r="I23" s="119">
        <f>+Actuals!F453</f>
        <v>39423.339999999997</v>
      </c>
      <c r="J23" s="118">
        <f>+Actuals!G453</f>
        <v>3871</v>
      </c>
      <c r="K23" s="119">
        <f>+Actuals!H453</f>
        <v>9832.34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-20189031</v>
      </c>
      <c r="E24" s="39">
        <f t="shared" si="4"/>
        <v>-53329468.469999999</v>
      </c>
      <c r="F24" s="61">
        <f t="shared" si="4"/>
        <v>0</v>
      </c>
      <c r="G24" s="39">
        <f t="shared" si="4"/>
        <v>1741459.37</v>
      </c>
      <c r="H24" s="61">
        <f t="shared" si="4"/>
        <v>-4568039</v>
      </c>
      <c r="I24" s="39">
        <f t="shared" si="4"/>
        <v>-11654846.32</v>
      </c>
      <c r="J24" s="61">
        <f t="shared" ref="J24:AO24" si="5">SUM(J19:J23)</f>
        <v>-128700</v>
      </c>
      <c r="K24" s="39">
        <f t="shared" si="5"/>
        <v>-330908.94999999995</v>
      </c>
      <c r="L24" s="61">
        <f>SUM(L19:L23)</f>
        <v>-77125</v>
      </c>
      <c r="M24" s="39">
        <f>SUM(M19:M23)</f>
        <v>-202596.17</v>
      </c>
      <c r="N24" s="61">
        <f t="shared" si="5"/>
        <v>-15384690</v>
      </c>
      <c r="O24" s="39">
        <f t="shared" si="5"/>
        <v>-42823451.560000002</v>
      </c>
      <c r="P24" s="61">
        <f t="shared" si="5"/>
        <v>-3728</v>
      </c>
      <c r="Q24" s="39">
        <f t="shared" si="5"/>
        <v>14278.53</v>
      </c>
      <c r="R24" s="61">
        <f t="shared" si="5"/>
        <v>-25093</v>
      </c>
      <c r="S24" s="39">
        <f t="shared" si="5"/>
        <v>-69346.17</v>
      </c>
      <c r="T24" s="61">
        <f t="shared" si="5"/>
        <v>-1656</v>
      </c>
      <c r="U24" s="39">
        <f t="shared" si="5"/>
        <v>-4057.2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9809049</v>
      </c>
      <c r="E27" s="38">
        <f>SUM(G27,I27,K27,M27,O27,Q27,S27,U27,W27,Y27,AA27,AC27,AE27)</f>
        <v>27506921.890000001</v>
      </c>
      <c r="F27" s="64">
        <f>'TIE-OUT'!V27+RECLASS!T27</f>
        <v>0</v>
      </c>
      <c r="G27" s="68">
        <f>'TIE-OUT'!W27+RECLASS!U27</f>
        <v>0</v>
      </c>
      <c r="H27" s="118">
        <f>+Actuals!E454</f>
        <v>9231229</v>
      </c>
      <c r="I27" s="119">
        <f>+Actuals!F454</f>
        <v>25897214.210000001</v>
      </c>
      <c r="J27" s="118">
        <f>+Actuals!G454</f>
        <v>580194</v>
      </c>
      <c r="K27" s="119">
        <f>+Actuals!H454</f>
        <v>1616374.29</v>
      </c>
      <c r="L27" s="118">
        <f>+Actuals!I454</f>
        <v>44257</v>
      </c>
      <c r="M27" s="119">
        <f>+Actuals!J454</f>
        <v>124020.06</v>
      </c>
      <c r="N27" s="118">
        <f>+Actuals!K454</f>
        <v>-55715</v>
      </c>
      <c r="O27" s="119">
        <f>+Actuals!L454</f>
        <v>-156146.43</v>
      </c>
      <c r="P27" s="118">
        <f>+Actuals!M454</f>
        <v>0</v>
      </c>
      <c r="Q27" s="119">
        <f>+Actuals!N454</f>
        <v>0</v>
      </c>
      <c r="R27" s="118">
        <v>5772</v>
      </c>
      <c r="S27" s="119">
        <v>16176.78</v>
      </c>
      <c r="T27" s="118">
        <v>3312</v>
      </c>
      <c r="U27" s="119">
        <v>9282.98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-19154506</v>
      </c>
      <c r="E28" s="38">
        <f>SUM(G28,I28,K28,M28,O28,Q28,S28,U28,W28,Y28,AA28,AC28,AE28)</f>
        <v>-53684445.440000005</v>
      </c>
      <c r="F28" s="81">
        <f>'TIE-OUT'!V28+RECLASS!T28</f>
        <v>0</v>
      </c>
      <c r="G28" s="82">
        <f>'TIE-OUT'!W28+RECLASS!U28</f>
        <v>0</v>
      </c>
      <c r="H28" s="118">
        <f>+Actuals!E455</f>
        <v>-10208075</v>
      </c>
      <c r="I28" s="119">
        <f>+Actuals!F455</f>
        <v>-28614529.800000001</v>
      </c>
      <c r="J28" s="118">
        <f>+Actuals!G455</f>
        <v>-8919714</v>
      </c>
      <c r="K28" s="119">
        <f>+Actuals!H455</f>
        <v>-24996958.199999999</v>
      </c>
      <c r="L28" s="118">
        <f>+Actuals!I455</f>
        <v>-5161</v>
      </c>
      <c r="M28" s="119">
        <f>+Actuals!J455</f>
        <v>-14142.09</v>
      </c>
      <c r="N28" s="118">
        <f>+Actuals!K455</f>
        <v>-16407</v>
      </c>
      <c r="O28" s="119">
        <f>+Actuals!L455</f>
        <v>-46133.39</v>
      </c>
      <c r="P28" s="118">
        <v>55</v>
      </c>
      <c r="Q28" s="119">
        <v>1903.85</v>
      </c>
      <c r="R28" s="118">
        <v>-3548</v>
      </c>
      <c r="S28" s="119">
        <v>-9943.9599999999991</v>
      </c>
      <c r="T28" s="118">
        <v>-1656</v>
      </c>
      <c r="U28" s="119">
        <v>-4641.8500000000004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-9345457</v>
      </c>
      <c r="E29" s="39">
        <f t="shared" si="6"/>
        <v>-26177523.550000004</v>
      </c>
      <c r="F29" s="61">
        <f t="shared" si="6"/>
        <v>0</v>
      </c>
      <c r="G29" s="39">
        <f t="shared" si="6"/>
        <v>0</v>
      </c>
      <c r="H29" s="61">
        <f t="shared" si="6"/>
        <v>-976846</v>
      </c>
      <c r="I29" s="39">
        <f t="shared" si="6"/>
        <v>-2717315.59</v>
      </c>
      <c r="J29" s="61">
        <f t="shared" ref="J29:AO29" si="7">SUM(J27:J28)</f>
        <v>-8339520</v>
      </c>
      <c r="K29" s="39">
        <f t="shared" si="7"/>
        <v>-23380583.91</v>
      </c>
      <c r="L29" s="61">
        <f>SUM(L27:L28)</f>
        <v>39096</v>
      </c>
      <c r="M29" s="39">
        <f>SUM(M27:M28)</f>
        <v>109877.97</v>
      </c>
      <c r="N29" s="61">
        <f t="shared" si="7"/>
        <v>-72122</v>
      </c>
      <c r="O29" s="39">
        <f t="shared" si="7"/>
        <v>-202279.82</v>
      </c>
      <c r="P29" s="61">
        <f t="shared" si="7"/>
        <v>55</v>
      </c>
      <c r="Q29" s="39">
        <f t="shared" si="7"/>
        <v>1903.85</v>
      </c>
      <c r="R29" s="61">
        <f t="shared" si="7"/>
        <v>2224</v>
      </c>
      <c r="S29" s="39">
        <f t="shared" si="7"/>
        <v>6232.8200000000015</v>
      </c>
      <c r="T29" s="61">
        <f t="shared" si="7"/>
        <v>1656</v>
      </c>
      <c r="U29" s="39">
        <f t="shared" si="7"/>
        <v>4641.1299999999992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-3654</v>
      </c>
      <c r="E32" s="38">
        <f t="shared" si="8"/>
        <v>-9281.1599999999071</v>
      </c>
      <c r="F32" s="64">
        <f>'TIE-OUT'!V32+RECLASS!T32</f>
        <v>0</v>
      </c>
      <c r="G32" s="68">
        <f>'TIE-OUT'!W32+RECLASS!U32</f>
        <v>0</v>
      </c>
      <c r="H32" s="118">
        <f>+Actuals!E456</f>
        <v>-8940288</v>
      </c>
      <c r="I32" s="119">
        <f>+Actuals!F456</f>
        <v>-22708331.52</v>
      </c>
      <c r="J32" s="118">
        <f>+Actuals!G456</f>
        <v>8705392</v>
      </c>
      <c r="K32" s="119">
        <f>+Actuals!H456</f>
        <v>22111695.68</v>
      </c>
      <c r="L32" s="118">
        <f>+Actuals!I456</f>
        <v>231211</v>
      </c>
      <c r="M32" s="119">
        <f>+Actuals!J456</f>
        <v>587275.93999999994</v>
      </c>
      <c r="N32" s="118">
        <f>+Actuals!K456</f>
        <v>62</v>
      </c>
      <c r="O32" s="119">
        <f>+Actuals!L456</f>
        <v>157.47999999999999</v>
      </c>
      <c r="P32" s="118">
        <v>-693</v>
      </c>
      <c r="Q32" s="119">
        <v>-1760.22</v>
      </c>
      <c r="R32" s="118">
        <v>662</v>
      </c>
      <c r="S32" s="119">
        <v>1681.48</v>
      </c>
      <c r="T32" s="118">
        <v>0</v>
      </c>
      <c r="U32" s="119"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-3654</v>
      </c>
      <c r="E36" s="39">
        <f t="shared" si="9"/>
        <v>-9281.1599999999071</v>
      </c>
      <c r="F36" s="61">
        <f t="shared" si="9"/>
        <v>0</v>
      </c>
      <c r="G36" s="39">
        <f t="shared" si="9"/>
        <v>0</v>
      </c>
      <c r="H36" s="61">
        <f t="shared" si="9"/>
        <v>-8940288</v>
      </c>
      <c r="I36" s="39">
        <f t="shared" si="9"/>
        <v>-22708331.52</v>
      </c>
      <c r="J36" s="61">
        <f t="shared" ref="J36:AO36" si="10">SUM(J32:J35)</f>
        <v>8705392</v>
      </c>
      <c r="K36" s="39">
        <f t="shared" si="10"/>
        <v>22111695.68</v>
      </c>
      <c r="L36" s="61">
        <f>SUM(L32:L35)</f>
        <v>231211</v>
      </c>
      <c r="M36" s="39">
        <f>SUM(M32:M35)</f>
        <v>587275.93999999994</v>
      </c>
      <c r="N36" s="61">
        <f t="shared" si="10"/>
        <v>62</v>
      </c>
      <c r="O36" s="39">
        <f t="shared" si="10"/>
        <v>157.47999999999999</v>
      </c>
      <c r="P36" s="61">
        <f t="shared" si="10"/>
        <v>-693</v>
      </c>
      <c r="Q36" s="39">
        <f t="shared" si="10"/>
        <v>-1760.22</v>
      </c>
      <c r="R36" s="61">
        <f t="shared" si="10"/>
        <v>662</v>
      </c>
      <c r="S36" s="39">
        <f t="shared" si="10"/>
        <v>1681.48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171553</v>
      </c>
      <c r="E39" s="38">
        <f t="shared" si="11"/>
        <v>435744.62</v>
      </c>
      <c r="F39" s="64">
        <f>'TIE-OUT'!V39+RECLASS!T39</f>
        <v>0</v>
      </c>
      <c r="G39" s="68">
        <f>'TIE-OUT'!W39+RECLASS!U39</f>
        <v>0</v>
      </c>
      <c r="H39" s="118">
        <f>+Actuals!E460</f>
        <v>173286</v>
      </c>
      <c r="I39" s="119">
        <f>+Actuals!F460</f>
        <v>440146.44</v>
      </c>
      <c r="J39" s="118">
        <f>+Actuals!G460</f>
        <v>-1733</v>
      </c>
      <c r="K39" s="119">
        <f>+Actuals!H460</f>
        <v>-4401.82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-231242</v>
      </c>
      <c r="E40" s="38">
        <f t="shared" si="11"/>
        <v>-546846.22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-231242</v>
      </c>
      <c r="M40" s="119">
        <f>+Actuals!J461</f>
        <v>-546846.22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-231242</v>
      </c>
      <c r="E42" s="39">
        <f t="shared" si="12"/>
        <v>-546846.22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-231242</v>
      </c>
      <c r="M42" s="39">
        <f>SUM(M40:M41)</f>
        <v>-546846.22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-59689</v>
      </c>
      <c r="E43" s="39">
        <f t="shared" si="14"/>
        <v>-111101.59999999998</v>
      </c>
      <c r="F43" s="61">
        <f t="shared" si="14"/>
        <v>0</v>
      </c>
      <c r="G43" s="39">
        <f t="shared" si="14"/>
        <v>0</v>
      </c>
      <c r="H43" s="61">
        <f t="shared" si="14"/>
        <v>173286</v>
      </c>
      <c r="I43" s="39">
        <f t="shared" si="14"/>
        <v>440146.44</v>
      </c>
      <c r="J43" s="61">
        <f t="shared" ref="J43:AO43" si="15">J42+J39</f>
        <v>-1733</v>
      </c>
      <c r="K43" s="39">
        <f t="shared" si="15"/>
        <v>-4401.82</v>
      </c>
      <c r="L43" s="61">
        <f>L42+L39</f>
        <v>-231242</v>
      </c>
      <c r="M43" s="39">
        <f>M42+M39</f>
        <v>-546846.22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311814</v>
      </c>
      <c r="E49" s="38">
        <f>SUM(G49,I49,K49,M49,O49,Q49,S49,U49,W49,Y49,AA49,AC49,AE49)</f>
        <v>792007.55999999994</v>
      </c>
      <c r="F49" s="60">
        <f>'TIE-OUT'!V49+RECLASS!T49</f>
        <v>0</v>
      </c>
      <c r="G49" s="38">
        <f>'TIE-OUT'!W49+RECLASS!U49</f>
        <v>0</v>
      </c>
      <c r="H49" s="118">
        <f>+Actuals!E465</f>
        <v>-211758</v>
      </c>
      <c r="I49" s="119">
        <f>+Actuals!F465</f>
        <v>-537865.31999999995</v>
      </c>
      <c r="J49" s="118">
        <f>+Actuals!G465</f>
        <v>4533</v>
      </c>
      <c r="K49" s="119">
        <f>+Actuals!H465</f>
        <v>11513.819999999949</v>
      </c>
      <c r="L49" s="118">
        <f>+Actuals!I465</f>
        <v>-22929</v>
      </c>
      <c r="M49" s="119">
        <f>+Actuals!J465</f>
        <v>-58239.66</v>
      </c>
      <c r="N49" s="118">
        <f>+Actuals!K465</f>
        <v>541968</v>
      </c>
      <c r="O49" s="119">
        <f>+Actuals!L465</f>
        <v>1376598.72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v>0</v>
      </c>
      <c r="U49" s="119"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'TIE-OUT'!V51+RECLASS!T51</f>
        <v>0</v>
      </c>
      <c r="G51" s="38">
        <f>'TIE-OUT'!W51+RECLASS!U51</f>
        <v>0</v>
      </c>
      <c r="H51" s="118">
        <f>+Actuals!E466</f>
        <v>-15521</v>
      </c>
      <c r="I51" s="119">
        <f>+Actuals!F466</f>
        <v>-39423.339999999997</v>
      </c>
      <c r="J51" s="118">
        <f>+Actuals!G466</f>
        <v>-3871</v>
      </c>
      <c r="K51" s="119">
        <f>+Actuals!H466</f>
        <v>-9832.34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-18627783</v>
      </c>
      <c r="E54" s="38">
        <f>SUM(G54,I54,K54,M54,O54,Q54,S54,U54,W54,Y54,AA54,AC54,AE54)</f>
        <v>-341614.25</v>
      </c>
      <c r="F54" s="64">
        <f>'TIE-OUT'!V54+RECLASS!T54</f>
        <v>0</v>
      </c>
      <c r="G54" s="68">
        <f>'TIE-OUT'!W54+RECLASS!U54</f>
        <v>0</v>
      </c>
      <c r="H54" s="118">
        <f>+Actuals!E467</f>
        <v>-9443043</v>
      </c>
      <c r="I54" s="119">
        <f>+Actuals!F467</f>
        <v>-206392.49</v>
      </c>
      <c r="J54" s="118">
        <f>+Actuals!G467</f>
        <v>-9162445</v>
      </c>
      <c r="K54" s="119">
        <f>+Actuals!H467</f>
        <v>-130383.37</v>
      </c>
      <c r="L54" s="118">
        <f>+Actuals!I467</f>
        <v>-22274</v>
      </c>
      <c r="M54" s="119">
        <f>+Actuals!J467</f>
        <v>-623.58000000000004</v>
      </c>
      <c r="N54" s="118">
        <f>+Actuals!K467</f>
        <v>0</v>
      </c>
      <c r="O54" s="119">
        <f>+Actuals!L467</f>
        <v>-0.47</v>
      </c>
      <c r="P54" s="118">
        <v>-21</v>
      </c>
      <c r="Q54" s="119">
        <v>12.57</v>
      </c>
      <c r="R54" s="118"/>
      <c r="S54" s="119">
        <v>-4214.57</v>
      </c>
      <c r="T54" s="118">
        <f>+Actuals!Q467</f>
        <v>0</v>
      </c>
      <c r="U54" s="119">
        <v>-12.34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-662</v>
      </c>
      <c r="E55" s="38">
        <f>SUM(G55,I55,K55,M55,O55,Q55,S55,U55,W55,Y55,AA55,AC55,AE55)</f>
        <v>-174310.09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-166300</v>
      </c>
      <c r="J55" s="118">
        <f>+Actuals!G468</f>
        <v>0</v>
      </c>
      <c r="K55" s="119">
        <f>+Actuals!H468</f>
        <v>-8000</v>
      </c>
      <c r="L55" s="118">
        <f>+Actuals!I468</f>
        <v>0</v>
      </c>
      <c r="M55" s="119">
        <f>+Actuals!J468</f>
        <v>30000</v>
      </c>
      <c r="N55" s="118">
        <f>+Actuals!K468</f>
        <v>0</v>
      </c>
      <c r="O55" s="119">
        <f>+Actuals!L468</f>
        <v>-30000</v>
      </c>
      <c r="P55" s="118">
        <f>+Actuals!M468</f>
        <v>0</v>
      </c>
      <c r="Q55" s="119">
        <f>+Actuals!N468</f>
        <v>0</v>
      </c>
      <c r="R55" s="118">
        <v>-662</v>
      </c>
      <c r="S55" s="119">
        <v>-10.09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-18628445</v>
      </c>
      <c r="E56" s="39">
        <f t="shared" si="16"/>
        <v>-515924.33999999997</v>
      </c>
      <c r="F56" s="61">
        <f t="shared" si="16"/>
        <v>0</v>
      </c>
      <c r="G56" s="39">
        <f t="shared" si="16"/>
        <v>0</v>
      </c>
      <c r="H56" s="61">
        <f t="shared" si="16"/>
        <v>-9443043</v>
      </c>
      <c r="I56" s="39">
        <f t="shared" si="16"/>
        <v>-372692.49</v>
      </c>
      <c r="J56" s="61">
        <f t="shared" ref="J56:AO56" si="17">SUM(J54:J55)</f>
        <v>-9162445</v>
      </c>
      <c r="K56" s="39">
        <f t="shared" si="17"/>
        <v>-138383.37</v>
      </c>
      <c r="L56" s="61">
        <f>SUM(L54:L55)</f>
        <v>-22274</v>
      </c>
      <c r="M56" s="39">
        <f>SUM(M54:M55)</f>
        <v>29376.42</v>
      </c>
      <c r="N56" s="61">
        <f t="shared" si="17"/>
        <v>0</v>
      </c>
      <c r="O56" s="39">
        <f t="shared" si="17"/>
        <v>-30000.47</v>
      </c>
      <c r="P56" s="61">
        <f t="shared" si="17"/>
        <v>-21</v>
      </c>
      <c r="Q56" s="39">
        <f t="shared" si="17"/>
        <v>12.57</v>
      </c>
      <c r="R56" s="61">
        <f t="shared" si="17"/>
        <v>-662</v>
      </c>
      <c r="S56" s="39">
        <f t="shared" si="17"/>
        <v>-4224.66</v>
      </c>
      <c r="T56" s="61">
        <f t="shared" si="17"/>
        <v>0</v>
      </c>
      <c r="U56" s="39">
        <f t="shared" si="17"/>
        <v>-12.34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-547.69000000000005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-546.73</v>
      </c>
      <c r="L64" s="118">
        <f>+Actuals!I471</f>
        <v>0</v>
      </c>
      <c r="M64" s="119">
        <f>+Actuals!J471</f>
        <v>-0.96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-547.69000000000005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-546.73</v>
      </c>
      <c r="L66" s="61">
        <f>SUM(L64:L65)</f>
        <v>0</v>
      </c>
      <c r="M66" s="39">
        <f>SUM(M64:M65)</f>
        <v>-0.96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'TIE-OUT'!V70+RECLASS!T70</f>
        <v>0</v>
      </c>
      <c r="G70" s="68">
        <f>'TIE-OUT'!W70+RECLASS!U70</f>
        <v>-8691498.1899999995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'TIE-OUT'!V71+RECLASS!T71</f>
        <v>0</v>
      </c>
      <c r="G71" s="82">
        <f>'TIE-OUT'!W71+RECLASS!U71</f>
        <v>7489614.6200000001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-1201883.5699999994</v>
      </c>
      <c r="F72" s="61">
        <f t="shared" si="22"/>
        <v>0</v>
      </c>
      <c r="G72" s="39">
        <f t="shared" si="22"/>
        <v>-1201883.5699999994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-63468.65</v>
      </c>
      <c r="F74" s="60">
        <f>'TIE-OUT'!V74+RECLASS!T74</f>
        <v>0</v>
      </c>
      <c r="G74" s="60">
        <f>'TIE-OUT'!W74+RECLASS!U74</f>
        <v>-63468.65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2600</v>
      </c>
      <c r="F75" s="60">
        <f>'TIE-OUT'!V75+RECLASS!T75</f>
        <v>0</v>
      </c>
      <c r="G75" s="60">
        <f>'TIE-OUT'!W75+RECLASS!U75</f>
        <v>2600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-2726.01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-1075</v>
      </c>
      <c r="J76" s="118">
        <f>+Actuals!G478</f>
        <v>0</v>
      </c>
      <c r="K76" s="119">
        <f>+Actuals!H478</f>
        <v>-1651.01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-1385824.0300000119</v>
      </c>
      <c r="F82" s="91">
        <f>F16+F24+F29+F36+F43+F45+F47+F49</f>
        <v>0</v>
      </c>
      <c r="G82" s="92">
        <f>SUM(G72:G81)+G16+G24+G29+G36+G43+G45+G47+G49+G51+G56+G61+G66</f>
        <v>-2708165.9099999992</v>
      </c>
      <c r="H82" s="91">
        <f>H16+H24+H29+H36+H43+H45+H47+H49</f>
        <v>0</v>
      </c>
      <c r="I82" s="92">
        <f>SUM(I72:I81)+I16+I24+I29+I36+I43+I45+I47+I49+I51+I56+I61+I66</f>
        <v>4031762.54</v>
      </c>
      <c r="J82" s="91">
        <f>J16+J24+J29+J36+J43+J45+J47+J49</f>
        <v>0</v>
      </c>
      <c r="K82" s="140">
        <f>SUM(K72:K81)+K16+K24+K29+K36+K43+K45+K47+K49+K51+K56+K61+K66</f>
        <v>-2537269.9900000007</v>
      </c>
      <c r="L82" s="91">
        <f>L16+L24+L29+L36+L43+L45+L47+L49</f>
        <v>0</v>
      </c>
      <c r="M82" s="140">
        <f>SUM(M72:M81)+M16+M24+M29+M36+M43+M45+M47+M49+M51+M56+M61+M66</f>
        <v>90145.099999999919</v>
      </c>
      <c r="N82" s="91">
        <f>N16+N24+N29+N36+N43+N45+N47+N49</f>
        <v>0</v>
      </c>
      <c r="O82" s="92">
        <f>SUM(O72:O81)+O16+O24+O29+O36+O43+O45+O47+O49+O51+O56+O61+O66</f>
        <v>-278055.50000000396</v>
      </c>
      <c r="P82" s="91">
        <f>P16+P24+P29+P36+P43+P45+P47+P49</f>
        <v>0</v>
      </c>
      <c r="Q82" s="92">
        <f>SUM(Q72:Q81)+Q16+Q24+Q29+Q36+Q43+Q45+Q47+Q49+Q51+Q56+Q61+Q66</f>
        <v>26366.159999999996</v>
      </c>
      <c r="R82" s="91">
        <f>R16+R24+R29+R36+R43+R45+R47+R49</f>
        <v>0</v>
      </c>
      <c r="S82" s="92">
        <f>SUM(S72:S81)+S16+S24+S29+S36+S43+S45+S47+S49+S51+S56+S61+S66</f>
        <v>-11178.019999999995</v>
      </c>
      <c r="T82" s="91">
        <f>T16+T24+T29+T36+T43+T45+T47+T49</f>
        <v>0</v>
      </c>
      <c r="U82" s="92">
        <f>SUM(U72:U81)+U16+U24+U29+U36+U43+U45+U47+U49+U51+U56+U61+U66</f>
        <v>571.58999999999935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-1385824.0300000119</v>
      </c>
      <c r="F91" s="155">
        <f t="shared" si="29"/>
        <v>0</v>
      </c>
      <c r="G91" s="155">
        <f t="shared" si="29"/>
        <v>-2708165.9099999992</v>
      </c>
      <c r="H91" s="155">
        <f t="shared" si="29"/>
        <v>0</v>
      </c>
      <c r="I91" s="155">
        <f t="shared" si="29"/>
        <v>4031762.54</v>
      </c>
      <c r="J91" s="155">
        <f t="shared" si="29"/>
        <v>0</v>
      </c>
      <c r="K91" s="155">
        <f t="shared" si="29"/>
        <v>-2537269.9900000007</v>
      </c>
      <c r="L91" s="155">
        <f t="shared" si="29"/>
        <v>0</v>
      </c>
      <c r="M91" s="155">
        <f t="shared" si="29"/>
        <v>90145.099999999919</v>
      </c>
      <c r="N91" s="155">
        <f t="shared" ref="N91:AE91" si="30">+N82+N89</f>
        <v>0</v>
      </c>
      <c r="O91" s="155">
        <f t="shared" si="30"/>
        <v>-278055.50000000396</v>
      </c>
      <c r="P91" s="155">
        <f t="shared" si="30"/>
        <v>0</v>
      </c>
      <c r="Q91" s="155">
        <f t="shared" si="30"/>
        <v>26366.159999999996</v>
      </c>
      <c r="R91" s="155">
        <f t="shared" si="30"/>
        <v>0</v>
      </c>
      <c r="S91" s="155">
        <f t="shared" si="30"/>
        <v>-11178.019999999995</v>
      </c>
      <c r="T91" s="155">
        <f t="shared" si="30"/>
        <v>0</v>
      </c>
      <c r="U91" s="155">
        <f t="shared" si="30"/>
        <v>571.58999999999935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M10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135076</v>
      </c>
      <c r="E11" s="38">
        <f>SUM(G11,I11,K11,M11,O11,Q11,S11,U11,W11,Y11,AA11,AC11,AE11)</f>
        <v>354034.19999999995</v>
      </c>
      <c r="F11" s="60">
        <f>'TIE-OUT'!T11+RECLASS!R11</f>
        <v>0</v>
      </c>
      <c r="G11" s="38">
        <f>'TIE-OUT'!U11+RECLASS!S11</f>
        <v>0</v>
      </c>
      <c r="H11" s="118">
        <f>+Actuals!E4</f>
        <v>134382</v>
      </c>
      <c r="I11" s="119">
        <f>+Actuals!F4</f>
        <v>352215.22</v>
      </c>
      <c r="J11" s="118">
        <f>+Actuals!G4</f>
        <v>694</v>
      </c>
      <c r="K11" s="119">
        <f>+Actuals!H4</f>
        <v>1818.98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-2901.6</v>
      </c>
      <c r="F12" s="60">
        <f>'TIE-OUT'!T12+RECLASS!R12</f>
        <v>0</v>
      </c>
      <c r="G12" s="38">
        <f>'TIE-OUT'!U12+RECLASS!S12</f>
        <v>-2901.6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/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135076</v>
      </c>
      <c r="E16" s="39">
        <f t="shared" si="1"/>
        <v>351132.6</v>
      </c>
      <c r="F16" s="61">
        <f t="shared" si="1"/>
        <v>0</v>
      </c>
      <c r="G16" s="39">
        <f t="shared" si="1"/>
        <v>-2901.6</v>
      </c>
      <c r="H16" s="61">
        <f t="shared" si="1"/>
        <v>134382</v>
      </c>
      <c r="I16" s="39">
        <f t="shared" si="1"/>
        <v>352215.22</v>
      </c>
      <c r="J16" s="61">
        <f t="shared" si="1"/>
        <v>694</v>
      </c>
      <c r="K16" s="39">
        <f t="shared" si="1"/>
        <v>1818.98</v>
      </c>
      <c r="L16" s="61">
        <f>SUM(L11:L15)</f>
        <v>0</v>
      </c>
      <c r="M16" s="39">
        <f>SUM(M11:M15)</f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740.04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+Actuals!F9-248769</f>
        <v>-248769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+Actuals!J9+248769</f>
        <v>248769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v>-740.04</v>
      </c>
      <c r="R19" s="118">
        <f>+Actuals!O9</f>
        <v>0</v>
      </c>
      <c r="S19" s="119">
        <v>1480.08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740.04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-248769</v>
      </c>
      <c r="J24" s="61">
        <f t="shared" si="3"/>
        <v>0</v>
      </c>
      <c r="K24" s="39">
        <f t="shared" si="3"/>
        <v>0</v>
      </c>
      <c r="L24" s="61">
        <f>SUM(L19:L23)</f>
        <v>0</v>
      </c>
      <c r="M24" s="39">
        <f>SUM(M19:M23)</f>
        <v>248769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-740.04</v>
      </c>
      <c r="R24" s="61">
        <f t="shared" si="3"/>
        <v>0</v>
      </c>
      <c r="S24" s="39">
        <f t="shared" si="3"/>
        <v>1480.08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-135076</v>
      </c>
      <c r="E28" s="38">
        <f>SUM(G28,I28,K28,M28,O28,Q28,S28,U28,W28,Y28,AA28,AC28,AE28)</f>
        <v>-351197.60000000003</v>
      </c>
      <c r="F28" s="81">
        <f>'TIE-OUT'!T28+RECLASS!R28</f>
        <v>0</v>
      </c>
      <c r="G28" s="82">
        <f>'TIE-OUT'!U28+RECLASS!S28</f>
        <v>0</v>
      </c>
      <c r="H28" s="118">
        <f>+Actuals!E15</f>
        <v>-134382</v>
      </c>
      <c r="I28" s="119">
        <f>+Actuals!F15</f>
        <v>-349393.2</v>
      </c>
      <c r="J28" s="118">
        <f>+Actuals!G15</f>
        <v>-694</v>
      </c>
      <c r="K28" s="119">
        <f>+Actuals!H15</f>
        <v>-1804.4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-135076</v>
      </c>
      <c r="E29" s="39">
        <f t="shared" si="4"/>
        <v>-351197.60000000003</v>
      </c>
      <c r="F29" s="61">
        <f t="shared" si="4"/>
        <v>0</v>
      </c>
      <c r="G29" s="39">
        <f t="shared" si="4"/>
        <v>0</v>
      </c>
      <c r="H29" s="61">
        <f t="shared" si="4"/>
        <v>-134382</v>
      </c>
      <c r="I29" s="39">
        <f t="shared" si="4"/>
        <v>-349393.2</v>
      </c>
      <c r="J29" s="61">
        <f t="shared" si="4"/>
        <v>-694</v>
      </c>
      <c r="K29" s="39">
        <f t="shared" si="4"/>
        <v>-1804.4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>SUM(L32:L35)</f>
        <v>0</v>
      </c>
      <c r="M36" s="39">
        <f>SUM(M32:M35)</f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-0.40000000000145519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+Actuals!J24-25065</f>
        <v>-0.40000000000145519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674.63999999991938</v>
      </c>
      <c r="F82" s="91">
        <f>F16+F24+F29+F36+F43+F45+F47+F49</f>
        <v>0</v>
      </c>
      <c r="G82" s="92">
        <f>SUM(G72:G81)+G16+G24+G29+G36+G43+G45+G47+G49+G51+G56+G61+G66</f>
        <v>-2901.6</v>
      </c>
      <c r="H82" s="91">
        <f>H16+H24+H29+H36+H43+H45+H47+H49</f>
        <v>0</v>
      </c>
      <c r="I82" s="92">
        <f>SUM(I72:I81)+I16+I24+I29+I36+I43+I45+I47+I49+I51+I56+I61+I66</f>
        <v>-245946.98000000004</v>
      </c>
      <c r="J82" s="91">
        <f>J16+J24+J29+J36+J43+J45+J47+J49</f>
        <v>0</v>
      </c>
      <c r="K82" s="110">
        <f>SUM(K72:K81)+K16+K24+K29+K36+K43+K45+K47+K49+K51+K56+K61+K66</f>
        <v>14.579999999999927</v>
      </c>
      <c r="L82" s="91">
        <f>L16+L24+L29+L36+L43+L45+L47+L49</f>
        <v>0</v>
      </c>
      <c r="M82" s="110">
        <f>SUM(M72:M81)+M16+M24+M29+M36+M43+M45+M47+M49+M51+M56+M61+M66</f>
        <v>248768.6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-740.04</v>
      </c>
      <c r="R82" s="91">
        <f>R16+R24+R29+R36+R43+R45+R47+R49</f>
        <v>0</v>
      </c>
      <c r="S82" s="92">
        <f>SUM(S72:S81)+S16+S24+S29+S36+S43+S45+S47+S49+S51+S56+S61+S66</f>
        <v>1480.08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M57" activePane="bottomRight" state="frozen"/>
      <selection activeCell="T9" sqref="T9"/>
      <selection pane="topRight" activeCell="T9" sqref="T9"/>
      <selection pane="bottomLeft" activeCell="T9" sqref="T9"/>
      <selection pane="bottomRight" activeCell="U89" sqref="U89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21" width="15.44140625" customWidth="1"/>
    <col min="22" max="41" width="15.44140625" hidden="1" customWidth="1"/>
    <col min="42" max="42" width="0" hidden="1" customWidth="1"/>
    <col min="43" max="43" width="10.33203125" hidden="1" customWidth="1"/>
    <col min="44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44202800</v>
      </c>
      <c r="E11" s="38">
        <f>SUM(G11,I11,K11,M11,O11,Q11,S11,U11,W11,Y11,AA11,AC11,AE11)</f>
        <v>117617632.50999999</v>
      </c>
      <c r="F11" s="60">
        <f>'TIE-OUT'!X11+RECLASS!V11</f>
        <v>0</v>
      </c>
      <c r="G11" s="38">
        <f>'TIE-OUT'!Y11+RECLASS!W11</f>
        <v>0</v>
      </c>
      <c r="H11" s="118">
        <v>45084225</v>
      </c>
      <c r="I11" s="118">
        <v>111681555</v>
      </c>
      <c r="J11" s="118">
        <v>-521223</v>
      </c>
      <c r="K11" s="119">
        <v>3386062</v>
      </c>
      <c r="L11" s="118">
        <v>-412812</v>
      </c>
      <c r="M11" s="119">
        <v>2410927</v>
      </c>
      <c r="N11" s="118">
        <v>35057</v>
      </c>
      <c r="O11" s="119">
        <v>89045</v>
      </c>
      <c r="P11" s="118">
        <v>-45223</v>
      </c>
      <c r="Q11" s="119">
        <v>-115674.39</v>
      </c>
      <c r="R11" s="118">
        <v>-13608</v>
      </c>
      <c r="S11" s="119">
        <v>-36732.68</v>
      </c>
      <c r="T11" s="118">
        <v>76384</v>
      </c>
      <c r="U11" s="119">
        <v>202450.58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-284230.28000000003</v>
      </c>
      <c r="F12" s="60">
        <f>'TIE-OUT'!X12+RECLASS!V12</f>
        <v>0</v>
      </c>
      <c r="G12" s="38">
        <f>'TIE-OUT'!Y12+RECLASS!W12</f>
        <v>-284230.28000000003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215"/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-2695810</v>
      </c>
      <c r="F15" s="81">
        <f>'TIE-OUT'!X15+RECLASS!V15</f>
        <v>0</v>
      </c>
      <c r="G15" s="82">
        <f>'TIE-OUT'!Y15+RECLASS!W15</f>
        <v>-2695810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44202800</v>
      </c>
      <c r="E16" s="39">
        <f t="shared" si="1"/>
        <v>114637592.22999999</v>
      </c>
      <c r="F16" s="61">
        <f t="shared" si="1"/>
        <v>0</v>
      </c>
      <c r="G16" s="39">
        <f t="shared" si="1"/>
        <v>-2980040.2800000003</v>
      </c>
      <c r="H16" s="61">
        <f t="shared" si="1"/>
        <v>45084225</v>
      </c>
      <c r="I16" s="61">
        <f t="shared" si="1"/>
        <v>111681555</v>
      </c>
      <c r="J16" s="61">
        <f t="shared" si="1"/>
        <v>-521223</v>
      </c>
      <c r="K16" s="39">
        <f t="shared" si="1"/>
        <v>3386062</v>
      </c>
      <c r="L16" s="61">
        <f>SUM(L11:L15)</f>
        <v>-412812</v>
      </c>
      <c r="M16" s="39">
        <f>SUM(M11:M15)</f>
        <v>2410927</v>
      </c>
      <c r="N16" s="61">
        <f t="shared" si="1"/>
        <v>35057</v>
      </c>
      <c r="O16" s="39">
        <f t="shared" si="1"/>
        <v>89045</v>
      </c>
      <c r="P16" s="61">
        <f t="shared" si="1"/>
        <v>-45223</v>
      </c>
      <c r="Q16" s="39">
        <f t="shared" si="1"/>
        <v>-115674.39</v>
      </c>
      <c r="R16" s="61">
        <f t="shared" si="1"/>
        <v>-13608</v>
      </c>
      <c r="S16" s="39">
        <f t="shared" si="1"/>
        <v>-36732.68</v>
      </c>
      <c r="T16" s="61">
        <f t="shared" si="1"/>
        <v>76384</v>
      </c>
      <c r="U16" s="39">
        <f t="shared" si="1"/>
        <v>202450.58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-61090809</v>
      </c>
      <c r="E19" s="38">
        <f t="shared" si="2"/>
        <v>-156174802.75999999</v>
      </c>
      <c r="F19" s="64">
        <f>'TIE-OUT'!X19+RECLASS!V19</f>
        <v>0</v>
      </c>
      <c r="G19" s="68">
        <f>'TIE-OUT'!Y19+RECLASS!W19</f>
        <v>0</v>
      </c>
      <c r="H19" s="118">
        <v>-60424070</v>
      </c>
      <c r="I19" s="118">
        <v>-153125367</v>
      </c>
      <c r="J19" s="118">
        <v>-936090</v>
      </c>
      <c r="K19" s="119">
        <v>-2037801</v>
      </c>
      <c r="L19" s="118">
        <v>63493</v>
      </c>
      <c r="M19" s="119">
        <v>-1538830</v>
      </c>
      <c r="N19" s="118">
        <v>-16941</v>
      </c>
      <c r="O19" s="119">
        <v>-45959</v>
      </c>
      <c r="P19" s="118">
        <v>19036</v>
      </c>
      <c r="Q19" s="119">
        <v>47699.15</v>
      </c>
      <c r="R19" s="118">
        <v>203761</v>
      </c>
      <c r="S19" s="119">
        <v>524688.36</v>
      </c>
      <c r="T19" s="118">
        <v>2</v>
      </c>
      <c r="U19" s="119">
        <v>766.73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-870424.69</v>
      </c>
      <c r="F20" s="60">
        <f>'TIE-OUT'!X20+RECLASS!V20</f>
        <v>0</v>
      </c>
      <c r="G20" s="38">
        <f>'TIE-OUT'!Y20+RECLASS!W20</f>
        <v>-714575.09</v>
      </c>
      <c r="H20" s="118">
        <v>0</v>
      </c>
      <c r="I20" s="118">
        <v>0</v>
      </c>
      <c r="J20" s="118">
        <v>0</v>
      </c>
      <c r="K20" s="215">
        <v>0</v>
      </c>
      <c r="L20" s="118">
        <v>0</v>
      </c>
      <c r="M20" s="215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-155849.60000000001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-61090809</v>
      </c>
      <c r="E24" s="39">
        <f t="shared" si="3"/>
        <v>-157045227.44999999</v>
      </c>
      <c r="F24" s="61">
        <f t="shared" si="3"/>
        <v>0</v>
      </c>
      <c r="G24" s="39">
        <f t="shared" si="3"/>
        <v>-714575.09</v>
      </c>
      <c r="H24" s="61">
        <f t="shared" si="3"/>
        <v>-60424070</v>
      </c>
      <c r="I24" s="61">
        <f t="shared" si="3"/>
        <v>-153125367</v>
      </c>
      <c r="J24" s="61">
        <f t="shared" si="3"/>
        <v>-936090</v>
      </c>
      <c r="K24" s="39">
        <f t="shared" si="3"/>
        <v>-2037801</v>
      </c>
      <c r="L24" s="61">
        <f>SUM(L19:L23)</f>
        <v>63493</v>
      </c>
      <c r="M24" s="39">
        <f>SUM(M19:M23)</f>
        <v>-1538830</v>
      </c>
      <c r="N24" s="61">
        <f t="shared" si="3"/>
        <v>-16941</v>
      </c>
      <c r="O24" s="39">
        <f t="shared" si="3"/>
        <v>-45959</v>
      </c>
      <c r="P24" s="61">
        <f t="shared" si="3"/>
        <v>19036</v>
      </c>
      <c r="Q24" s="39">
        <f t="shared" si="3"/>
        <v>47699.15</v>
      </c>
      <c r="R24" s="61">
        <f t="shared" si="3"/>
        <v>203761</v>
      </c>
      <c r="S24" s="39">
        <f t="shared" si="3"/>
        <v>368838.76</v>
      </c>
      <c r="T24" s="61">
        <f t="shared" si="3"/>
        <v>2</v>
      </c>
      <c r="U24" s="39">
        <f t="shared" si="3"/>
        <v>766.73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19841564</v>
      </c>
      <c r="E27" s="38">
        <f>SUM(G27,I27,K27,M27,O27,Q27,S27,U27,W27,Y27,AA27,AC27,AE27)</f>
        <v>55503284.359999999</v>
      </c>
      <c r="F27" s="64">
        <f>'TIE-OUT'!X27+RECLASS!V27</f>
        <v>0</v>
      </c>
      <c r="G27" s="68">
        <f>'TIE-OUT'!Y27+RECLASS!W27</f>
        <v>0</v>
      </c>
      <c r="H27" s="118">
        <f>10927259+138722</f>
        <v>11065981</v>
      </c>
      <c r="I27" s="118">
        <f>30593434+359290</f>
        <v>30952724</v>
      </c>
      <c r="J27" s="118">
        <f>8616054-3646</f>
        <v>8612408</v>
      </c>
      <c r="K27" s="119">
        <f>24101308-8092</f>
        <v>24093216</v>
      </c>
      <c r="L27" s="118">
        <v>164548</v>
      </c>
      <c r="M27" s="119">
        <v>461293</v>
      </c>
      <c r="N27" s="118">
        <v>-6681</v>
      </c>
      <c r="O27" s="119">
        <v>-17044</v>
      </c>
      <c r="P27" s="118">
        <v>-55</v>
      </c>
      <c r="Q27" s="119">
        <v>-1903.85</v>
      </c>
      <c r="R27" s="118">
        <v>3548</v>
      </c>
      <c r="S27" s="119">
        <v>9943.9599999999991</v>
      </c>
      <c r="T27" s="118">
        <v>1815</v>
      </c>
      <c r="U27" s="119">
        <v>5055.25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-12414868</v>
      </c>
      <c r="E28" s="38">
        <f>SUM(G28,I28,K28,M28,O28,Q28,S28,U28,W28,Y28,AA28,AC28,AE28)</f>
        <v>-34580961.759999998</v>
      </c>
      <c r="F28" s="81">
        <f>'TIE-OUT'!X28+RECLASS!V28</f>
        <v>0</v>
      </c>
      <c r="G28" s="82">
        <f>'TIE-OUT'!Y28+RECLASS!W28</f>
        <v>0</v>
      </c>
      <c r="H28" s="118">
        <v>-11821524</v>
      </c>
      <c r="I28" s="118">
        <v>-32918497</v>
      </c>
      <c r="J28" s="118">
        <v>-677991</v>
      </c>
      <c r="K28" s="119">
        <v>-1899293</v>
      </c>
      <c r="L28" s="118">
        <v>93731</v>
      </c>
      <c r="M28" s="119">
        <v>262288</v>
      </c>
      <c r="N28" s="118">
        <v>0</v>
      </c>
      <c r="O28" s="119">
        <v>0</v>
      </c>
      <c r="P28" s="118">
        <v>0</v>
      </c>
      <c r="Q28" s="119">
        <v>0</v>
      </c>
      <c r="R28" s="118">
        <v>-5772</v>
      </c>
      <c r="S28" s="119">
        <v>-16176.78</v>
      </c>
      <c r="T28" s="118">
        <v>-3312</v>
      </c>
      <c r="U28" s="119">
        <v>-9282.98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7426696</v>
      </c>
      <c r="E29" s="39">
        <f t="shared" si="4"/>
        <v>20922322.600000001</v>
      </c>
      <c r="F29" s="61">
        <f t="shared" si="4"/>
        <v>0</v>
      </c>
      <c r="G29" s="39">
        <f t="shared" si="4"/>
        <v>0</v>
      </c>
      <c r="H29" s="61">
        <f t="shared" si="4"/>
        <v>-755543</v>
      </c>
      <c r="I29" s="61">
        <f t="shared" si="4"/>
        <v>-1965773</v>
      </c>
      <c r="J29" s="61">
        <f t="shared" si="4"/>
        <v>7934417</v>
      </c>
      <c r="K29" s="39">
        <f t="shared" si="4"/>
        <v>22193923</v>
      </c>
      <c r="L29" s="61">
        <f>SUM(L27:L28)</f>
        <v>258279</v>
      </c>
      <c r="M29" s="39">
        <f>SUM(M27:M28)</f>
        <v>723581</v>
      </c>
      <c r="N29" s="61">
        <f t="shared" si="4"/>
        <v>-6681</v>
      </c>
      <c r="O29" s="39">
        <f t="shared" si="4"/>
        <v>-17044</v>
      </c>
      <c r="P29" s="61">
        <f t="shared" si="4"/>
        <v>-55</v>
      </c>
      <c r="Q29" s="39">
        <f t="shared" si="4"/>
        <v>-1903.85</v>
      </c>
      <c r="R29" s="61">
        <f t="shared" si="4"/>
        <v>-2224</v>
      </c>
      <c r="S29" s="39">
        <f t="shared" si="4"/>
        <v>-6232.8200000000015</v>
      </c>
      <c r="T29" s="61">
        <f t="shared" si="4"/>
        <v>-1497</v>
      </c>
      <c r="U29" s="39">
        <f t="shared" si="4"/>
        <v>-4227.7299999999996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-249474</v>
      </c>
      <c r="E32" s="38">
        <f t="shared" si="5"/>
        <v>-633664.24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448185</v>
      </c>
      <c r="K32" s="119">
        <v>1138390</v>
      </c>
      <c r="L32" s="118">
        <v>-525577</v>
      </c>
      <c r="M32" s="119">
        <v>-1334966</v>
      </c>
      <c r="N32" s="118">
        <v>26274</v>
      </c>
      <c r="O32" s="119">
        <v>66736</v>
      </c>
      <c r="P32" s="118">
        <v>14020</v>
      </c>
      <c r="Q32" s="119">
        <v>35610.800000000003</v>
      </c>
      <c r="R32" s="118">
        <v>29031</v>
      </c>
      <c r="S32" s="119">
        <v>73738.740000000005</v>
      </c>
      <c r="T32" s="118">
        <v>-241407</v>
      </c>
      <c r="U32" s="119">
        <v>-613173.78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127457</v>
      </c>
      <c r="E34" s="38">
        <f t="shared" si="5"/>
        <v>323740.78000000003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127457</v>
      </c>
      <c r="S34" s="119">
        <v>323740.78000000003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-122017</v>
      </c>
      <c r="E36" s="39">
        <f t="shared" si="6"/>
        <v>-309923.45999999996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448185</v>
      </c>
      <c r="K36" s="39">
        <f t="shared" si="6"/>
        <v>1138390</v>
      </c>
      <c r="L36" s="61">
        <f>SUM(L32:L35)</f>
        <v>-525577</v>
      </c>
      <c r="M36" s="39">
        <f>SUM(M32:M35)</f>
        <v>-1334966</v>
      </c>
      <c r="N36" s="61">
        <f t="shared" si="6"/>
        <v>26274</v>
      </c>
      <c r="O36" s="39">
        <f t="shared" si="6"/>
        <v>66736</v>
      </c>
      <c r="P36" s="61">
        <f t="shared" si="6"/>
        <v>14020</v>
      </c>
      <c r="Q36" s="39">
        <f t="shared" si="6"/>
        <v>35610.800000000003</v>
      </c>
      <c r="R36" s="61">
        <f t="shared" si="6"/>
        <v>156488</v>
      </c>
      <c r="S36" s="39">
        <f t="shared" si="6"/>
        <v>397479.52</v>
      </c>
      <c r="T36" s="61">
        <f t="shared" si="6"/>
        <v>-241407</v>
      </c>
      <c r="U36" s="39">
        <f t="shared" si="6"/>
        <v>-613173.78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9497858</v>
      </c>
      <c r="E39" s="38">
        <f t="shared" si="7"/>
        <v>25005960.899999999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8">
        <v>0</v>
      </c>
      <c r="J39" s="118">
        <v>9497858</v>
      </c>
      <c r="K39" s="119">
        <v>24743820</v>
      </c>
      <c r="L39" s="118">
        <v>0</v>
      </c>
      <c r="M39" s="119">
        <v>0</v>
      </c>
      <c r="N39" s="118">
        <v>-5</v>
      </c>
      <c r="O39" s="119">
        <v>-13</v>
      </c>
      <c r="P39" s="118">
        <v>5</v>
      </c>
      <c r="Q39" s="119">
        <v>262153.90000000002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5">
        <v>0</v>
      </c>
      <c r="L41" s="118">
        <v>0</v>
      </c>
      <c r="M41" s="215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9497858</v>
      </c>
      <c r="E43" s="39">
        <f t="shared" si="9"/>
        <v>25005960.899999999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61">
        <f t="shared" si="9"/>
        <v>0</v>
      </c>
      <c r="J43" s="61">
        <f t="shared" si="9"/>
        <v>9497858</v>
      </c>
      <c r="K43" s="39">
        <f t="shared" si="9"/>
        <v>24743820</v>
      </c>
      <c r="L43" s="61">
        <f>L42+L39</f>
        <v>0</v>
      </c>
      <c r="M43" s="39">
        <f>M42+M39</f>
        <v>0</v>
      </c>
      <c r="N43" s="61">
        <f t="shared" si="9"/>
        <v>-5</v>
      </c>
      <c r="O43" s="39">
        <f t="shared" si="9"/>
        <v>-13</v>
      </c>
      <c r="P43" s="61">
        <f t="shared" si="9"/>
        <v>5</v>
      </c>
      <c r="Q43" s="39">
        <f t="shared" si="9"/>
        <v>262153.90000000002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85472</v>
      </c>
      <c r="E49" s="38">
        <f>SUM(G49,I49,K49,M49,O49,Q49,S49,U49,W49,Y49,AA49,AC49,AE49)</f>
        <v>217099.71999999997</v>
      </c>
      <c r="F49" s="60">
        <f>'TIE-OUT'!X49+RECLASS!V49</f>
        <v>0</v>
      </c>
      <c r="G49" s="38">
        <f>'TIE-OUT'!Y49+RECLASS!W49</f>
        <v>0</v>
      </c>
      <c r="H49" s="118">
        <v>16095388</v>
      </c>
      <c r="I49" s="118">
        <v>40882286</v>
      </c>
      <c r="J49" s="118">
        <v>-16423147</v>
      </c>
      <c r="K49" s="119">
        <v>-41714793</v>
      </c>
      <c r="L49" s="118">
        <v>616617</v>
      </c>
      <c r="M49" s="119">
        <v>1566207</v>
      </c>
      <c r="N49" s="118">
        <v>-37704</v>
      </c>
      <c r="O49" s="119">
        <v>-95768</v>
      </c>
      <c r="P49" s="118">
        <v>12217</v>
      </c>
      <c r="Q49" s="119">
        <v>31031.18</v>
      </c>
      <c r="R49" s="118">
        <v>-344417</v>
      </c>
      <c r="S49" s="119">
        <v>-874819.18</v>
      </c>
      <c r="T49" s="118">
        <v>166518</v>
      </c>
      <c r="U49" s="119">
        <v>422955.72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-315272</v>
      </c>
      <c r="E54" s="38">
        <f>SUM(G54,I54,K54,M54,O54,Q54,S54,U54,W54,Y54,AA54,AC54,AE54)</f>
        <v>-1324433.2200000002</v>
      </c>
      <c r="F54" s="64">
        <f>'TIE-OUT'!X54+RECLASS!V54</f>
        <v>0</v>
      </c>
      <c r="G54" s="68">
        <f>'TIE-OUT'!Y54+RECLASS!W54</f>
        <v>-1293893</v>
      </c>
      <c r="H54" s="118">
        <v>0</v>
      </c>
      <c r="I54" s="118">
        <v>0</v>
      </c>
      <c r="J54" s="118">
        <v>0</v>
      </c>
      <c r="K54" s="215">
        <v>-172000</v>
      </c>
      <c r="L54" s="118">
        <v>0</v>
      </c>
      <c r="M54" s="215">
        <v>153365</v>
      </c>
      <c r="N54" s="118">
        <v>0</v>
      </c>
      <c r="O54" s="119">
        <v>0</v>
      </c>
      <c r="P54" s="118">
        <v>-533046</v>
      </c>
      <c r="Q54" s="119">
        <v>-10298.6</v>
      </c>
      <c r="R54" s="118">
        <v>218528</v>
      </c>
      <c r="S54" s="119">
        <v>-1631.08</v>
      </c>
      <c r="T54" s="118">
        <v>-754</v>
      </c>
      <c r="U54" s="119">
        <v>24.46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33504</v>
      </c>
      <c r="F55" s="81">
        <f>'TIE-OUT'!X55+RECLASS!V55</f>
        <v>0</v>
      </c>
      <c r="G55" s="82">
        <f>'TIE-OUT'!Y55+RECLASS!W55</f>
        <v>93300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215">
        <f>-112862-72859</f>
        <v>-185721</v>
      </c>
      <c r="N55" s="118">
        <v>0</v>
      </c>
      <c r="O55" s="139">
        <v>125925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-315272</v>
      </c>
      <c r="E56" s="39">
        <f t="shared" si="10"/>
        <v>-1290929.2200000002</v>
      </c>
      <c r="F56" s="61">
        <f t="shared" si="10"/>
        <v>0</v>
      </c>
      <c r="G56" s="39">
        <f t="shared" si="10"/>
        <v>-1200593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-172000</v>
      </c>
      <c r="L56" s="61">
        <f>SUM(L54:L55)</f>
        <v>0</v>
      </c>
      <c r="M56" s="39">
        <f>SUM(M54:M55)</f>
        <v>-32356</v>
      </c>
      <c r="N56" s="61">
        <f t="shared" si="10"/>
        <v>0</v>
      </c>
      <c r="O56" s="39">
        <f t="shared" si="10"/>
        <v>125925</v>
      </c>
      <c r="P56" s="61">
        <f t="shared" si="10"/>
        <v>-533046</v>
      </c>
      <c r="Q56" s="39">
        <f t="shared" si="10"/>
        <v>-10298.6</v>
      </c>
      <c r="R56" s="61">
        <f t="shared" si="10"/>
        <v>218528</v>
      </c>
      <c r="S56" s="39">
        <f t="shared" si="10"/>
        <v>-1631.08</v>
      </c>
      <c r="T56" s="61">
        <f t="shared" si="10"/>
        <v>-754</v>
      </c>
      <c r="U56" s="39">
        <f t="shared" si="10"/>
        <v>24.46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50000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50000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676602.45000000019</v>
      </c>
      <c r="F74" s="60">
        <f>'TIE-OUT'!X74+RECLASS!V74</f>
        <v>0</v>
      </c>
      <c r="G74" s="60">
        <f>'TIE-OUT'!Y74+RECLASS!W74</f>
        <v>7986387.4100000001</v>
      </c>
      <c r="H74" s="118">
        <v>0</v>
      </c>
      <c r="I74" s="118">
        <v>0</v>
      </c>
      <c r="J74" s="118">
        <v>0</v>
      </c>
      <c r="K74" s="215">
        <f>-698-4761944-2007691-499927</f>
        <v>-7270260</v>
      </c>
      <c r="L74" s="118">
        <v>0</v>
      </c>
      <c r="M74" s="215">
        <v>-39524.959999999999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5">
        <v>0</v>
      </c>
      <c r="L80" s="118">
        <v>0</v>
      </c>
      <c r="M80" s="215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6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2765197.7700000028</v>
      </c>
      <c r="F82" s="91">
        <f>F16+F24+F29+F36+F43+F45+F47+F49</f>
        <v>0</v>
      </c>
      <c r="G82" s="92">
        <f>SUM(G72:G81)+G16+G24+G29+G36+G43+G45+G47+G49+G51+G56+G61+G66</f>
        <v>2992879.04</v>
      </c>
      <c r="H82" s="91">
        <f>H16+H24+H29+H36+H43+H45+H47+H49</f>
        <v>0</v>
      </c>
      <c r="I82" s="92">
        <f>SUM(I72:I81)+I16+I24+I29+I36+I43+I45+I47+I49+I51+I56+I61+I66</f>
        <v>-2477299</v>
      </c>
      <c r="J82" s="91">
        <f>J16+J24+J29+J36+J43+J45+J47+J49</f>
        <v>0</v>
      </c>
      <c r="K82" s="110">
        <f>SUM(K72:K81)+K16+K24+K29+K36+K43+K45+K47+K49+K51+K56+K61+K66</f>
        <v>267341</v>
      </c>
      <c r="L82" s="91">
        <f>L16+L24+L29+L36+L43+L45+L47+L49</f>
        <v>0</v>
      </c>
      <c r="M82" s="110">
        <f>SUM(M72:M81)+M16+M24+M29+M36+M43+M45+M47+M49+M51+M56+M61+M66</f>
        <v>1755038.04</v>
      </c>
      <c r="N82" s="91">
        <f>N16+N24+N29+N36+N43+N45+N47+N49</f>
        <v>0</v>
      </c>
      <c r="O82" s="92">
        <f>SUM(O72:O81)+O16+O24+O29+O36+O43+O45+O47+O49+O51+O56+O61+O66</f>
        <v>122922</v>
      </c>
      <c r="P82" s="91">
        <f>P16+P24+P29+P36+P43+P45+P47+P49</f>
        <v>0</v>
      </c>
      <c r="Q82" s="92">
        <f>SUM(Q72:Q81)+Q16+Q24+Q29+Q36+Q43+Q45+Q47+Q49+Q51+Q56+Q61+Q66</f>
        <v>248618.19000000003</v>
      </c>
      <c r="R82" s="91">
        <f>R16+R24+R29+R36+R43+R45+R47+R49</f>
        <v>0</v>
      </c>
      <c r="S82" s="92">
        <f>SUM(S72:S81)+S16+S24+S29+S36+S43+S45+S47+S49+S51+S56+S61+S66</f>
        <v>-153097.48000000001</v>
      </c>
      <c r="T82" s="91">
        <f>T16+T24+T29+T36+T43+T45+T47+T49</f>
        <v>0</v>
      </c>
      <c r="U82" s="92">
        <f>SUM(U72:U81)+U16+U24+U29+U36+U43+U45+U47+U49+U51+U56+U61+U66</f>
        <v>8795.9799999999013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8" thickTop="1" x14ac:dyDescent="0.25">
      <c r="A83" s="4"/>
      <c r="B83" s="3"/>
    </row>
    <row r="84" spans="1:43" x14ac:dyDescent="0.25">
      <c r="A84" s="4"/>
      <c r="B84" s="3"/>
    </row>
    <row r="85" spans="1:43" x14ac:dyDescent="0.25">
      <c r="A85" s="4" t="s">
        <v>170</v>
      </c>
      <c r="B85" s="3"/>
      <c r="F85" s="31"/>
      <c r="G85" s="31"/>
      <c r="H85" s="31"/>
      <c r="I85" s="31"/>
      <c r="K85"/>
    </row>
    <row r="86" spans="1:43" x14ac:dyDescent="0.25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1288000.3</v>
      </c>
      <c r="F86" s="145">
        <f>'TIE-OUT'!X86+RECLASS!V86</f>
        <v>0</v>
      </c>
      <c r="G86" s="146">
        <f>'TIE-OUT'!Y86+RECLASS!W86</f>
        <v>106137.63000000008</v>
      </c>
      <c r="H86" s="145">
        <v>0</v>
      </c>
      <c r="I86" s="216">
        <v>-158829</v>
      </c>
      <c r="J86" s="145">
        <v>0</v>
      </c>
      <c r="K86" s="145">
        <f>1340862+409408.67</f>
        <v>1750270.67</v>
      </c>
      <c r="L86" s="145">
        <v>0</v>
      </c>
      <c r="M86" s="145">
        <v>0</v>
      </c>
      <c r="N86" s="145">
        <v>0</v>
      </c>
      <c r="O86" s="145">
        <v>-409579</v>
      </c>
    </row>
    <row r="87" spans="1:43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</row>
    <row r="88" spans="1:43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'TIE-OUT'!X88+RECLASS!V88</f>
        <v>0</v>
      </c>
      <c r="G88" s="147">
        <f>'TIE-OUT'!Y88+RECLASS!W88</f>
        <v>-1455000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</row>
    <row r="89" spans="1:43" ht="15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-166999.69999999995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-158829</v>
      </c>
      <c r="J89" s="155">
        <f t="shared" si="16"/>
        <v>0</v>
      </c>
      <c r="K89" s="155">
        <f t="shared" si="16"/>
        <v>1750270.67</v>
      </c>
      <c r="L89" s="155">
        <f>SUM(L86:L88)</f>
        <v>0</v>
      </c>
      <c r="M89" s="155">
        <f>SUM(M86:M88)</f>
        <v>0</v>
      </c>
      <c r="N89" s="155">
        <f>SUM(N86:N88)</f>
        <v>0</v>
      </c>
      <c r="O89" s="155">
        <f>SUM(O86:O88)</f>
        <v>-409579</v>
      </c>
    </row>
    <row r="90" spans="1:43" x14ac:dyDescent="0.25">
      <c r="A90" s="4"/>
      <c r="B90" s="3"/>
      <c r="F90" s="31"/>
      <c r="G90" s="31"/>
      <c r="H90" s="31"/>
      <c r="I90" s="31"/>
      <c r="K90"/>
    </row>
    <row r="91" spans="1:43" ht="15" x14ac:dyDescent="0.25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2598198.0700000031</v>
      </c>
      <c r="F91" s="155">
        <f t="shared" si="17"/>
        <v>0</v>
      </c>
      <c r="G91" s="155">
        <f t="shared" si="17"/>
        <v>1644016.6700000002</v>
      </c>
      <c r="H91" s="155">
        <f t="shared" si="17"/>
        <v>0</v>
      </c>
      <c r="I91" s="155">
        <f t="shared" si="17"/>
        <v>-2636128</v>
      </c>
      <c r="J91" s="155">
        <f t="shared" si="17"/>
        <v>0</v>
      </c>
      <c r="K91" s="155">
        <f t="shared" si="17"/>
        <v>2017611.67</v>
      </c>
      <c r="L91" s="155">
        <f>+L82+L89</f>
        <v>0</v>
      </c>
      <c r="M91" s="155">
        <f>+M82+M89</f>
        <v>1755038.04</v>
      </c>
    </row>
    <row r="92" spans="1:43" x14ac:dyDescent="0.25">
      <c r="A92" s="4"/>
      <c r="B92" s="3"/>
    </row>
    <row r="93" spans="1:43" x14ac:dyDescent="0.25">
      <c r="A93" s="4"/>
      <c r="B93" s="3"/>
    </row>
    <row r="94" spans="1:43" x14ac:dyDescent="0.25">
      <c r="A94" s="4"/>
      <c r="B94" s="3"/>
    </row>
    <row r="95" spans="1:43" x14ac:dyDescent="0.25">
      <c r="A95" s="4"/>
      <c r="B95" s="3"/>
    </row>
    <row r="96" spans="1:4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M77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58258621</v>
      </c>
      <c r="E11" s="38">
        <f>SUM(G11,I11,K11,M11,O11,Q11,S11,U11,W11,Y11,AA11,AC11,AE11)</f>
        <v>155866574.90000004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59313020</v>
      </c>
      <c r="I11" s="38">
        <f>'TX-EGM-GL'!I11+'TX-HPLR-GL '!I11+'TX-HPLC-GL'!I11</f>
        <v>150623858.90000001</v>
      </c>
      <c r="J11" s="60">
        <f>'TX-EGM-GL'!J11+'TX-HPLR-GL '!J11+'TX-HPLC-GL'!J11</f>
        <v>-760501</v>
      </c>
      <c r="K11" s="38">
        <f>'TX-EGM-GL'!K11+'TX-HPLR-GL '!K11+'TX-HPLC-GL'!K11</f>
        <v>2593244.62</v>
      </c>
      <c r="L11" s="60">
        <f>'TX-EGM-GL'!L11+'TX-HPLR-GL '!L11+'TX-HPLC-GL'!L11</f>
        <v>-351823</v>
      </c>
      <c r="M11" s="38">
        <f>'TX-EGM-GL'!M11+'TX-HPLR-GL '!M11+'TX-HPLC-GL'!M11</f>
        <v>2582224.7799999998</v>
      </c>
      <c r="N11" s="60">
        <f>'TX-EGM-GL'!N11+'TX-HPLR-GL '!N11+'TX-HPLC-GL'!N11</f>
        <v>13799</v>
      </c>
      <c r="O11" s="38">
        <f>'TX-EGM-GL'!O11+'TX-HPLR-GL '!O11+'TX-HPLC-GL'!O11</f>
        <v>-49206.850000000006</v>
      </c>
      <c r="P11" s="60">
        <f>'TX-EGM-GL'!P11+'TX-HPLR-GL '!P11+'TX-HPLC-GL'!P11</f>
        <v>-40857</v>
      </c>
      <c r="Q11" s="38">
        <f>'TX-EGM-GL'!Q11+'TX-HPLR-GL '!Q11+'TX-HPLC-GL'!Q11</f>
        <v>-103742.95999999999</v>
      </c>
      <c r="R11" s="60">
        <f>'TX-EGM-GL'!R11+'TX-HPLR-GL '!R11+'TX-HPLC-GL'!R11</f>
        <v>8599</v>
      </c>
      <c r="S11" s="38">
        <f>'TX-EGM-GL'!S11+'TX-HPLR-GL '!S11+'TX-HPLC-GL'!S11</f>
        <v>17745.830000000002</v>
      </c>
      <c r="T11" s="60">
        <f>'TX-EGM-GL'!T11+'TX-HPLR-GL '!T11+'TX-HPLC-GL'!T11</f>
        <v>76384</v>
      </c>
      <c r="U11" s="38">
        <f>'TX-EGM-GL'!U11+'TX-HPLR-GL '!U11+'TX-HPLC-GL'!U11</f>
        <v>202450.58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-3474004.9400000004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-3474004.9400000004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/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15365272</v>
      </c>
      <c r="E13" s="38">
        <f t="shared" si="0"/>
        <v>42696439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429232</v>
      </c>
      <c r="I13" s="38">
        <f>'TX-EGM-GL'!I13+'TX-HPLR-GL '!I13+'TX-HPLC-GL'!I13</f>
        <v>1157267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14936040</v>
      </c>
      <c r="O13" s="38">
        <f>'TX-EGM-GL'!O13+'TX-HPLR-GL '!O13+'TX-HPLC-GL'!O13</f>
        <v>41539172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-819535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-2695810</v>
      </c>
      <c r="H15" s="60">
        <f>'TX-EGM-GL'!H15+'TX-HPLR-GL '!H15+'TX-HPLC-GL'!H15</f>
        <v>0</v>
      </c>
      <c r="I15" s="38">
        <f>'TX-EGM-GL'!I15+'TX-HPLR-GL '!I15+'TX-HPLC-GL'!I15</f>
        <v>1875810</v>
      </c>
      <c r="J15" s="60">
        <f>'TX-EGM-GL'!J15+'TX-HPLR-GL '!J15+'TX-HPLC-GL'!J15</f>
        <v>0</v>
      </c>
      <c r="K15" s="38">
        <f>'TX-EGM-GL'!K15+'TX-HPLR-GL '!K15+'TX-HPLC-GL'!K15</f>
        <v>465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73623893</v>
      </c>
      <c r="E16" s="39">
        <f t="shared" si="1"/>
        <v>194269473.96000004</v>
      </c>
      <c r="F16" s="61">
        <f t="shared" si="1"/>
        <v>0</v>
      </c>
      <c r="G16" s="39">
        <f t="shared" si="1"/>
        <v>-6169814.9400000004</v>
      </c>
      <c r="H16" s="61">
        <f t="shared" si="1"/>
        <v>59742252</v>
      </c>
      <c r="I16" s="39">
        <f t="shared" si="1"/>
        <v>153656935.90000001</v>
      </c>
      <c r="J16" s="61">
        <f t="shared" si="1"/>
        <v>-760501</v>
      </c>
      <c r="K16" s="39">
        <f t="shared" si="1"/>
        <v>2593709.62</v>
      </c>
      <c r="L16" s="61">
        <f>SUM(L11:L15)</f>
        <v>-351823</v>
      </c>
      <c r="M16" s="39">
        <f>SUM(M11:M15)</f>
        <v>2582224.7799999998</v>
      </c>
      <c r="N16" s="61">
        <f t="shared" si="1"/>
        <v>14949839</v>
      </c>
      <c r="O16" s="39">
        <f t="shared" si="1"/>
        <v>41489965.149999999</v>
      </c>
      <c r="P16" s="61">
        <f t="shared" si="1"/>
        <v>-40857</v>
      </c>
      <c r="Q16" s="39">
        <f t="shared" si="1"/>
        <v>-103742.95999999999</v>
      </c>
      <c r="R16" s="61">
        <f t="shared" si="1"/>
        <v>8599</v>
      </c>
      <c r="S16" s="39">
        <f t="shared" si="1"/>
        <v>17745.830000000002</v>
      </c>
      <c r="T16" s="61">
        <f t="shared" si="1"/>
        <v>76384</v>
      </c>
      <c r="U16" s="39">
        <f t="shared" si="1"/>
        <v>202450.58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-65823153</v>
      </c>
      <c r="E19" s="38">
        <f t="shared" si="2"/>
        <v>-168251408.23999998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-64988630</v>
      </c>
      <c r="I19" s="38">
        <f>'TX-EGM-GL'!I19+'TX-HPLR-GL '!I19+'TX-HPLC-GL'!I19</f>
        <v>-165017755.66</v>
      </c>
      <c r="J19" s="60">
        <f>'TX-EGM-GL'!J19+'TX-HPLR-GL '!J19+'TX-HPLC-GL'!J19</f>
        <v>-1066661</v>
      </c>
      <c r="K19" s="38">
        <f>'TX-EGM-GL'!K19+'TX-HPLR-GL '!K19+'TX-HPLC-GL'!K19</f>
        <v>-2373210.29</v>
      </c>
      <c r="L19" s="60">
        <f>'TX-EGM-GL'!L19+'TX-HPLR-GL '!L19+'TX-HPLC-GL'!L19</f>
        <v>-13632</v>
      </c>
      <c r="M19" s="38">
        <f>'TX-EGM-GL'!M19+'TX-HPLR-GL '!M19+'TX-HPLC-GL'!M19</f>
        <v>-1492657.17</v>
      </c>
      <c r="N19" s="60">
        <f>'TX-EGM-GL'!N19+'TX-HPLR-GL '!N19+'TX-HPLC-GL'!N19</f>
        <v>53448</v>
      </c>
      <c r="O19" s="38">
        <f>'TX-EGM-GL'!O19+'TX-HPLR-GL '!O19+'TX-HPLC-GL'!O19</f>
        <v>117445.44</v>
      </c>
      <c r="P19" s="60">
        <f>'TX-EGM-GL'!P19+'TX-HPLR-GL '!P19+'TX-HPLC-GL'!P19</f>
        <v>15308</v>
      </c>
      <c r="Q19" s="38">
        <f>'TX-EGM-GL'!Q19+'TX-HPLR-GL '!Q19+'TX-HPLC-GL'!Q19</f>
        <v>61237.64</v>
      </c>
      <c r="R19" s="60">
        <f>'TX-EGM-GL'!R19+'TX-HPLR-GL '!R19+'TX-HPLC-GL'!R19</f>
        <v>178668</v>
      </c>
      <c r="S19" s="38">
        <f>'TX-EGM-GL'!S19+'TX-HPLR-GL '!S19+'TX-HPLC-GL'!S19</f>
        <v>456822.27</v>
      </c>
      <c r="T19" s="60">
        <f>'TX-EGM-GL'!T19+'TX-HPLR-GL '!T19+'TX-HPLC-GL'!T19</f>
        <v>-1654</v>
      </c>
      <c r="U19" s="38">
        <f>'TX-EGM-GL'!U19+'TX-HPLR-GL '!U19+'TX-HPLC-GL'!U19</f>
        <v>-3290.47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871034.68000000017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1026884.2800000001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-155849.60000000001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-15476079</v>
      </c>
      <c r="E21" s="38">
        <f t="shared" si="2"/>
        <v>-43042838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-19000</v>
      </c>
      <c r="I21" s="38">
        <f>'TX-EGM-GL'!I21+'TX-HPLR-GL '!I21+'TX-HPLC-GL'!I21</f>
        <v>-50650</v>
      </c>
      <c r="J21" s="60">
        <f>'TX-EGM-GL'!J21+'TX-HPLR-GL '!J21+'TX-HPLC-GL'!J21</f>
        <v>-2000</v>
      </c>
      <c r="K21" s="38">
        <f>'TX-EGM-GL'!K21+'TX-HPLR-GL '!K21+'TX-HPLC-GL'!K21</f>
        <v>-5332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-15455079</v>
      </c>
      <c r="O21" s="38">
        <f>'TX-EGM-GL'!O21+'TX-HPLR-GL '!O21+'TX-HPLC-GL'!O21</f>
        <v>-42986856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19392</v>
      </c>
      <c r="E23" s="38">
        <f t="shared" si="2"/>
        <v>49255.679999999993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15521</v>
      </c>
      <c r="I23" s="38">
        <f>'TX-EGM-GL'!I23+'TX-HPLR-GL '!I23+'TX-HPLC-GL'!I23</f>
        <v>39423.339999999997</v>
      </c>
      <c r="J23" s="60">
        <f>'TX-EGM-GL'!J23+'TX-HPLR-GL '!J23+'TX-HPLC-GL'!J23</f>
        <v>3871</v>
      </c>
      <c r="K23" s="38">
        <f>'TX-EGM-GL'!K23+'TX-HPLR-GL '!K23+'TX-HPLC-GL'!K23</f>
        <v>9832.34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-81279840</v>
      </c>
      <c r="E24" s="39">
        <f t="shared" si="3"/>
        <v>-210373955.87999997</v>
      </c>
      <c r="F24" s="61">
        <f t="shared" si="3"/>
        <v>0</v>
      </c>
      <c r="G24" s="39">
        <f t="shared" si="3"/>
        <v>1026884.2800000001</v>
      </c>
      <c r="H24" s="61">
        <f t="shared" si="3"/>
        <v>-64992109</v>
      </c>
      <c r="I24" s="39">
        <f t="shared" si="3"/>
        <v>-165028982.31999999</v>
      </c>
      <c r="J24" s="61">
        <f t="shared" si="3"/>
        <v>-1064790</v>
      </c>
      <c r="K24" s="39">
        <f t="shared" si="3"/>
        <v>-2368709.9500000002</v>
      </c>
      <c r="L24" s="61">
        <f>SUM(L19:L23)</f>
        <v>-13632</v>
      </c>
      <c r="M24" s="39">
        <f>SUM(M19:M23)</f>
        <v>-1492657.17</v>
      </c>
      <c r="N24" s="61">
        <f t="shared" si="3"/>
        <v>-15401631</v>
      </c>
      <c r="O24" s="39">
        <f t="shared" si="3"/>
        <v>-42869410.560000002</v>
      </c>
      <c r="P24" s="61">
        <f t="shared" si="3"/>
        <v>15308</v>
      </c>
      <c r="Q24" s="39">
        <f t="shared" si="3"/>
        <v>61237.64</v>
      </c>
      <c r="R24" s="61">
        <f t="shared" si="3"/>
        <v>178668</v>
      </c>
      <c r="S24" s="39">
        <f t="shared" si="3"/>
        <v>300972.67000000004</v>
      </c>
      <c r="T24" s="61">
        <f t="shared" si="3"/>
        <v>-1654</v>
      </c>
      <c r="U24" s="39">
        <f t="shared" si="3"/>
        <v>-3290.47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29650613</v>
      </c>
      <c r="E27" s="38">
        <f>SUM(G27,I27,K27,M27,O27,Q27,S27,U27,W27,Y27,AA27,AC27,AE27)</f>
        <v>83010206.25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20297210</v>
      </c>
      <c r="I27" s="38">
        <f>'TX-EGM-GL'!I27+'TX-HPLR-GL '!I27+'TX-HPLC-GL'!I27</f>
        <v>56849938.210000001</v>
      </c>
      <c r="J27" s="60">
        <f>'TX-EGM-GL'!J27+'TX-HPLR-GL '!J27+'TX-HPLC-GL'!J27</f>
        <v>9192602</v>
      </c>
      <c r="K27" s="38">
        <f>'TX-EGM-GL'!K27+'TX-HPLR-GL '!K27+'TX-HPLC-GL'!K27</f>
        <v>25709590.289999999</v>
      </c>
      <c r="L27" s="60">
        <f>'TX-EGM-GL'!L27+'TX-HPLR-GL '!L27+'TX-HPLC-GL'!L27</f>
        <v>208805</v>
      </c>
      <c r="M27" s="38">
        <f>'TX-EGM-GL'!M27+'TX-HPLR-GL '!M27+'TX-HPLC-GL'!M27</f>
        <v>585313.06000000006</v>
      </c>
      <c r="N27" s="60">
        <f>'TX-EGM-GL'!N27+'TX-HPLR-GL '!N27+'TX-HPLC-GL'!N27</f>
        <v>-62396</v>
      </c>
      <c r="O27" s="38">
        <f>'TX-EGM-GL'!O27+'TX-HPLR-GL '!O27+'TX-HPLC-GL'!O27</f>
        <v>-173190.43</v>
      </c>
      <c r="P27" s="60">
        <f>'TX-EGM-GL'!P27+'TX-HPLR-GL '!P27+'TX-HPLC-GL'!P27</f>
        <v>-55</v>
      </c>
      <c r="Q27" s="38">
        <f>'TX-EGM-GL'!Q27+'TX-HPLR-GL '!Q27+'TX-HPLC-GL'!Q27</f>
        <v>-1903.85</v>
      </c>
      <c r="R27" s="60">
        <f>'TX-EGM-GL'!R27+'TX-HPLR-GL '!R27+'TX-HPLC-GL'!R27</f>
        <v>9320</v>
      </c>
      <c r="S27" s="38">
        <f>'TX-EGM-GL'!S27+'TX-HPLR-GL '!S27+'TX-HPLC-GL'!S27</f>
        <v>26120.739999999998</v>
      </c>
      <c r="T27" s="60">
        <f>'TX-EGM-GL'!T27+'TX-HPLR-GL '!T27+'TX-HPLC-GL'!T27</f>
        <v>5127</v>
      </c>
      <c r="U27" s="38">
        <f>'TX-EGM-GL'!U27+'TX-HPLR-GL '!U27+'TX-HPLC-GL'!U27</f>
        <v>14338.23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-31704450</v>
      </c>
      <c r="E28" s="38">
        <f>SUM(G28,I28,K28,M28,O28,Q28,S28,U28,W28,Y28,AA28,AC28,AE28)</f>
        <v>-88616604.799999997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-22163981</v>
      </c>
      <c r="I28" s="38">
        <f>'TX-EGM-GL'!I28+'TX-HPLR-GL '!I28+'TX-HPLC-GL'!I28</f>
        <v>-61882420</v>
      </c>
      <c r="J28" s="60">
        <f>'TX-EGM-GL'!J28+'TX-HPLR-GL '!J28+'TX-HPLC-GL'!J28</f>
        <v>-9598399</v>
      </c>
      <c r="K28" s="38">
        <f>'TX-EGM-GL'!K28+'TX-HPLR-GL '!K28+'TX-HPLC-GL'!K28</f>
        <v>-26898055.599999998</v>
      </c>
      <c r="L28" s="60">
        <f>'TX-EGM-GL'!L28+'TX-HPLR-GL '!L28+'TX-HPLC-GL'!L28</f>
        <v>88570</v>
      </c>
      <c r="M28" s="38">
        <f>'TX-EGM-GL'!M28+'TX-HPLR-GL '!M28+'TX-HPLC-GL'!M28</f>
        <v>248145.91</v>
      </c>
      <c r="N28" s="60">
        <f>'TX-EGM-GL'!N28+'TX-HPLR-GL '!N28+'TX-HPLC-GL'!N28</f>
        <v>-16407</v>
      </c>
      <c r="O28" s="38">
        <f>'TX-EGM-GL'!O28+'TX-HPLR-GL '!O28+'TX-HPLC-GL'!O28</f>
        <v>-46133.39</v>
      </c>
      <c r="P28" s="60">
        <f>'TX-EGM-GL'!P28+'TX-HPLR-GL '!P28+'TX-HPLC-GL'!P28</f>
        <v>55</v>
      </c>
      <c r="Q28" s="38">
        <f>'TX-EGM-GL'!Q28+'TX-HPLR-GL '!Q28+'TX-HPLC-GL'!Q28</f>
        <v>1903.85</v>
      </c>
      <c r="R28" s="60">
        <f>'TX-EGM-GL'!R28+'TX-HPLR-GL '!R28+'TX-HPLC-GL'!R28</f>
        <v>-9320</v>
      </c>
      <c r="S28" s="38">
        <f>'TX-EGM-GL'!S28+'TX-HPLR-GL '!S28+'TX-HPLC-GL'!S28</f>
        <v>-26120.739999999998</v>
      </c>
      <c r="T28" s="60">
        <f>'TX-EGM-GL'!T28+'TX-HPLR-GL '!T28+'TX-HPLC-GL'!T28</f>
        <v>-4968</v>
      </c>
      <c r="U28" s="38">
        <f>'TX-EGM-GL'!U28+'TX-HPLR-GL '!U28+'TX-HPLC-GL'!U28</f>
        <v>-13924.83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-2053837</v>
      </c>
      <c r="E29" s="39">
        <f t="shared" si="4"/>
        <v>-5606398.549999997</v>
      </c>
      <c r="F29" s="61">
        <f t="shared" si="4"/>
        <v>0</v>
      </c>
      <c r="G29" s="39">
        <f t="shared" si="4"/>
        <v>0</v>
      </c>
      <c r="H29" s="61">
        <f t="shared" si="4"/>
        <v>-1866771</v>
      </c>
      <c r="I29" s="39">
        <f t="shared" si="4"/>
        <v>-5032481.7899999991</v>
      </c>
      <c r="J29" s="61">
        <f t="shared" si="4"/>
        <v>-405797</v>
      </c>
      <c r="K29" s="39">
        <f t="shared" si="4"/>
        <v>-1188465.3099999987</v>
      </c>
      <c r="L29" s="61">
        <f>SUM(L27:L28)</f>
        <v>297375</v>
      </c>
      <c r="M29" s="39">
        <f>SUM(M27:M28)</f>
        <v>833458.97000000009</v>
      </c>
      <c r="N29" s="61">
        <f t="shared" si="4"/>
        <v>-78803</v>
      </c>
      <c r="O29" s="39">
        <f t="shared" si="4"/>
        <v>-219323.82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159</v>
      </c>
      <c r="U29" s="39">
        <f t="shared" si="4"/>
        <v>413.39999999999964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-253128</v>
      </c>
      <c r="E32" s="38">
        <f t="shared" si="5"/>
        <v>-642945.39999999991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-8940288</v>
      </c>
      <c r="I32" s="38">
        <f>'TX-EGM-GL'!I32+'TX-HPLR-GL '!I32+'TX-HPLC-GL'!I32</f>
        <v>-22708331.52</v>
      </c>
      <c r="J32" s="60">
        <f>'TX-EGM-GL'!J32+'TX-HPLR-GL '!J32+'TX-HPLC-GL'!J32</f>
        <v>9153577</v>
      </c>
      <c r="K32" s="38">
        <f>'TX-EGM-GL'!K32+'TX-HPLR-GL '!K32+'TX-HPLC-GL'!K32</f>
        <v>23250085.68</v>
      </c>
      <c r="L32" s="60">
        <f>'TX-EGM-GL'!L32+'TX-HPLR-GL '!L32+'TX-HPLC-GL'!L32</f>
        <v>-294366</v>
      </c>
      <c r="M32" s="38">
        <f>'TX-EGM-GL'!M32+'TX-HPLR-GL '!M32+'TX-HPLC-GL'!M32</f>
        <v>-747690.06</v>
      </c>
      <c r="N32" s="60">
        <f>'TX-EGM-GL'!N32+'TX-HPLR-GL '!N32+'TX-HPLC-GL'!N32</f>
        <v>26336</v>
      </c>
      <c r="O32" s="38">
        <f>'TX-EGM-GL'!O32+'TX-HPLR-GL '!O32+'TX-HPLC-GL'!O32</f>
        <v>66893.48</v>
      </c>
      <c r="P32" s="60">
        <f>'TX-EGM-GL'!P32+'TX-HPLR-GL '!P32+'TX-HPLC-GL'!P32</f>
        <v>13327</v>
      </c>
      <c r="Q32" s="38">
        <f>'TX-EGM-GL'!Q32+'TX-HPLR-GL '!Q32+'TX-HPLC-GL'!Q32</f>
        <v>33850.58</v>
      </c>
      <c r="R32" s="60">
        <f>'TX-EGM-GL'!R32+'TX-HPLR-GL '!R32+'TX-HPLC-GL'!R32</f>
        <v>29693</v>
      </c>
      <c r="S32" s="38">
        <f>'TX-EGM-GL'!S32+'TX-HPLR-GL '!S32+'TX-HPLC-GL'!S32</f>
        <v>75420.22</v>
      </c>
      <c r="T32" s="60">
        <f>'TX-EGM-GL'!T32+'TX-HPLR-GL '!T32+'TX-HPLC-GL'!T32</f>
        <v>-241407</v>
      </c>
      <c r="U32" s="38">
        <f>'TX-EGM-GL'!U32+'TX-HPLR-GL '!U32+'TX-HPLC-GL'!U32</f>
        <v>-613173.78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127457</v>
      </c>
      <c r="E34" s="38">
        <f t="shared" si="5"/>
        <v>323740.78000000003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127457</v>
      </c>
      <c r="S34" s="38">
        <f>'TX-EGM-GL'!S34+'TX-HPLR-GL '!S34+'TX-HPLC-GL'!S34</f>
        <v>323740.78000000003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-125671</v>
      </c>
      <c r="E36" s="39">
        <f t="shared" si="6"/>
        <v>-319204.61999999988</v>
      </c>
      <c r="F36" s="61">
        <f t="shared" si="6"/>
        <v>0</v>
      </c>
      <c r="G36" s="39">
        <f t="shared" si="6"/>
        <v>0</v>
      </c>
      <c r="H36" s="61">
        <f t="shared" si="6"/>
        <v>-8940288</v>
      </c>
      <c r="I36" s="39">
        <f t="shared" si="6"/>
        <v>-22708331.52</v>
      </c>
      <c r="J36" s="61">
        <f t="shared" si="6"/>
        <v>9153577</v>
      </c>
      <c r="K36" s="39">
        <f t="shared" si="6"/>
        <v>23250085.68</v>
      </c>
      <c r="L36" s="61">
        <f>SUM(L32:L35)</f>
        <v>-294366</v>
      </c>
      <c r="M36" s="39">
        <f>SUM(M32:M35)</f>
        <v>-747690.06</v>
      </c>
      <c r="N36" s="61">
        <f t="shared" si="6"/>
        <v>26336</v>
      </c>
      <c r="O36" s="39">
        <f t="shared" si="6"/>
        <v>66893.48</v>
      </c>
      <c r="P36" s="61">
        <f t="shared" si="6"/>
        <v>13327</v>
      </c>
      <c r="Q36" s="39">
        <f t="shared" si="6"/>
        <v>33850.58</v>
      </c>
      <c r="R36" s="61">
        <f t="shared" si="6"/>
        <v>157150</v>
      </c>
      <c r="S36" s="39">
        <f t="shared" si="6"/>
        <v>399161</v>
      </c>
      <c r="T36" s="61">
        <f t="shared" si="6"/>
        <v>-241407</v>
      </c>
      <c r="U36" s="39">
        <f t="shared" si="6"/>
        <v>-613173.78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9669411</v>
      </c>
      <c r="E39" s="38">
        <f t="shared" si="7"/>
        <v>25441705.52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173286</v>
      </c>
      <c r="I39" s="38">
        <f>'TX-EGM-GL'!I39+'TX-HPLR-GL '!I39+'TX-HPLC-GL'!I39</f>
        <v>440146.44</v>
      </c>
      <c r="J39" s="60">
        <f>'TX-EGM-GL'!J39+'TX-HPLR-GL '!J39+'TX-HPLC-GL'!J39</f>
        <v>9496125</v>
      </c>
      <c r="K39" s="38">
        <f>'TX-EGM-GL'!K39+'TX-HPLR-GL '!K39+'TX-HPLC-GL'!K39</f>
        <v>24739418.18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-5</v>
      </c>
      <c r="O39" s="38">
        <f>'TX-EGM-GL'!O39+'TX-HPLR-GL '!O39+'TX-HPLC-GL'!O39</f>
        <v>-13</v>
      </c>
      <c r="P39" s="60">
        <f>'TX-EGM-GL'!P39+'TX-HPLR-GL '!P39+'TX-HPLC-GL'!P39</f>
        <v>5</v>
      </c>
      <c r="Q39" s="38">
        <f>'TX-EGM-GL'!Q39+'TX-HPLR-GL '!Q39+'TX-HPLC-GL'!Q39</f>
        <v>262153.90000000002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-231242</v>
      </c>
      <c r="E40" s="38">
        <f t="shared" si="7"/>
        <v>-546846.22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-231242</v>
      </c>
      <c r="M40" s="38">
        <f>'TX-EGM-GL'!M40+'TX-HPLR-GL '!M40+'TX-HPLC-GL'!M40</f>
        <v>-546846.22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-231242</v>
      </c>
      <c r="E42" s="39">
        <f t="shared" si="8"/>
        <v>-546846.22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-231242</v>
      </c>
      <c r="M42" s="39">
        <f>SUM(M40:M41)</f>
        <v>-546846.22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9438169</v>
      </c>
      <c r="E43" s="39">
        <f t="shared" si="9"/>
        <v>24894859.300000001</v>
      </c>
      <c r="F43" s="61">
        <f t="shared" si="9"/>
        <v>0</v>
      </c>
      <c r="G43" s="39">
        <f t="shared" si="9"/>
        <v>0</v>
      </c>
      <c r="H43" s="61">
        <f t="shared" si="9"/>
        <v>173286</v>
      </c>
      <c r="I43" s="39">
        <f t="shared" si="9"/>
        <v>440146.44</v>
      </c>
      <c r="J43" s="61">
        <f t="shared" si="9"/>
        <v>9496125</v>
      </c>
      <c r="K43" s="39">
        <f t="shared" si="9"/>
        <v>24739418.18</v>
      </c>
      <c r="L43" s="61">
        <f>L42+L39</f>
        <v>-231242</v>
      </c>
      <c r="M43" s="39">
        <f>M42+M39</f>
        <v>-546846.22</v>
      </c>
      <c r="N43" s="61">
        <f t="shared" si="9"/>
        <v>-5</v>
      </c>
      <c r="O43" s="39">
        <f t="shared" si="9"/>
        <v>-13</v>
      </c>
      <c r="P43" s="61">
        <f t="shared" si="9"/>
        <v>5</v>
      </c>
      <c r="Q43" s="39">
        <f t="shared" si="9"/>
        <v>262153.90000000002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-0.40000000000145519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-0.40000000000145519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397286</v>
      </c>
      <c r="E49" s="38">
        <f>SUM(G49,I49,K49,M49,O49,Q49,S49,U49,W49,Y49,AA49,AC49,AE49)</f>
        <v>1009107.2799999999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15883630</v>
      </c>
      <c r="I49" s="38">
        <f>'TX-EGM-GL'!I49+'TX-HPLR-GL '!I49+'TX-HPLC-GL'!I49</f>
        <v>40344420.68</v>
      </c>
      <c r="J49" s="60">
        <f>'TX-EGM-GL'!J49+'TX-HPLR-GL '!J49+'TX-HPLC-GL'!J49</f>
        <v>-16418614</v>
      </c>
      <c r="K49" s="38">
        <f>'TX-EGM-GL'!K49+'TX-HPLR-GL '!K49+'TX-HPLC-GL'!K49</f>
        <v>-41703279.18</v>
      </c>
      <c r="L49" s="60">
        <f>'TX-EGM-GL'!L49+'TX-HPLR-GL '!L49+'TX-HPLC-GL'!L49</f>
        <v>593688</v>
      </c>
      <c r="M49" s="38">
        <f>'TX-EGM-GL'!M49+'TX-HPLR-GL '!M49+'TX-HPLC-GL'!M49</f>
        <v>1507967.34</v>
      </c>
      <c r="N49" s="60">
        <f>'TX-EGM-GL'!N49+'TX-HPLR-GL '!N49+'TX-HPLC-GL'!N49</f>
        <v>504264</v>
      </c>
      <c r="O49" s="38">
        <f>'TX-EGM-GL'!O49+'TX-HPLR-GL '!O49+'TX-HPLC-GL'!O49</f>
        <v>1280830.72</v>
      </c>
      <c r="P49" s="60">
        <f>'TX-EGM-GL'!P49+'TX-HPLR-GL '!P49+'TX-HPLC-GL'!P49</f>
        <v>12217</v>
      </c>
      <c r="Q49" s="38">
        <f>'TX-EGM-GL'!Q49+'TX-HPLR-GL '!Q49+'TX-HPLC-GL'!Q49</f>
        <v>31031.18</v>
      </c>
      <c r="R49" s="60">
        <f>'TX-EGM-GL'!R49+'TX-HPLR-GL '!R49+'TX-HPLC-GL'!R49</f>
        <v>-344417</v>
      </c>
      <c r="S49" s="38">
        <f>'TX-EGM-GL'!S49+'TX-HPLR-GL '!S49+'TX-HPLC-GL'!S49</f>
        <v>-874819.18</v>
      </c>
      <c r="T49" s="60">
        <f>'TX-EGM-GL'!T49+'TX-HPLR-GL '!T49+'TX-HPLC-GL'!T49</f>
        <v>166518</v>
      </c>
      <c r="U49" s="38">
        <f>'TX-EGM-GL'!U49+'TX-HPLR-GL '!U49+'TX-HPLC-GL'!U49</f>
        <v>422955.72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-19392</v>
      </c>
      <c r="E51" s="38">
        <f>SUM(G51,I51,K51,M51,O51,Q51,S51,U51,W51,Y51,AA51,AC51,AE51)</f>
        <v>-49255.679999999993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-15521</v>
      </c>
      <c r="I51" s="38">
        <f>'TX-EGM-GL'!I51+'TX-HPLR-GL '!I51+'TX-HPLC-GL'!I51</f>
        <v>-39423.339999999997</v>
      </c>
      <c r="J51" s="60">
        <f>'TX-EGM-GL'!J51+'TX-HPLR-GL '!J51+'TX-HPLC-GL'!J51</f>
        <v>-3871</v>
      </c>
      <c r="K51" s="38">
        <f>'TX-EGM-GL'!K51+'TX-HPLR-GL '!K51+'TX-HPLC-GL'!K51</f>
        <v>-9832.34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-18943055</v>
      </c>
      <c r="E54" s="38">
        <f>SUM(G54,I54,K54,M54,O54,Q54,S54,U54,W54,Y54,AA54,AC54,AE54)</f>
        <v>-1666047.4699999997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-1293893</v>
      </c>
      <c r="H54" s="60">
        <f>'TX-EGM-GL'!H54+'TX-HPLR-GL '!H54+'TX-HPLC-GL'!H54</f>
        <v>-9443043</v>
      </c>
      <c r="I54" s="38">
        <f>'TX-EGM-GL'!I54+'TX-HPLR-GL '!I54+'TX-HPLC-GL'!I54</f>
        <v>-206392.49</v>
      </c>
      <c r="J54" s="60">
        <f>'TX-EGM-GL'!J54+'TX-HPLR-GL '!J54+'TX-HPLC-GL'!J54</f>
        <v>-9162445</v>
      </c>
      <c r="K54" s="38">
        <f>'TX-EGM-GL'!K54+'TX-HPLR-GL '!K54+'TX-HPLC-GL'!K54</f>
        <v>-302383.37</v>
      </c>
      <c r="L54" s="60">
        <f>'TX-EGM-GL'!L54+'TX-HPLR-GL '!L54+'TX-HPLC-GL'!L54</f>
        <v>-22274</v>
      </c>
      <c r="M54" s="38">
        <f>'TX-EGM-GL'!M54+'TX-HPLR-GL '!M54+'TX-HPLC-GL'!M54</f>
        <v>152741.42000000001</v>
      </c>
      <c r="N54" s="60">
        <f>'TX-EGM-GL'!N54+'TX-HPLR-GL '!N54+'TX-HPLC-GL'!N54</f>
        <v>0</v>
      </c>
      <c r="O54" s="38">
        <f>'TX-EGM-GL'!O54+'TX-HPLR-GL '!O54+'TX-HPLC-GL'!O54</f>
        <v>-0.47</v>
      </c>
      <c r="P54" s="60">
        <f>'TX-EGM-GL'!P54+'TX-HPLR-GL '!P54+'TX-HPLC-GL'!P54</f>
        <v>-533067</v>
      </c>
      <c r="Q54" s="38">
        <f>'TX-EGM-GL'!Q54+'TX-HPLR-GL '!Q54+'TX-HPLC-GL'!Q54</f>
        <v>-10286.030000000001</v>
      </c>
      <c r="R54" s="60">
        <f>'TX-EGM-GL'!R54+'TX-HPLR-GL '!R54+'TX-HPLC-GL'!R54</f>
        <v>218528</v>
      </c>
      <c r="S54" s="38">
        <f>'TX-EGM-GL'!S54+'TX-HPLR-GL '!S54+'TX-HPLC-GL'!S54</f>
        <v>-5845.65</v>
      </c>
      <c r="T54" s="60">
        <f>'TX-EGM-GL'!T54+'TX-HPLR-GL '!T54+'TX-HPLC-GL'!T54</f>
        <v>-754</v>
      </c>
      <c r="U54" s="38">
        <f>'TX-EGM-GL'!U54+'TX-HPLR-GL '!U54+'TX-HPLC-GL'!U54</f>
        <v>12.120000000000001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-662</v>
      </c>
      <c r="E55" s="38">
        <f>SUM(G55,I55,K55,M55,O55,Q55,S55,U55,W55,Y55,AA55,AC55,AE55)</f>
        <v>-140806.09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93300</v>
      </c>
      <c r="H55" s="60">
        <f>'TX-EGM-GL'!H55+'TX-HPLR-GL '!H55+'TX-HPLC-GL'!H55</f>
        <v>0</v>
      </c>
      <c r="I55" s="38">
        <f>'TX-EGM-GL'!I55+'TX-HPLR-GL '!I55+'TX-HPLC-GL'!I55</f>
        <v>-166300</v>
      </c>
      <c r="J55" s="60">
        <f>'TX-EGM-GL'!J55+'TX-HPLR-GL '!J55+'TX-HPLC-GL'!J55</f>
        <v>0</v>
      </c>
      <c r="K55" s="38">
        <f>'TX-EGM-GL'!K55+'TX-HPLR-GL '!K55+'TX-HPLC-GL'!K55</f>
        <v>-8000</v>
      </c>
      <c r="L55" s="60">
        <f>'TX-EGM-GL'!L55+'TX-HPLR-GL '!L55+'TX-HPLC-GL'!L55</f>
        <v>0</v>
      </c>
      <c r="M55" s="38">
        <f>'TX-EGM-GL'!M55+'TX-HPLR-GL '!M55+'TX-HPLC-GL'!M55</f>
        <v>-155721</v>
      </c>
      <c r="N55" s="60">
        <f>'TX-EGM-GL'!N55+'TX-HPLR-GL '!N55+'TX-HPLC-GL'!N55</f>
        <v>0</v>
      </c>
      <c r="O55" s="38">
        <f>'TX-EGM-GL'!O55+'TX-HPLR-GL '!O55+'TX-HPLC-GL'!O55</f>
        <v>95925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-662</v>
      </c>
      <c r="S55" s="38">
        <f>'TX-EGM-GL'!S55+'TX-HPLR-GL '!S55+'TX-HPLC-GL'!S55</f>
        <v>-10.09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-18943717</v>
      </c>
      <c r="E56" s="39">
        <f t="shared" si="10"/>
        <v>-1806853.5599999998</v>
      </c>
      <c r="F56" s="61">
        <f t="shared" si="10"/>
        <v>0</v>
      </c>
      <c r="G56" s="39">
        <f t="shared" si="10"/>
        <v>-1200593</v>
      </c>
      <c r="H56" s="61">
        <f t="shared" si="10"/>
        <v>-9443043</v>
      </c>
      <c r="I56" s="39">
        <f t="shared" si="10"/>
        <v>-372692.49</v>
      </c>
      <c r="J56" s="61">
        <f t="shared" si="10"/>
        <v>-9162445</v>
      </c>
      <c r="K56" s="39">
        <f t="shared" si="10"/>
        <v>-310383.37</v>
      </c>
      <c r="L56" s="61">
        <f>SUM(L54:L55)</f>
        <v>-22274</v>
      </c>
      <c r="M56" s="39">
        <f>SUM(M54:M55)</f>
        <v>-2979.5799999999872</v>
      </c>
      <c r="N56" s="61">
        <f t="shared" si="10"/>
        <v>0</v>
      </c>
      <c r="O56" s="39">
        <f t="shared" si="10"/>
        <v>95924.53</v>
      </c>
      <c r="P56" s="61">
        <f t="shared" si="10"/>
        <v>-533067</v>
      </c>
      <c r="Q56" s="39">
        <f t="shared" si="10"/>
        <v>-10286.030000000001</v>
      </c>
      <c r="R56" s="61">
        <f t="shared" si="10"/>
        <v>217866</v>
      </c>
      <c r="S56" s="39">
        <f t="shared" si="10"/>
        <v>-5855.74</v>
      </c>
      <c r="T56" s="61">
        <f t="shared" si="10"/>
        <v>-754</v>
      </c>
      <c r="U56" s="39">
        <f t="shared" si="10"/>
        <v>12.120000000000001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49452.31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50000</v>
      </c>
      <c r="J64" s="60">
        <f>'TX-EGM-GL'!J64+'TX-HPLR-GL '!J64+'TX-HPLC-GL'!J64</f>
        <v>0</v>
      </c>
      <c r="K64" s="38">
        <f>'TX-EGM-GL'!K64+'TX-HPLR-GL '!K64+'TX-HPLC-GL'!K64</f>
        <v>-546.73</v>
      </c>
      <c r="L64" s="60">
        <f>'TX-EGM-GL'!L64+'TX-HPLR-GL '!L64+'TX-HPLC-GL'!L64</f>
        <v>0</v>
      </c>
      <c r="M64" s="38">
        <f>'TX-EGM-GL'!M64+'TX-HPLR-GL '!M64+'TX-HPLC-GL'!M64</f>
        <v>-0.96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49452.31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-546.73</v>
      </c>
      <c r="L66" s="61">
        <f>SUM(L64:L65)</f>
        <v>0</v>
      </c>
      <c r="M66" s="39">
        <f>SUM(M64:M65)</f>
        <v>-0.96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-8691498.1899999995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-8691498.1899999995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7489614.6200000001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7489614.6200000001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-1201883.5699999994</v>
      </c>
      <c r="F72" s="61">
        <f t="shared" si="13"/>
        <v>0</v>
      </c>
      <c r="G72" s="39">
        <f t="shared" si="13"/>
        <v>-1201883.5699999994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613133.79999999981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7922918.7599999998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-7270260</v>
      </c>
      <c r="L74" s="60">
        <f>'TX-EGM-GL'!L74+'TX-HPLR-GL '!L74+'TX-HPLC-GL'!L74</f>
        <v>0</v>
      </c>
      <c r="M74" s="38">
        <f>'TX-EGM-GL'!M74+'TX-HPLR-GL '!M74+'TX-HPLC-GL'!M74</f>
        <v>-39524.959999999999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2600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2600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-2726.01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-1075</v>
      </c>
      <c r="J76" s="60">
        <f>'TX-EGM-GL'!J76+'TX-HPLR-GL '!J76+'TX-HPLC-GL'!J76</f>
        <v>0</v>
      </c>
      <c r="K76" s="38">
        <f>'TX-EGM-GL'!K76+'TX-HPLR-GL '!K76+'TX-HPLC-GL'!K76</f>
        <v>-1651.01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1380048.3800000742</v>
      </c>
      <c r="F82" s="91">
        <f>F16+F24+F29+F36+F43+F45+F47+F49</f>
        <v>0</v>
      </c>
      <c r="G82" s="92">
        <f>SUM(G72:G81)+G16+G24+G29+G36+G43+G45+G47+G49+G51+G56+G61+G66</f>
        <v>281811.53000000026</v>
      </c>
      <c r="H82" s="91">
        <f>H16+H24+H29+H36+H43+H45+H47+H49</f>
        <v>0</v>
      </c>
      <c r="I82" s="92">
        <f>SUM(I72:I81)+I16+I24+I29+I36+I43+I45+I47+I49+I51+I56+I61+I66</f>
        <v>1308516.560000008</v>
      </c>
      <c r="J82" s="91">
        <f>J16+J24+J29+J36+J43+J45+J47+J49</f>
        <v>0</v>
      </c>
      <c r="K82" s="92">
        <f>SUM(K72:K81)+K16+K24+K29+K36+K43+K45+K47+K49+K51+K56+K61+K66</f>
        <v>-2269914.4099999988</v>
      </c>
      <c r="L82" s="91">
        <f>L16+L24+L29+L36+L43+L45+L47+L49</f>
        <v>0</v>
      </c>
      <c r="M82" s="92">
        <f>SUM(M72:M81)+M16+M24+M29+M36+M43+M45+M47+M49+M51+M56+M61+M66</f>
        <v>2093951.7400000002</v>
      </c>
      <c r="N82" s="91">
        <f>N16+N24+N29+N36+N43+N45+N47+N49</f>
        <v>0</v>
      </c>
      <c r="O82" s="92">
        <f>SUM(O72:O81)+O16+O24+O29+O36+O43+O45+O47+O49+O51+O56+O61+O66</f>
        <v>-155133.50000000399</v>
      </c>
      <c r="P82" s="91">
        <f>P16+P24+P29+P36+P43+P45+P47+P49</f>
        <v>0</v>
      </c>
      <c r="Q82" s="92">
        <f>SUM(Q72:Q81)+Q16+Q24+Q29+Q36+Q43+Q45+Q47+Q49+Q51+Q56+Q61+Q66</f>
        <v>274244.31</v>
      </c>
      <c r="R82" s="91">
        <f>R16+R24+R29+R36+R43+R45+R47+R49</f>
        <v>0</v>
      </c>
      <c r="S82" s="92">
        <f>SUM(S72:S81)+S16+S24+S29+S36+S43+S45+S47+S49+S51+S56+S61+S66</f>
        <v>-162795.42000000004</v>
      </c>
      <c r="T82" s="91">
        <f>T16+T24+T29+T36+T43+T45+T47+T49</f>
        <v>0</v>
      </c>
      <c r="U82" s="92">
        <f>SUM(U72:U81)+U16+U24+U29+U36+U43+U45+U47+U49+U51+U56+U61+U66</f>
        <v>9367.5699999999542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1697579.3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106137.63000000008</v>
      </c>
      <c r="H86" s="145">
        <f>'TX-EGM-GL'!H86+'TX-HPLR-GL '!H86+'TX-HPLC-GL'!H86</f>
        <v>0</v>
      </c>
      <c r="I86" s="145">
        <f>'TX-EGM-GL'!I86+'TX-HPLR-GL '!I86+'TX-HPLC-GL'!I86</f>
        <v>-158829</v>
      </c>
      <c r="J86" s="145">
        <f>'TX-EGM-GL'!J86+'TX-HPLR-GL '!J86+'TX-HPLC-GL'!J86</f>
        <v>0</v>
      </c>
      <c r="K86" s="145">
        <f>'TX-EGM-GL'!K86+'TX-HPLR-GL '!K86+'TX-HPLC-GL'!K86</f>
        <v>1750270.67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-1455000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-1455000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242579.30000000005</v>
      </c>
      <c r="F89" s="155">
        <f t="shared" si="16"/>
        <v>0</v>
      </c>
      <c r="G89" s="155">
        <f t="shared" si="16"/>
        <v>-1348862.3699999999</v>
      </c>
      <c r="H89" s="155">
        <f t="shared" si="16"/>
        <v>0</v>
      </c>
      <c r="I89" s="155">
        <f t="shared" si="16"/>
        <v>-158829</v>
      </c>
      <c r="J89" s="155">
        <f>SUM(J86:J88)</f>
        <v>0</v>
      </c>
      <c r="K89" s="155">
        <f>SUM(K86:K88)</f>
        <v>1750270.67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1622627.6800000742</v>
      </c>
      <c r="F91" s="155">
        <f t="shared" si="19"/>
        <v>0</v>
      </c>
      <c r="G91" s="155">
        <f t="shared" si="19"/>
        <v>-1067050.8399999996</v>
      </c>
      <c r="H91" s="155">
        <f t="shared" si="19"/>
        <v>0</v>
      </c>
      <c r="I91" s="155">
        <f t="shared" si="19"/>
        <v>1149687.560000008</v>
      </c>
      <c r="J91" s="155">
        <f>+J82+J89</f>
        <v>0</v>
      </c>
      <c r="K91" s="155">
        <f>+K82+K89</f>
        <v>-519643.73999999883</v>
      </c>
      <c r="L91" s="155">
        <f t="shared" si="19"/>
        <v>0</v>
      </c>
      <c r="M91" s="155">
        <f t="shared" si="19"/>
        <v>2093951.7400000002</v>
      </c>
      <c r="N91" s="155">
        <f t="shared" ref="N91:AE91" si="20">+N82+N89</f>
        <v>0</v>
      </c>
      <c r="O91" s="155">
        <f t="shared" si="20"/>
        <v>-155133.50000000399</v>
      </c>
      <c r="P91" s="155">
        <f t="shared" si="20"/>
        <v>0</v>
      </c>
      <c r="Q91" s="155">
        <f t="shared" si="20"/>
        <v>274244.31</v>
      </c>
      <c r="R91" s="155">
        <f t="shared" si="20"/>
        <v>0</v>
      </c>
      <c r="S91" s="155">
        <f t="shared" si="20"/>
        <v>-162795.42000000004</v>
      </c>
      <c r="T91" s="155">
        <f t="shared" si="20"/>
        <v>0</v>
      </c>
      <c r="U91" s="155">
        <f t="shared" si="20"/>
        <v>9367.5699999999542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M56" activePane="bottomRight" state="frozen"/>
      <selection activeCell="T9" sqref="T9"/>
      <selection pane="topRight" activeCell="T9" sqref="T9"/>
      <selection pane="bottomLeft" activeCell="T9" sqref="T9"/>
      <selection pane="bottomRight" activeCell="U74" sqref="U7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27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41744084</v>
      </c>
      <c r="E11" s="38">
        <f>SUM(G11,I11,K11,M11,O11,Q11,S11,U11,W11,Y11,AA11,AC11,AE11)</f>
        <v>102746836.28</v>
      </c>
      <c r="F11" s="60">
        <f>'TIE-OUT'!P11+RECLASS!N11</f>
        <v>0</v>
      </c>
      <c r="G11" s="38">
        <f>'TIE-OUT'!Q11+RECLASS!O11</f>
        <v>0</v>
      </c>
      <c r="H11" s="118">
        <f>+Actuals!E484</f>
        <v>41747236</v>
      </c>
      <c r="I11" s="119">
        <f>+Actuals!F484</f>
        <v>102813600.33</v>
      </c>
      <c r="J11" s="118">
        <f>+Actuals!G484</f>
        <v>-37595</v>
      </c>
      <c r="K11" s="119">
        <f>+Actuals!H484</f>
        <v>-166116.03</v>
      </c>
      <c r="L11" s="118">
        <f>+Actuals!I484</f>
        <v>40219</v>
      </c>
      <c r="M11" s="119">
        <f>+Actuals!J484</f>
        <v>114196.21</v>
      </c>
      <c r="N11" s="118">
        <f>+Actuals!K484</f>
        <v>0</v>
      </c>
      <c r="O11" s="119">
        <f>+Actuals!L484</f>
        <v>-665833.91</v>
      </c>
      <c r="P11" s="118">
        <v>-5776</v>
      </c>
      <c r="Q11" s="119">
        <v>650989.68000000005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3812623.58</v>
      </c>
      <c r="F12" s="60">
        <f>'TIE-OUT'!P12+RECLASS!N12</f>
        <v>0</v>
      </c>
      <c r="G12" s="38">
        <f>'TIE-OUT'!Q12+RECLASS!O12</f>
        <v>3812623.58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</f>
        <v>0</v>
      </c>
      <c r="L12" s="118">
        <f>+Actuals!I485</f>
        <v>0</v>
      </c>
      <c r="M12" s="215"/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12749483</v>
      </c>
      <c r="E13" s="38">
        <f t="shared" si="0"/>
        <v>35048944</v>
      </c>
      <c r="F13" s="60">
        <f>'TIE-OUT'!P13+RECLASS!N13</f>
        <v>0</v>
      </c>
      <c r="G13" s="38">
        <f>'TIE-OUT'!Q13+RECLASS!O13</f>
        <v>0</v>
      </c>
      <c r="H13" s="118">
        <f>+Actuals!E486</f>
        <v>30000</v>
      </c>
      <c r="I13" s="119">
        <f>+Actuals!F486</f>
        <v>83100</v>
      </c>
      <c r="J13" s="118">
        <f>+Actuals!G486</f>
        <v>0</v>
      </c>
      <c r="K13" s="119">
        <f>+Actuals!H486</f>
        <v>0</v>
      </c>
      <c r="L13" s="118">
        <f>+Actuals!I486</f>
        <v>0</v>
      </c>
      <c r="M13" s="119">
        <f>+Actuals!J486</f>
        <v>0</v>
      </c>
      <c r="N13" s="118">
        <f>+Actuals!K486</f>
        <v>12719483</v>
      </c>
      <c r="O13" s="119">
        <f>+Actuals!L486</f>
        <v>34965844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1508857.12</v>
      </c>
      <c r="F15" s="81">
        <f>'TIE-OUT'!P15+RECLASS!N15</f>
        <v>0</v>
      </c>
      <c r="G15" s="82">
        <f>'TIE-OUT'!Q15+RECLASS!O15</f>
        <v>214900</v>
      </c>
      <c r="H15" s="118">
        <f>+Actuals!E488</f>
        <v>0</v>
      </c>
      <c r="I15" s="119">
        <f>+Actuals!F488</f>
        <v>1126286.8600000001</v>
      </c>
      <c r="J15" s="118">
        <f>+Actuals!G488</f>
        <v>0</v>
      </c>
      <c r="K15" s="119">
        <f>+Actuals!H488</f>
        <v>2406.16</v>
      </c>
      <c r="L15" s="118">
        <f>+Actuals!I488</f>
        <v>0</v>
      </c>
      <c r="M15" s="119">
        <f>+Actuals!J488</f>
        <v>175555.1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v>-10291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54493567</v>
      </c>
      <c r="E16" s="39">
        <f t="shared" si="1"/>
        <v>143117260.98000002</v>
      </c>
      <c r="F16" s="61">
        <f t="shared" si="1"/>
        <v>0</v>
      </c>
      <c r="G16" s="39">
        <f t="shared" si="1"/>
        <v>4027523.58</v>
      </c>
      <c r="H16" s="61">
        <f t="shared" si="1"/>
        <v>41777236</v>
      </c>
      <c r="I16" s="39">
        <f t="shared" si="1"/>
        <v>104022987.19</v>
      </c>
      <c r="J16" s="61">
        <f t="shared" ref="J16:AO16" si="2">SUM(J11:J15)</f>
        <v>-37595</v>
      </c>
      <c r="K16" s="39">
        <f t="shared" si="2"/>
        <v>-163709.87</v>
      </c>
      <c r="L16" s="61">
        <f>SUM(L11:L15)</f>
        <v>40219</v>
      </c>
      <c r="M16" s="39">
        <f>SUM(M11:M15)</f>
        <v>289751.31</v>
      </c>
      <c r="N16" s="61">
        <f t="shared" si="2"/>
        <v>12719483</v>
      </c>
      <c r="O16" s="39">
        <f t="shared" si="2"/>
        <v>34300010.090000004</v>
      </c>
      <c r="P16" s="61">
        <f t="shared" si="2"/>
        <v>-5776</v>
      </c>
      <c r="Q16" s="39">
        <f t="shared" si="2"/>
        <v>650989.68000000005</v>
      </c>
      <c r="R16" s="61">
        <f t="shared" si="2"/>
        <v>0</v>
      </c>
      <c r="S16" s="39">
        <f t="shared" si="2"/>
        <v>-10291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-44701745</v>
      </c>
      <c r="E19" s="38">
        <f t="shared" si="3"/>
        <v>-113389389.40000001</v>
      </c>
      <c r="F19" s="64">
        <f>'TIE-OUT'!P19+RECLASS!N19</f>
        <v>0</v>
      </c>
      <c r="G19" s="68">
        <f>'TIE-OUT'!Q19+RECLASS!O19</f>
        <v>-6444</v>
      </c>
      <c r="H19" s="118">
        <f>+Actuals!E489</f>
        <v>-44689424</v>
      </c>
      <c r="I19" s="119">
        <f>+Actuals!F489</f>
        <v>-113277209.69000001</v>
      </c>
      <c r="J19" s="118">
        <f>+Actuals!G489</f>
        <v>-12771</v>
      </c>
      <c r="K19" s="119">
        <f>+Actuals!H489</f>
        <v>-423826.07</v>
      </c>
      <c r="L19" s="118">
        <f>+Actuals!I489</f>
        <v>0</v>
      </c>
      <c r="M19" s="119">
        <f>+Actuals!J489</f>
        <v>-353400</v>
      </c>
      <c r="N19" s="118">
        <f>+Actuals!K489</f>
        <v>0</v>
      </c>
      <c r="O19" s="119">
        <f>+Actuals!L489</f>
        <v>43816.86</v>
      </c>
      <c r="P19" s="118">
        <v>450</v>
      </c>
      <c r="Q19" s="119">
        <v>627673.5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73949.580000000075</v>
      </c>
      <c r="F20" s="60">
        <f>'TIE-OUT'!P20+RECLASS!N20</f>
        <v>0</v>
      </c>
      <c r="G20" s="38">
        <f>'TIE-OUT'!Q20+RECLASS!O20</f>
        <v>73949.580000000075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215"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-12749483</v>
      </c>
      <c r="E21" s="38">
        <f t="shared" si="3"/>
        <v>-35048344</v>
      </c>
      <c r="F21" s="60">
        <f>'TIE-OUT'!P21+RECLASS!N21</f>
        <v>0</v>
      </c>
      <c r="G21" s="38">
        <f>'TIE-OUT'!Q21+RECLASS!O21</f>
        <v>0</v>
      </c>
      <c r="H21" s="118">
        <f>+Actuals!E491</f>
        <v>-30000</v>
      </c>
      <c r="I21" s="119">
        <f>+Actuals!F491</f>
        <v>-82500</v>
      </c>
      <c r="J21" s="118">
        <f>+Actuals!G491</f>
        <v>0</v>
      </c>
      <c r="K21" s="119">
        <f>+Actuals!H491</f>
        <v>0</v>
      </c>
      <c r="L21" s="118">
        <f>+Actuals!I491</f>
        <v>0</v>
      </c>
      <c r="M21" s="119">
        <f>+Actuals!J491</f>
        <v>0</v>
      </c>
      <c r="N21" s="118">
        <f>+Actuals!K491</f>
        <v>-12719483</v>
      </c>
      <c r="O21" s="119">
        <f>+Actuals!L491</f>
        <v>-34965844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336838</v>
      </c>
      <c r="E23" s="38">
        <f t="shared" si="3"/>
        <v>815821.63599999994</v>
      </c>
      <c r="F23" s="81">
        <f>'TIE-OUT'!P23+RECLASS!N23</f>
        <v>0</v>
      </c>
      <c r="G23" s="82">
        <f>'TIE-OUT'!Q23+RECLASS!O23</f>
        <v>0</v>
      </c>
      <c r="H23" s="118">
        <f>+Actuals!E493</f>
        <v>331180</v>
      </c>
      <c r="I23" s="119">
        <f>+Actuals!F493</f>
        <v>802117.96</v>
      </c>
      <c r="J23" s="118">
        <f>+Actuals!G493</f>
        <v>5776</v>
      </c>
      <c r="K23" s="119">
        <f>+Actuals!H493</f>
        <v>13989.472</v>
      </c>
      <c r="L23" s="118">
        <f>+Actuals!I493</f>
        <v>-118</v>
      </c>
      <c r="M23" s="119">
        <f>+Actuals!J493</f>
        <v>-285.79599999999999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-57114390</v>
      </c>
      <c r="E24" s="39">
        <f t="shared" si="4"/>
        <v>-147547962.18399999</v>
      </c>
      <c r="F24" s="61">
        <f t="shared" si="4"/>
        <v>0</v>
      </c>
      <c r="G24" s="39">
        <f t="shared" si="4"/>
        <v>67505.580000000075</v>
      </c>
      <c r="H24" s="61">
        <f t="shared" si="4"/>
        <v>-44388244</v>
      </c>
      <c r="I24" s="39">
        <f t="shared" si="4"/>
        <v>-112557591.73000002</v>
      </c>
      <c r="J24" s="61">
        <f t="shared" ref="J24:AO24" si="5">SUM(J19:J23)</f>
        <v>-6995</v>
      </c>
      <c r="K24" s="39">
        <f t="shared" si="5"/>
        <v>-409836.598</v>
      </c>
      <c r="L24" s="61">
        <f>SUM(L19:L23)</f>
        <v>-118</v>
      </c>
      <c r="M24" s="39">
        <f>SUM(M19:M23)</f>
        <v>-353685.79599999997</v>
      </c>
      <c r="N24" s="61">
        <f t="shared" si="5"/>
        <v>-12719483</v>
      </c>
      <c r="O24" s="39">
        <f t="shared" si="5"/>
        <v>-34922027.140000001</v>
      </c>
      <c r="P24" s="61">
        <f t="shared" si="5"/>
        <v>450</v>
      </c>
      <c r="Q24" s="39">
        <f t="shared" si="5"/>
        <v>627673.5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1205247</v>
      </c>
      <c r="E27" s="38">
        <f>SUM(G27,I27,K27,M27,O27,Q27,S27,U27,W27,Y27,AA27,AC27,AE27)</f>
        <v>3264180.5</v>
      </c>
      <c r="F27" s="64">
        <f>'TIE-OUT'!P27+RECLASS!N27</f>
        <v>0</v>
      </c>
      <c r="G27" s="68">
        <f>'TIE-OUT'!Q27+RECLASS!O27</f>
        <v>0</v>
      </c>
      <c r="H27" s="118">
        <f>+Actuals!E494</f>
        <v>1205247</v>
      </c>
      <c r="I27" s="119">
        <f>+Actuals!F494</f>
        <v>3264180.5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-60000</v>
      </c>
      <c r="E28" s="38">
        <f>SUM(G28,I28,K28,M28,O28,Q28,S28,U28,W28,Y28,AA28,AC28,AE28)</f>
        <v>-157200</v>
      </c>
      <c r="F28" s="81">
        <f>'TIE-OUT'!P28+RECLASS!N28</f>
        <v>0</v>
      </c>
      <c r="G28" s="82">
        <f>'TIE-OUT'!Q28+RECLASS!O28</f>
        <v>0</v>
      </c>
      <c r="H28" s="118">
        <f>+Actuals!E495</f>
        <v>-60000</v>
      </c>
      <c r="I28" s="119">
        <f>+Actuals!F495</f>
        <v>-157200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1145247</v>
      </c>
      <c r="E29" s="39">
        <f t="shared" si="6"/>
        <v>3106980.5</v>
      </c>
      <c r="F29" s="61">
        <f t="shared" si="6"/>
        <v>0</v>
      </c>
      <c r="G29" s="39">
        <f t="shared" si="6"/>
        <v>0</v>
      </c>
      <c r="H29" s="61">
        <f t="shared" si="6"/>
        <v>1145247</v>
      </c>
      <c r="I29" s="39">
        <f t="shared" si="6"/>
        <v>3106980.5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-66458</v>
      </c>
      <c r="E32" s="38">
        <f t="shared" si="8"/>
        <v>-160961.27599999998</v>
      </c>
      <c r="F32" s="64">
        <f>'TIE-OUT'!P32+RECLASS!N32</f>
        <v>0</v>
      </c>
      <c r="G32" s="68">
        <f>'TIE-OUT'!Q32+RECLASS!O32</f>
        <v>0</v>
      </c>
      <c r="H32" s="118">
        <f>+Actuals!E496</f>
        <v>-91202</v>
      </c>
      <c r="I32" s="119">
        <f>+Actuals!F496</f>
        <v>-220891.24400000001</v>
      </c>
      <c r="J32" s="118">
        <f>+Actuals!G496</f>
        <v>46650</v>
      </c>
      <c r="K32" s="119">
        <f>+Actuals!H496</f>
        <v>112986.3</v>
      </c>
      <c r="L32" s="118">
        <f>+Actuals!I496</f>
        <v>-37271</v>
      </c>
      <c r="M32" s="119">
        <f>+Actuals!J496</f>
        <v>-90270.361999999994</v>
      </c>
      <c r="N32" s="118">
        <f>+Actuals!K496</f>
        <v>0</v>
      </c>
      <c r="O32" s="119">
        <f>+Actuals!L496</f>
        <v>0</v>
      </c>
      <c r="P32" s="118">
        <v>5326</v>
      </c>
      <c r="Q32" s="119">
        <v>12899.57</v>
      </c>
      <c r="R32" s="118">
        <v>12121</v>
      </c>
      <c r="S32" s="119">
        <v>29357.06</v>
      </c>
      <c r="T32" s="118">
        <v>-2082</v>
      </c>
      <c r="U32" s="119">
        <v>-5042.6000000000004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-14110</v>
      </c>
      <c r="E33" s="38">
        <f t="shared" si="8"/>
        <v>-45843.380000000005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-1989</v>
      </c>
      <c r="K33" s="119">
        <f>+Actuals!H497</f>
        <v>-5274.4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v>-12121</v>
      </c>
      <c r="S33" s="119">
        <v>-40568.980000000003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1175</v>
      </c>
      <c r="E34" s="38">
        <f t="shared" si="8"/>
        <v>3038.55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1175</v>
      </c>
      <c r="K34" s="119">
        <f>+Actuals!H498</f>
        <v>3038.55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1756423</v>
      </c>
      <c r="E35" s="38">
        <f t="shared" si="8"/>
        <v>4830476.8499999996</v>
      </c>
      <c r="F35" s="81">
        <f>'TIE-OUT'!P35+RECLASS!N35</f>
        <v>1797081</v>
      </c>
      <c r="G35" s="82">
        <f>'TIE-OUT'!Q35+RECLASS!O35</f>
        <v>9181285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v>-4350808.1500000004</v>
      </c>
      <c r="R35" s="118">
        <f>+Actuals!O499</f>
        <v>0</v>
      </c>
      <c r="S35" s="119">
        <f>+Actuals!P499</f>
        <v>0</v>
      </c>
      <c r="T35" s="118">
        <v>-40658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1677030</v>
      </c>
      <c r="E36" s="39">
        <f t="shared" si="9"/>
        <v>4626710.7439999999</v>
      </c>
      <c r="F36" s="61">
        <f t="shared" si="9"/>
        <v>1797081</v>
      </c>
      <c r="G36" s="39">
        <f t="shared" si="9"/>
        <v>9181285</v>
      </c>
      <c r="H36" s="61">
        <f t="shared" si="9"/>
        <v>-91202</v>
      </c>
      <c r="I36" s="39">
        <f t="shared" si="9"/>
        <v>-220891.24400000001</v>
      </c>
      <c r="J36" s="61">
        <f t="shared" ref="J36:AO36" si="10">SUM(J32:J35)</f>
        <v>45836</v>
      </c>
      <c r="K36" s="39">
        <f t="shared" si="10"/>
        <v>110750.45000000001</v>
      </c>
      <c r="L36" s="61">
        <f>SUM(L32:L35)</f>
        <v>-37271</v>
      </c>
      <c r="M36" s="39">
        <f>SUM(M32:M35)</f>
        <v>-90270.361999999994</v>
      </c>
      <c r="N36" s="61">
        <f t="shared" si="10"/>
        <v>0</v>
      </c>
      <c r="O36" s="39">
        <f t="shared" si="10"/>
        <v>0</v>
      </c>
      <c r="P36" s="61">
        <f t="shared" si="10"/>
        <v>5326</v>
      </c>
      <c r="Q36" s="39">
        <f t="shared" si="10"/>
        <v>-4337908.58</v>
      </c>
      <c r="R36" s="61">
        <f t="shared" si="10"/>
        <v>0</v>
      </c>
      <c r="S36" s="39">
        <f t="shared" si="10"/>
        <v>-11211.920000000002</v>
      </c>
      <c r="T36" s="61">
        <f t="shared" si="10"/>
        <v>-42740</v>
      </c>
      <c r="U36" s="39">
        <f t="shared" si="10"/>
        <v>-5042.6000000000004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41553</v>
      </c>
      <c r="E39" s="38">
        <f t="shared" si="11"/>
        <v>101056.21000000041</v>
      </c>
      <c r="F39" s="64">
        <f>'TIE-OUT'!P39+RECLASS!N39</f>
        <v>-1797081</v>
      </c>
      <c r="G39" s="68">
        <f>'TIE-OUT'!Q39+RECLASS!O39</f>
        <v>-4352530</v>
      </c>
      <c r="H39" s="118">
        <f>+Actuals!E500</f>
        <v>1797081</v>
      </c>
      <c r="I39" s="119">
        <f>+Actuals!F500</f>
        <v>4352530.1900000004</v>
      </c>
      <c r="J39" s="118">
        <f>+Actuals!G500</f>
        <v>895</v>
      </c>
      <c r="K39" s="119">
        <f>+Actuals!H500</f>
        <v>2167.69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v>40658</v>
      </c>
      <c r="U39" s="119">
        <v>98888.33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-77546</v>
      </c>
      <c r="E40" s="38">
        <f t="shared" si="11"/>
        <v>-188375.77</v>
      </c>
      <c r="F40" s="60">
        <f>'TIE-OUT'!P40+RECLASS!N40</f>
        <v>0</v>
      </c>
      <c r="G40" s="38">
        <f>'TIE-OUT'!Q40+RECLASS!O40</f>
        <v>0</v>
      </c>
      <c r="H40" s="118">
        <f>+Actuals!E501</f>
        <v>-77503</v>
      </c>
      <c r="I40" s="119">
        <f>+Actuals!F501</f>
        <v>-188271.31</v>
      </c>
      <c r="J40" s="118">
        <f>+Actuals!G501</f>
        <v>-43</v>
      </c>
      <c r="K40" s="119">
        <f>+Actuals!H501</f>
        <v>-104.46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'TIE-OUT'!P41+RECLASS!N41</f>
        <v>0</v>
      </c>
      <c r="G41" s="82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-77546</v>
      </c>
      <c r="E42" s="39">
        <f t="shared" si="12"/>
        <v>-188375.77</v>
      </c>
      <c r="F42" s="61">
        <f t="shared" si="12"/>
        <v>0</v>
      </c>
      <c r="G42" s="39">
        <f t="shared" si="12"/>
        <v>0</v>
      </c>
      <c r="H42" s="61">
        <f t="shared" si="12"/>
        <v>-77503</v>
      </c>
      <c r="I42" s="39">
        <f t="shared" si="12"/>
        <v>-188271.31</v>
      </c>
      <c r="J42" s="61">
        <f t="shared" ref="J42:AO42" si="13">SUM(J40:J41)</f>
        <v>-43</v>
      </c>
      <c r="K42" s="39">
        <f t="shared" si="13"/>
        <v>-104.46</v>
      </c>
      <c r="L42" s="61">
        <f>SUM(L40:L41)</f>
        <v>0</v>
      </c>
      <c r="M42" s="39">
        <f>SUM(M40:M41)</f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-35993</v>
      </c>
      <c r="E43" s="39">
        <f t="shared" si="14"/>
        <v>-87319.559999999576</v>
      </c>
      <c r="F43" s="61">
        <f t="shared" si="14"/>
        <v>-1797081</v>
      </c>
      <c r="G43" s="39">
        <f t="shared" si="14"/>
        <v>-4352530</v>
      </c>
      <c r="H43" s="61">
        <f t="shared" si="14"/>
        <v>1719578</v>
      </c>
      <c r="I43" s="39">
        <f t="shared" si="14"/>
        <v>4164258.8800000004</v>
      </c>
      <c r="J43" s="61">
        <f t="shared" ref="J43:AO43" si="15">J42+J39</f>
        <v>852</v>
      </c>
      <c r="K43" s="39">
        <f t="shared" si="15"/>
        <v>2063.23</v>
      </c>
      <c r="L43" s="61">
        <f>L42+L39</f>
        <v>0</v>
      </c>
      <c r="M43" s="39">
        <f>M42+M39</f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40658</v>
      </c>
      <c r="U43" s="39">
        <f t="shared" si="15"/>
        <v>98888.33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'TIE-OUT'!P45+RECLASS!N45</f>
        <v>0</v>
      </c>
      <c r="G45" s="6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-165461</v>
      </c>
      <c r="E49" s="38">
        <f>SUM(G49,I49,K49,M49,O49,Q49,S49,U49,W49,Y49,AA49,AC49,AE49)</f>
        <v>-400746.54600000003</v>
      </c>
      <c r="F49" s="60">
        <f>'TIE-OUT'!P49+RECLASS!N49</f>
        <v>0</v>
      </c>
      <c r="G49" s="38">
        <f>'TIE-OUT'!Q49+RECLASS!O49</f>
        <v>0</v>
      </c>
      <c r="H49" s="118">
        <f>+Actuals!E505</f>
        <v>-162615</v>
      </c>
      <c r="I49" s="119">
        <f>+Actuals!F505</f>
        <v>-393853.53</v>
      </c>
      <c r="J49" s="118">
        <f>+Actuals!G505</f>
        <v>-2098</v>
      </c>
      <c r="K49" s="119">
        <f>+Actuals!H505</f>
        <v>-5081.3559999999707</v>
      </c>
      <c r="L49" s="118">
        <f>+Actuals!I505</f>
        <v>-2830</v>
      </c>
      <c r="M49" s="119">
        <f>+Actuals!J505</f>
        <v>-6854.26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v>2082</v>
      </c>
      <c r="U49" s="119">
        <v>5042.6000000000004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-336838</v>
      </c>
      <c r="E51" s="38">
        <f>SUM(G51,I51,K51,M51,O51,Q51,S51,U51,W51,Y51,AA51,AC51,AE51)</f>
        <v>-815821.63599999994</v>
      </c>
      <c r="F51" s="60">
        <f>'TIE-OUT'!P51+RECLASS!N51</f>
        <v>0</v>
      </c>
      <c r="G51" s="38">
        <f>'TIE-OUT'!Q51+RECLASS!O51</f>
        <v>0</v>
      </c>
      <c r="H51" s="118">
        <f>+Actuals!E506</f>
        <v>-331180</v>
      </c>
      <c r="I51" s="119">
        <f>+Actuals!F506</f>
        <v>-802117.96</v>
      </c>
      <c r="J51" s="118">
        <f>+Actuals!G506</f>
        <v>-5776</v>
      </c>
      <c r="K51" s="119">
        <f>+Actuals!H506</f>
        <v>-13989.472</v>
      </c>
      <c r="L51" s="118">
        <f>+Actuals!I506</f>
        <v>118</v>
      </c>
      <c r="M51" s="119">
        <f>+Actuals!J506</f>
        <v>285.79599999999999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-20889405</v>
      </c>
      <c r="E54" s="38">
        <f>SUM(G54,I54,K54,M54,O54,Q54,S54,U54,W54,Y54,AA54,AC54,AE54)</f>
        <v>-203271.99999999997</v>
      </c>
      <c r="F54" s="64">
        <f>'TIE-OUT'!P54+RECLASS!N54</f>
        <v>0</v>
      </c>
      <c r="G54" s="68">
        <f>'TIE-OUT'!Q54+RECLASS!O54</f>
        <v>296856</v>
      </c>
      <c r="H54" s="118">
        <f>+Actuals!E507</f>
        <v>-23086787</v>
      </c>
      <c r="I54" s="119">
        <f>+Actuals!F507</f>
        <v>-421740.94</v>
      </c>
      <c r="J54" s="118">
        <f>+Actuals!G507</f>
        <v>2621835</v>
      </c>
      <c r="K54" s="119">
        <f>+Actuals!H507</f>
        <v>-108152.11</v>
      </c>
      <c r="L54" s="118">
        <f>+Actuals!I507</f>
        <v>-501630</v>
      </c>
      <c r="M54" s="119">
        <f>+Actuals!J507</f>
        <v>29326.880000000001</v>
      </c>
      <c r="N54" s="118">
        <f>+Actuals!K507</f>
        <v>1</v>
      </c>
      <c r="O54" s="119">
        <f>+Actuals!L507</f>
        <v>665794.4</v>
      </c>
      <c r="P54" s="118">
        <f>+Actuals!M507</f>
        <v>0</v>
      </c>
      <c r="Q54" s="119">
        <v>-665834</v>
      </c>
      <c r="R54" s="118">
        <v>6227</v>
      </c>
      <c r="S54" s="119">
        <f>+Actuals!P507</f>
        <v>0</v>
      </c>
      <c r="T54" s="118">
        <v>70949</v>
      </c>
      <c r="U54" s="119">
        <v>477.77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-2313105.7199999997</v>
      </c>
      <c r="F55" s="81">
        <f>'TIE-OUT'!P55+RECLASS!N55</f>
        <v>0</v>
      </c>
      <c r="G55" s="82">
        <f>'TIE-OUT'!Q55+RECLASS!O55</f>
        <v>0</v>
      </c>
      <c r="H55" s="118">
        <f>+Actuals!E508</f>
        <v>0</v>
      </c>
      <c r="I55" s="119">
        <f>+Actuals!F508</f>
        <v>-2201051.48</v>
      </c>
      <c r="J55" s="118">
        <f>+Actuals!G508</f>
        <v>0</v>
      </c>
      <c r="K55" s="119">
        <f>+Actuals!H508</f>
        <v>-113132.38</v>
      </c>
      <c r="L55" s="118">
        <f>+Actuals!I508</f>
        <v>0</v>
      </c>
      <c r="M55" s="119">
        <f>+Actuals!J508</f>
        <v>1078.6400000000001</v>
      </c>
      <c r="N55" s="118">
        <f>+Actuals!K508</f>
        <v>0</v>
      </c>
      <c r="O55" s="119">
        <f>+Actuals!L508</f>
        <v>-0.5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-20889405</v>
      </c>
      <c r="E56" s="39">
        <f t="shared" si="16"/>
        <v>-2516377.7199999997</v>
      </c>
      <c r="F56" s="61">
        <f t="shared" si="16"/>
        <v>0</v>
      </c>
      <c r="G56" s="39">
        <f t="shared" si="16"/>
        <v>296856</v>
      </c>
      <c r="H56" s="61">
        <f t="shared" si="16"/>
        <v>-23086787</v>
      </c>
      <c r="I56" s="39">
        <f t="shared" si="16"/>
        <v>-2622792.42</v>
      </c>
      <c r="J56" s="61">
        <f t="shared" ref="J56:AO56" si="17">SUM(J54:J55)</f>
        <v>2621835</v>
      </c>
      <c r="K56" s="39">
        <f t="shared" si="17"/>
        <v>-221284.49</v>
      </c>
      <c r="L56" s="61">
        <f>SUM(L54:L55)</f>
        <v>-501630</v>
      </c>
      <c r="M56" s="39">
        <f>SUM(M54:M55)</f>
        <v>30405.52</v>
      </c>
      <c r="N56" s="61">
        <f t="shared" si="17"/>
        <v>1</v>
      </c>
      <c r="O56" s="39">
        <f t="shared" si="17"/>
        <v>665793.9</v>
      </c>
      <c r="P56" s="61">
        <f t="shared" si="17"/>
        <v>0</v>
      </c>
      <c r="Q56" s="39">
        <f t="shared" si="17"/>
        <v>-665834</v>
      </c>
      <c r="R56" s="61">
        <f t="shared" si="17"/>
        <v>6227</v>
      </c>
      <c r="S56" s="39">
        <f t="shared" si="17"/>
        <v>0</v>
      </c>
      <c r="T56" s="61">
        <f t="shared" si="17"/>
        <v>70949</v>
      </c>
      <c r="U56" s="39">
        <f t="shared" si="17"/>
        <v>477.77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'TIE-OUT'!P59+RECLASS!N59</f>
        <v>0</v>
      </c>
      <c r="G59" s="6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'TIE-OUT'!P60+RECLASS!N60</f>
        <v>0</v>
      </c>
      <c r="G60" s="82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'TIE-OUT'!P64+RECLASS!N64</f>
        <v>0</v>
      </c>
      <c r="G64" s="6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'TIE-OUT'!P65+RECLASS!N65</f>
        <v>0</v>
      </c>
      <c r="G65" s="82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4676254</v>
      </c>
      <c r="F70" s="64">
        <f>'TIE-OUT'!P70+RECLASS!N70</f>
        <v>0</v>
      </c>
      <c r="G70" s="68">
        <f>'TIE-OUT'!Q70+RECLASS!O70</f>
        <v>4676254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-2516504.2799999998</v>
      </c>
      <c r="F71" s="81">
        <f>'TIE-OUT'!P71+RECLASS!N71</f>
        <v>0</v>
      </c>
      <c r="G71" s="82">
        <f>'TIE-OUT'!Q71+RECLASS!O71</f>
        <v>-2516504.2799999998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2159749.7200000002</v>
      </c>
      <c r="F72" s="61">
        <f t="shared" si="22"/>
        <v>0</v>
      </c>
      <c r="G72" s="39">
        <f t="shared" si="22"/>
        <v>2159749.7200000002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60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5936074.4400000004</v>
      </c>
      <c r="F74" s="60">
        <f>'TIE-OUT'!P74+RECLASS!N74</f>
        <v>0</v>
      </c>
      <c r="G74" s="60">
        <f>'TIE-OUT'!Q74+RECLASS!O74</f>
        <v>5648839.54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+Actuals!H516+284234.9</f>
        <v>284234.90000000002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v>3000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60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-26989.880000000005</v>
      </c>
      <c r="F76" s="60">
        <f>'TIE-OUT'!P76+RECLASS!N76</f>
        <v>0</v>
      </c>
      <c r="G76" s="60">
        <f>'TIE-OUT'!Q76+RECLASS!O76</f>
        <v>0</v>
      </c>
      <c r="H76" s="118">
        <f>+Actuals!E518</f>
        <v>0</v>
      </c>
      <c r="I76" s="119">
        <f>+Actuals!F518</f>
        <v>-27632.12</v>
      </c>
      <c r="J76" s="118">
        <f>+Actuals!G518</f>
        <v>0</v>
      </c>
      <c r="K76" s="119">
        <f>+Actuals!H518</f>
        <v>-36767.760000000002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+Actuals!L518+37410</f>
        <v>37410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60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60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60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60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-1675.1400000000003</v>
      </c>
      <c r="F81" s="60">
        <f>'TIE-OUT'!P81+RECLASS!N81</f>
        <v>0</v>
      </c>
      <c r="G81" s="60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-8818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7549883.7180000199</v>
      </c>
      <c r="F82" s="91">
        <f>F16+F24+F29+F36+F43+F45+F47+F49</f>
        <v>0</v>
      </c>
      <c r="G82" s="92">
        <f>SUM(G72:G81)+G16+G24+G29+G36+G43+G45+G47+G49+G51+G56+G61+G66</f>
        <v>17029229.420000002</v>
      </c>
      <c r="H82" s="91">
        <f>H16+H24+H29+H36+H43+H45+H47+H49</f>
        <v>0</v>
      </c>
      <c r="I82" s="92">
        <f>SUM(I72:I81)+I16+I24+I29+I36+I43+I45+I47+I49+I51+I56+I61+I66</f>
        <v>-5323509.5740000261</v>
      </c>
      <c r="J82" s="91">
        <f>J16+J24+J29+J36+J43+J45+J47+J49</f>
        <v>0</v>
      </c>
      <c r="K82" s="137">
        <f>SUM(K72:K81)+K16+K24+K29+K36+K43+K45+K47+K49+K51+K56+K61+K66</f>
        <v>-462438.9659999999</v>
      </c>
      <c r="L82" s="91">
        <f>L16+L24+L29+L36+L43+L45+L47+L49</f>
        <v>0</v>
      </c>
      <c r="M82" s="137">
        <f>SUM(M72:M81)+M16+M24+M29+M36+M43+M45+M47+M49+M51+M56+M61+M66</f>
        <v>-130367.79199999997</v>
      </c>
      <c r="N82" s="91">
        <f>N16+N24+N29+N36+N43+N45+N47+N49</f>
        <v>0</v>
      </c>
      <c r="O82" s="92">
        <f>SUM(O72:O81)+O16+O24+O29+O36+O43+O45+O47+O49+O51+O56+O61+O66</f>
        <v>81186.850000003004</v>
      </c>
      <c r="P82" s="91">
        <f>P16+P24+P29+P36+P43+P45+P47+P49</f>
        <v>0</v>
      </c>
      <c r="Q82" s="92">
        <f>SUM(Q72:Q81)+Q16+Q24+Q29+Q36+Q43+Q45+Q47+Q49+Q51+Q56+Q61+Q66</f>
        <v>-3722079.4</v>
      </c>
      <c r="R82" s="91">
        <f>R16+R24+R29+R36+R43+R45+R47+R49</f>
        <v>0</v>
      </c>
      <c r="S82" s="92">
        <f>SUM(S72:S81)+S16+S24+S29+S36+S43+S45+S47+S49+S51+S56+S61+S66</f>
        <v>-21502.920000000002</v>
      </c>
      <c r="T82" s="91">
        <f>T16+T24+T29+T36+T43+T45+T47+T49</f>
        <v>0</v>
      </c>
      <c r="U82" s="92">
        <f>SUM(U72:U81)+U16+U24+U29+U36+U43+U45+U47+U49+U51+U56+U61+U66</f>
        <v>99366.1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M50" activePane="bottomRight" state="frozen"/>
      <selection activeCell="T9" sqref="T9"/>
      <selection pane="topRight" activeCell="T9" sqref="T9"/>
      <selection pane="bottomLeft" activeCell="T9" sqref="T9"/>
      <selection pane="bottomRight" activeCell="T84" sqref="T8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3815603</v>
      </c>
      <c r="E11" s="38">
        <f>SUM(G11,I11,K11,M11,O11,Q11,S11,U11,W11,Y11,AA11,AC11,AE11)</f>
        <v>8920486.2300000004</v>
      </c>
      <c r="F11" s="60">
        <f>'TIE-OUT'!R11+RECLASS!P11</f>
        <v>0</v>
      </c>
      <c r="G11" s="38">
        <f>'TIE-OUT'!S11+RECLASS!Q11</f>
        <v>0</v>
      </c>
      <c r="H11" s="118">
        <f>+Actuals!E204</f>
        <v>3838346</v>
      </c>
      <c r="I11" s="119">
        <f>+Actuals!F204</f>
        <v>8965830.7699999996</v>
      </c>
      <c r="J11" s="118">
        <f>+Actuals!G204</f>
        <v>-18713</v>
      </c>
      <c r="K11" s="119">
        <f>+Actuals!H204</f>
        <v>-35573.589999999997</v>
      </c>
      <c r="L11" s="118">
        <f>+Actuals!I204</f>
        <v>-2997</v>
      </c>
      <c r="M11" s="119">
        <f>+Actuals!J204</f>
        <v>-7472.53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v>-1033</v>
      </c>
      <c r="U11" s="119">
        <v>-2298.42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28116.17</v>
      </c>
      <c r="F12" s="60">
        <f>'TIE-OUT'!R12+RECLASS!P12</f>
        <v>0</v>
      </c>
      <c r="G12" s="38">
        <f>'TIE-OUT'!S12+RECLASS!Q12</f>
        <v>28116.17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/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4701913</v>
      </c>
      <c r="E13" s="38">
        <f t="shared" si="0"/>
        <v>11913215</v>
      </c>
      <c r="F13" s="60">
        <f>'TIE-OUT'!R13+RECLASS!P13</f>
        <v>0</v>
      </c>
      <c r="G13" s="38">
        <f>'TIE-OUT'!S13+RECLASS!Q13</f>
        <v>0</v>
      </c>
      <c r="H13" s="118">
        <f>+Actuals!E206</f>
        <v>461027</v>
      </c>
      <c r="I13" s="119">
        <f>+Actuals!F206</f>
        <v>1182269</v>
      </c>
      <c r="J13" s="118">
        <f>+Actuals!G206</f>
        <v>-1379</v>
      </c>
      <c r="K13" s="119">
        <f>+Actuals!H206</f>
        <v>-3710</v>
      </c>
      <c r="L13" s="118">
        <f>+Actuals!I206</f>
        <v>0</v>
      </c>
      <c r="M13" s="119">
        <f>+Actuals!J206</f>
        <v>0</v>
      </c>
      <c r="N13" s="118">
        <f>+Actuals!K206</f>
        <v>4242265</v>
      </c>
      <c r="O13" s="119">
        <f>+Actuals!L206</f>
        <v>10734656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8517516</v>
      </c>
      <c r="E16" s="39">
        <f t="shared" si="1"/>
        <v>20867949.82</v>
      </c>
      <c r="F16" s="61">
        <f t="shared" si="1"/>
        <v>0</v>
      </c>
      <c r="G16" s="39">
        <f t="shared" si="1"/>
        <v>28116.17</v>
      </c>
      <c r="H16" s="61">
        <f t="shared" si="1"/>
        <v>4299373</v>
      </c>
      <c r="I16" s="39">
        <f t="shared" si="1"/>
        <v>10154232.189999999</v>
      </c>
      <c r="J16" s="61">
        <f t="shared" ref="J16:AO16" si="2">SUM(J11:J15)</f>
        <v>-20092</v>
      </c>
      <c r="K16" s="39">
        <f t="shared" si="2"/>
        <v>-39283.589999999997</v>
      </c>
      <c r="L16" s="61">
        <f>SUM(L11:L15)</f>
        <v>-2997</v>
      </c>
      <c r="M16" s="39">
        <f>SUM(M11:M15)</f>
        <v>-7472.53</v>
      </c>
      <c r="N16" s="61">
        <f t="shared" si="2"/>
        <v>4242265</v>
      </c>
      <c r="O16" s="39">
        <f t="shared" si="2"/>
        <v>10734656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-1033</v>
      </c>
      <c r="U16" s="39">
        <f t="shared" si="2"/>
        <v>-2298.42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-5067730</v>
      </c>
      <c r="E19" s="38">
        <f t="shared" si="3"/>
        <v>-11113037.819999998</v>
      </c>
      <c r="F19" s="64">
        <f>'TIE-OUT'!R19+RECLASS!P19</f>
        <v>0</v>
      </c>
      <c r="G19" s="68">
        <f>'TIE-OUT'!S19+RECLASS!Q19</f>
        <v>6444</v>
      </c>
      <c r="H19" s="118">
        <f>+Actuals!E209</f>
        <v>-5133341</v>
      </c>
      <c r="I19" s="119">
        <f>+Actuals!F209</f>
        <v>-11134074.34</v>
      </c>
      <c r="J19" s="118">
        <f>+Actuals!G209</f>
        <v>62496</v>
      </c>
      <c r="K19" s="119">
        <f>+Actuals!H209</f>
        <v>7173.55</v>
      </c>
      <c r="L19" s="118">
        <f>+Actuals!I209</f>
        <v>0</v>
      </c>
      <c r="M19" s="119">
        <f>+Actuals!J209</f>
        <v>0</v>
      </c>
      <c r="N19" s="118">
        <f>+Actuals!K209</f>
        <v>0</v>
      </c>
      <c r="O19" s="119">
        <f>+Actuals!L209</f>
        <v>-368.53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v>3115</v>
      </c>
      <c r="U19" s="119">
        <v>7787.5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-188616.18</v>
      </c>
      <c r="F20" s="60">
        <f>'TIE-OUT'!R20+RECLASS!P20</f>
        <v>0</v>
      </c>
      <c r="G20" s="38">
        <f>'TIE-OUT'!S20+RECLASS!Q20</f>
        <v>-188616.18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-4240969</v>
      </c>
      <c r="E21" s="38">
        <f t="shared" si="3"/>
        <v>-10731160</v>
      </c>
      <c r="F21" s="60">
        <f>'TIE-OUT'!R21+RECLASS!P21</f>
        <v>0</v>
      </c>
      <c r="G21" s="38">
        <f>'TIE-OUT'!S21+RECLASS!Q21</f>
        <v>0</v>
      </c>
      <c r="H21" s="118">
        <f>+Actuals!E211</f>
        <v>-93</v>
      </c>
      <c r="I21" s="119">
        <f>+Actuals!F211</f>
        <v>-241</v>
      </c>
      <c r="J21" s="118">
        <f>+Actuals!G211</f>
        <v>0</v>
      </c>
      <c r="K21" s="119">
        <f>+Actuals!H211</f>
        <v>0</v>
      </c>
      <c r="L21" s="118">
        <f>+Actuals!I211</f>
        <v>0</v>
      </c>
      <c r="M21" s="119">
        <f>+Actuals!J211</f>
        <v>0</v>
      </c>
      <c r="N21" s="118">
        <f>+Actuals!K211</f>
        <v>-4240876</v>
      </c>
      <c r="O21" s="119">
        <f>+Actuals!L211</f>
        <v>-10730919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4898</v>
      </c>
      <c r="E23" s="38">
        <f t="shared" si="3"/>
        <v>11461.32</v>
      </c>
      <c r="F23" s="81">
        <f>'TIE-OUT'!R23+RECLASS!P23</f>
        <v>0</v>
      </c>
      <c r="G23" s="82">
        <f>'TIE-OUT'!S23+RECLASS!Q23</f>
        <v>0</v>
      </c>
      <c r="H23" s="118">
        <f>+Actuals!E213</f>
        <v>4898</v>
      </c>
      <c r="I23" s="119">
        <f>+Actuals!F213</f>
        <v>11461.32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-9303801</v>
      </c>
      <c r="E24" s="39">
        <f t="shared" si="4"/>
        <v>-22021352.68</v>
      </c>
      <c r="F24" s="61">
        <f t="shared" si="4"/>
        <v>0</v>
      </c>
      <c r="G24" s="39">
        <f t="shared" si="4"/>
        <v>-182172.18</v>
      </c>
      <c r="H24" s="61">
        <f t="shared" si="4"/>
        <v>-5128536</v>
      </c>
      <c r="I24" s="39">
        <f t="shared" si="4"/>
        <v>-11122854.02</v>
      </c>
      <c r="J24" s="61">
        <f t="shared" ref="J24:AO24" si="5">SUM(J19:J23)</f>
        <v>62496</v>
      </c>
      <c r="K24" s="39">
        <f t="shared" si="5"/>
        <v>7173.55</v>
      </c>
      <c r="L24" s="61">
        <f>SUM(L19:L23)</f>
        <v>0</v>
      </c>
      <c r="M24" s="39">
        <f>SUM(M19:M23)</f>
        <v>0</v>
      </c>
      <c r="N24" s="61">
        <f t="shared" si="5"/>
        <v>-4240876</v>
      </c>
      <c r="O24" s="39">
        <f t="shared" si="5"/>
        <v>-10731287.529999999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3115</v>
      </c>
      <c r="U24" s="39">
        <f t="shared" si="5"/>
        <v>7787.5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>SUM(L27:L28)</f>
        <v>0</v>
      </c>
      <c r="M29" s="39">
        <f>SUM(M27:M28)</f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23346</v>
      </c>
      <c r="E32" s="38">
        <f t="shared" si="7"/>
        <v>54629.64</v>
      </c>
      <c r="F32" s="64">
        <f>'TIE-OUT'!R32+RECLASS!P32</f>
        <v>0</v>
      </c>
      <c r="G32" s="68">
        <f>'TIE-OUT'!S32+RECLASS!Q32</f>
        <v>0</v>
      </c>
      <c r="H32" s="118">
        <f>+Actuals!E216</f>
        <v>17827</v>
      </c>
      <c r="I32" s="119">
        <f>+Actuals!F216</f>
        <v>41715.18</v>
      </c>
      <c r="J32" s="118">
        <f>+Actuals!G216</f>
        <v>5519</v>
      </c>
      <c r="K32" s="119">
        <f>+Actuals!H216</f>
        <v>12914.46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23346</v>
      </c>
      <c r="E36" s="39">
        <f t="shared" si="8"/>
        <v>54629.64</v>
      </c>
      <c r="F36" s="61">
        <f t="shared" si="8"/>
        <v>0</v>
      </c>
      <c r="G36" s="39">
        <f t="shared" si="8"/>
        <v>0</v>
      </c>
      <c r="H36" s="61">
        <f t="shared" si="8"/>
        <v>17827</v>
      </c>
      <c r="I36" s="39">
        <f t="shared" si="8"/>
        <v>41715.18</v>
      </c>
      <c r="J36" s="61">
        <f t="shared" ref="J36:AO36" si="9">SUM(J32:J35)</f>
        <v>5519</v>
      </c>
      <c r="K36" s="39">
        <f t="shared" si="9"/>
        <v>12914.46</v>
      </c>
      <c r="L36" s="61">
        <f>SUM(L32:L35)</f>
        <v>0</v>
      </c>
      <c r="M36" s="39">
        <f>SUM(M32:M35)</f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>SUM(L40:L41)</f>
        <v>0</v>
      </c>
      <c r="M42" s="39">
        <f>SUM(M40:M41)</f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>L42+L39</f>
        <v>0</v>
      </c>
      <c r="M43" s="39">
        <f>M42+M39</f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762939</v>
      </c>
      <c r="E49" s="38">
        <f>SUM(G49,I49,K49,M49,O49,Q49,S49,U49,W49,Y49,AA49,AC49,AE49)</f>
        <v>1785277.26</v>
      </c>
      <c r="F49" s="60">
        <f>'TIE-OUT'!R49+RECLASS!P49</f>
        <v>0</v>
      </c>
      <c r="G49" s="38">
        <f>'TIE-OUT'!S49+RECLASS!Q49</f>
        <v>0</v>
      </c>
      <c r="H49" s="118">
        <f>+Actuals!E225</f>
        <v>811336</v>
      </c>
      <c r="I49" s="119">
        <f>+Actuals!F225</f>
        <v>1898526.24</v>
      </c>
      <c r="J49" s="118">
        <f>+Actuals!G225</f>
        <v>-47923</v>
      </c>
      <c r="K49" s="119">
        <f>+Actuals!H225</f>
        <v>-112139.82</v>
      </c>
      <c r="L49" s="118">
        <f>+Actuals!I225</f>
        <v>2997</v>
      </c>
      <c r="M49" s="119">
        <f>+Actuals!J225</f>
        <v>7012.98</v>
      </c>
      <c r="N49" s="118">
        <f>+Actuals!K225</f>
        <v>-1389</v>
      </c>
      <c r="O49" s="119">
        <f>+Actuals!L225</f>
        <v>-3250.26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v>-2082</v>
      </c>
      <c r="U49" s="119">
        <v>-4871.88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-4898</v>
      </c>
      <c r="E51" s="38">
        <f>SUM(G51,I51,K51,M51,O51,Q51,S51,U51,W51,Y51,AA51,AC51,AE51)</f>
        <v>-11461.32</v>
      </c>
      <c r="F51" s="60">
        <f>'TIE-OUT'!R51+RECLASS!P51</f>
        <v>0</v>
      </c>
      <c r="G51" s="38">
        <f>'TIE-OUT'!S51+RECLASS!Q51</f>
        <v>0</v>
      </c>
      <c r="H51" s="118">
        <f>+Actuals!E226</f>
        <v>-4898</v>
      </c>
      <c r="I51" s="119">
        <f>+Actuals!F226</f>
        <v>-11461.32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-11545705</v>
      </c>
      <c r="E54" s="38">
        <f>SUM(G54,I54,K54,M54,O54,Q54,S54,U54,W54,Y54,AA54,AC54,AE54)</f>
        <v>-249846.79</v>
      </c>
      <c r="F54" s="64">
        <f>'TIE-OUT'!R54+RECLASS!P54</f>
        <v>0</v>
      </c>
      <c r="G54" s="68">
        <f>'TIE-OUT'!S54+RECLASS!Q54</f>
        <v>0</v>
      </c>
      <c r="H54" s="118">
        <f>+Actuals!E227</f>
        <v>-11660092</v>
      </c>
      <c r="I54" s="119">
        <f>+Actuals!F227</f>
        <v>-245536.4</v>
      </c>
      <c r="J54" s="118">
        <f>+Actuals!G227</f>
        <v>113863</v>
      </c>
      <c r="K54" s="119">
        <f>+Actuals!H227</f>
        <v>4878.5200000000004</v>
      </c>
      <c r="L54" s="118">
        <f>+Actuals!I227</f>
        <v>2997</v>
      </c>
      <c r="M54" s="119">
        <f>+Actuals!J227</f>
        <v>0.01</v>
      </c>
      <c r="N54" s="118">
        <f>+Actuals!K227</f>
        <v>0</v>
      </c>
      <c r="O54" s="119">
        <f>+Actuals!L227</f>
        <v>368.53</v>
      </c>
      <c r="P54" s="118">
        <f>+Actuals!M227</f>
        <v>0</v>
      </c>
      <c r="Q54" s="119">
        <v>-9557.4500000000007</v>
      </c>
      <c r="R54" s="118">
        <f>+Actuals!O227</f>
        <v>0</v>
      </c>
      <c r="S54" s="119">
        <f>+Actuals!P227</f>
        <v>0</v>
      </c>
      <c r="T54" s="118">
        <v>-2473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-475938.54000000004</v>
      </c>
      <c r="F55" s="81">
        <f>'TIE-OUT'!R55+RECLASS!P55</f>
        <v>0</v>
      </c>
      <c r="G55" s="82">
        <f>'TIE-OUT'!S55+RECLASS!Q55</f>
        <v>311714</v>
      </c>
      <c r="H55" s="118">
        <f>+Actuals!E228</f>
        <v>0</v>
      </c>
      <c r="I55" s="119">
        <f>+Actuals!F228</f>
        <v>-735080.54</v>
      </c>
      <c r="J55" s="118">
        <f>+Actuals!G228</f>
        <v>0</v>
      </c>
      <c r="K55" s="119">
        <f>+Actuals!H228</f>
        <v>-13445</v>
      </c>
      <c r="L55" s="118">
        <f>+Actuals!I228</f>
        <v>0</v>
      </c>
      <c r="M55" s="119">
        <f>+Actuals!J228</f>
        <v>13445</v>
      </c>
      <c r="N55" s="118">
        <f>+Actuals!K228</f>
        <v>0</v>
      </c>
      <c r="O55" s="119">
        <f>+Actuals!L228</f>
        <v>-6205.2</v>
      </c>
      <c r="P55" s="118">
        <f>+Actuals!M228</f>
        <v>0</v>
      </c>
      <c r="Q55" s="119">
        <v>-46366.8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-11545705</v>
      </c>
      <c r="E56" s="39">
        <f t="shared" si="15"/>
        <v>-725785.33000000007</v>
      </c>
      <c r="F56" s="61">
        <f t="shared" si="15"/>
        <v>0</v>
      </c>
      <c r="G56" s="39">
        <f t="shared" si="15"/>
        <v>311714</v>
      </c>
      <c r="H56" s="61">
        <f t="shared" si="15"/>
        <v>-11660092</v>
      </c>
      <c r="I56" s="39">
        <f t="shared" si="15"/>
        <v>-980616.94000000006</v>
      </c>
      <c r="J56" s="61">
        <f t="shared" si="15"/>
        <v>113863</v>
      </c>
      <c r="K56" s="39">
        <f t="shared" si="15"/>
        <v>-8566.48</v>
      </c>
      <c r="L56" s="61">
        <f>SUM(L54:L55)</f>
        <v>2997</v>
      </c>
      <c r="M56" s="39">
        <f>SUM(M54:M55)</f>
        <v>13445.01</v>
      </c>
      <c r="N56" s="61">
        <f t="shared" si="15"/>
        <v>0</v>
      </c>
      <c r="O56" s="39">
        <f t="shared" si="15"/>
        <v>-5836.67</v>
      </c>
      <c r="P56" s="61">
        <f t="shared" si="15"/>
        <v>0</v>
      </c>
      <c r="Q56" s="39">
        <f t="shared" si="15"/>
        <v>-55924.25</v>
      </c>
      <c r="R56" s="61">
        <f t="shared" si="15"/>
        <v>0</v>
      </c>
      <c r="S56" s="39">
        <f t="shared" si="15"/>
        <v>0</v>
      </c>
      <c r="T56" s="61">
        <f t="shared" si="15"/>
        <v>-2473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>SUM(L59:L60)</f>
        <v>0</v>
      </c>
      <c r="M61" s="39">
        <f>SUM(M59:M60)</f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>SUM(L64:L65)</f>
        <v>0</v>
      </c>
      <c r="M66" s="39">
        <f>SUM(M64:M65)</f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1275</v>
      </c>
      <c r="F70" s="64">
        <f>'TIE-OUT'!R70+RECLASS!P70</f>
        <v>0</v>
      </c>
      <c r="G70" s="68">
        <f>'TIE-OUT'!S70+RECLASS!Q70</f>
        <v>1275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9099</v>
      </c>
      <c r="F71" s="81">
        <f>'TIE-OUT'!R71+RECLASS!P71</f>
        <v>0</v>
      </c>
      <c r="G71" s="82">
        <f>'TIE-OUT'!S71+RECLASS!Q71</f>
        <v>9099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10374</v>
      </c>
      <c r="F72" s="61">
        <f t="shared" si="18"/>
        <v>0</v>
      </c>
      <c r="G72" s="39">
        <f t="shared" si="18"/>
        <v>10374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>SUM(L70:L71)</f>
        <v>0</v>
      </c>
      <c r="M72" s="39">
        <f>SUM(M70:M71)</f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45044.78</v>
      </c>
      <c r="F74" s="60">
        <f>'TIE-OUT'!R74+RECLASS!P74</f>
        <v>0</v>
      </c>
      <c r="G74" s="60">
        <f>'TIE-OUT'!S74+RECLASS!Q74</f>
        <v>45044.78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4676.1700000017881</v>
      </c>
      <c r="F82" s="91">
        <f>F16+F24+F29+F36+F43+F45+F47+F49</f>
        <v>0</v>
      </c>
      <c r="G82" s="92">
        <f>SUM(G72:G81)+G16+G24+G29+G36+G43+G45+G47+G49+G51+G56+G61+G66</f>
        <v>213076.77000000002</v>
      </c>
      <c r="H82" s="91">
        <f>H16+H24+H29+H36+H43+H45+H47+H49</f>
        <v>0</v>
      </c>
      <c r="I82" s="92">
        <f>SUM(I72:I81)+I16+I24+I29+I36+I43+I45+I47+I49+I51+I56+I61+I66</f>
        <v>-20458.670000000042</v>
      </c>
      <c r="J82" s="91">
        <f>J16+J24+J29+J36+J43+J45+J47+J49</f>
        <v>0</v>
      </c>
      <c r="K82" s="137">
        <f>SUM(K72:K81)+K16+K24+K29+K36+K43+K45+K47+K49+K51+K56+K61+K66</f>
        <v>-139901.88</v>
      </c>
      <c r="L82" s="91">
        <f>L16+L24+L29+L36+L43+L45+L47+L49</f>
        <v>0</v>
      </c>
      <c r="M82" s="137">
        <f>SUM(M72:M81)+M16+M24+M29+M36+M43+M45+M47+M49+M51+M56+M61+M66</f>
        <v>12985.46</v>
      </c>
      <c r="N82" s="91">
        <f>N16+N24+N29+N36+N43+N45+N47+N49</f>
        <v>0</v>
      </c>
      <c r="O82" s="92">
        <f>SUM(O72:O81)+O16+O24+O29+O36+O43+O45+O47+O49+O51+O56+O61+O66</f>
        <v>-5718.4599999993297</v>
      </c>
      <c r="P82" s="91">
        <f>P16+P24+P29+P36+P43+P45+P47+P49</f>
        <v>0</v>
      </c>
      <c r="Q82" s="92">
        <f>SUM(Q72:Q81)+Q16+Q24+Q29+Q36+Q43+Q45+Q47+Q49+Q51+Q56+Q61+Q66</f>
        <v>-55924.25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617.19999999999982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-274731.77</v>
      </c>
      <c r="F86" s="145">
        <f>'TIE-OUT'!R86+RECLASS!P86</f>
        <v>0</v>
      </c>
      <c r="G86" s="184">
        <f>'TIE-OUT'!S86+RECLASS!Q86</f>
        <v>-324309.77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49578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-274999.77</v>
      </c>
      <c r="F89" s="155">
        <f t="shared" si="22"/>
        <v>0</v>
      </c>
      <c r="G89" s="155">
        <f t="shared" si="22"/>
        <v>-324577.77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49578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-270323.59999999823</v>
      </c>
      <c r="F91" s="155">
        <f t="shared" si="23"/>
        <v>0</v>
      </c>
      <c r="G91" s="155">
        <f t="shared" si="23"/>
        <v>-111501</v>
      </c>
      <c r="H91" s="155">
        <f t="shared" si="23"/>
        <v>0</v>
      </c>
      <c r="I91" s="155">
        <f t="shared" si="23"/>
        <v>-20458.670000000042</v>
      </c>
      <c r="J91" s="155">
        <f t="shared" si="23"/>
        <v>0</v>
      </c>
      <c r="K91" s="155">
        <f t="shared" si="23"/>
        <v>-139901.88</v>
      </c>
      <c r="L91" s="155">
        <f t="shared" si="23"/>
        <v>0</v>
      </c>
      <c r="M91" s="155">
        <f t="shared" si="23"/>
        <v>12985.46</v>
      </c>
      <c r="N91" s="155">
        <f t="shared" si="23"/>
        <v>0</v>
      </c>
      <c r="O91" s="155">
        <f t="shared" si="23"/>
        <v>43859.54000000067</v>
      </c>
      <c r="P91" s="155">
        <f t="shared" si="23"/>
        <v>0</v>
      </c>
      <c r="Q91" s="155">
        <f t="shared" si="23"/>
        <v>-55924.25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617.19999999999982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K11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14758347</v>
      </c>
      <c r="E11" s="38">
        <f>SUM(G11,I11,K11,M11,O11,Q11,S11,U11,W11,Y11,AA11,AC11,AE11)</f>
        <v>37732838.689999998</v>
      </c>
      <c r="F11" s="60">
        <f>'TIE-OUT'!AF11+RECLASS!AF11</f>
        <v>0</v>
      </c>
      <c r="G11" s="38">
        <f>'TIE-OUT'!AG11+RECLASS!AG11</f>
        <v>16004028</v>
      </c>
      <c r="H11" s="118">
        <f>+Actuals!E124</f>
        <v>14183416</v>
      </c>
      <c r="I11" s="121">
        <f>+Actuals!F124</f>
        <v>31782879.629999999</v>
      </c>
      <c r="J11" s="118">
        <f>+Actuals!G124</f>
        <v>147168</v>
      </c>
      <c r="K11" s="121">
        <f>+Actuals!H124</f>
        <v>-10051086.77</v>
      </c>
      <c r="L11" s="118">
        <f>+Actuals!I124</f>
        <v>424540</v>
      </c>
      <c r="M11" s="121">
        <f>+Actuals!J124</f>
        <v>13362.53</v>
      </c>
      <c r="N11" s="118">
        <f>+Actuals!K124</f>
        <v>0</v>
      </c>
      <c r="O11" s="121">
        <f>+Actuals!L124</f>
        <v>-25457.09</v>
      </c>
      <c r="P11" s="118">
        <f>+Actuals!M124</f>
        <v>0</v>
      </c>
      <c r="Q11" s="121">
        <f>+Actuals!N124</f>
        <v>0</v>
      </c>
      <c r="R11" s="118">
        <v>3223</v>
      </c>
      <c r="S11" s="121">
        <v>9112.39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/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36325908</v>
      </c>
      <c r="E13" s="38">
        <f t="shared" si="0"/>
        <v>109577788</v>
      </c>
      <c r="F13" s="60">
        <f>'TIE-OUT'!AF13+RECLASS!AF13</f>
        <v>0</v>
      </c>
      <c r="G13" s="38">
        <f>'TIE-OUT'!AG13+RECLASS!AG13</f>
        <v>0</v>
      </c>
      <c r="H13" s="120">
        <f>+Actuals!E126</f>
        <v>12273916</v>
      </c>
      <c r="I13" s="121">
        <f>+Actuals!F126</f>
        <v>35782782</v>
      </c>
      <c r="J13" s="120">
        <f>+Actuals!G126</f>
        <v>527</v>
      </c>
      <c r="K13" s="121">
        <f>+Actuals!H126</f>
        <v>1599</v>
      </c>
      <c r="L13" s="120">
        <f>+Actuals!I126</f>
        <v>0</v>
      </c>
      <c r="M13" s="121">
        <f>+Actuals!J126</f>
        <v>0</v>
      </c>
      <c r="N13" s="120">
        <f>+Actuals!K126</f>
        <v>24051465</v>
      </c>
      <c r="O13" s="121">
        <f>+Actuals!L126</f>
        <v>73793407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10445012.469999999</v>
      </c>
      <c r="F15" s="81">
        <f>'TIE-OUT'!AF15+RECLASS!AF15</f>
        <v>0</v>
      </c>
      <c r="G15" s="82">
        <f>'TIE-OUT'!AG15+RECLASS!AG15</f>
        <v>-4004028</v>
      </c>
      <c r="H15" s="120">
        <f>+Actuals!E128</f>
        <v>0</v>
      </c>
      <c r="I15" s="121">
        <f>+Actuals!F128</f>
        <v>14576704.869999999</v>
      </c>
      <c r="J15" s="120">
        <f>+Actuals!G128</f>
        <v>0</v>
      </c>
      <c r="K15" s="121">
        <f>+Actuals!H128</f>
        <v>-51403.01</v>
      </c>
      <c r="L15" s="120">
        <f>+Actuals!I128</f>
        <v>0</v>
      </c>
      <c r="M15" s="121">
        <f>+Actuals!J128</f>
        <v>59714.11</v>
      </c>
      <c r="N15" s="120">
        <f>+Actuals!K128</f>
        <v>0</v>
      </c>
      <c r="O15" s="121">
        <f>+Actuals!L128</f>
        <v>-135975.5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51084255</v>
      </c>
      <c r="E16" s="39">
        <f t="shared" si="1"/>
        <v>157755639.16</v>
      </c>
      <c r="F16" s="61">
        <f t="shared" si="1"/>
        <v>0</v>
      </c>
      <c r="G16" s="39">
        <f t="shared" si="1"/>
        <v>12000000</v>
      </c>
      <c r="H16" s="61">
        <f t="shared" si="1"/>
        <v>26457332</v>
      </c>
      <c r="I16" s="39">
        <f t="shared" si="1"/>
        <v>82142366.5</v>
      </c>
      <c r="J16" s="61">
        <f t="shared" ref="J16:AO16" si="2">SUM(J11:J15)</f>
        <v>147695</v>
      </c>
      <c r="K16" s="39">
        <f t="shared" si="2"/>
        <v>-10100890.779999999</v>
      </c>
      <c r="L16" s="61">
        <f>SUM(L11:L15)</f>
        <v>424540</v>
      </c>
      <c r="M16" s="39">
        <f>SUM(M11:M15)</f>
        <v>73076.639999999999</v>
      </c>
      <c r="N16" s="61">
        <f t="shared" si="2"/>
        <v>24051465</v>
      </c>
      <c r="O16" s="39">
        <f t="shared" si="2"/>
        <v>73631974.409999996</v>
      </c>
      <c r="P16" s="61">
        <f t="shared" si="2"/>
        <v>0</v>
      </c>
      <c r="Q16" s="39">
        <f t="shared" si="2"/>
        <v>0</v>
      </c>
      <c r="R16" s="61">
        <f t="shared" si="2"/>
        <v>3223</v>
      </c>
      <c r="S16" s="39">
        <f t="shared" si="2"/>
        <v>9112.39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-11065474</v>
      </c>
      <c r="E19" s="38">
        <f t="shared" si="3"/>
        <v>-36370373.759999998</v>
      </c>
      <c r="F19" s="64">
        <f>'TIE-OUT'!AF19+RECLASS!AF19</f>
        <v>0</v>
      </c>
      <c r="G19" s="68">
        <f>'TIE-OUT'!AG19+RECLASS!AG19</f>
        <v>-12000000</v>
      </c>
      <c r="H19" s="120">
        <f>+Actuals!E129</f>
        <v>-8013120</v>
      </c>
      <c r="I19" s="121">
        <f>+Actuals!F129</f>
        <v>-22676094.77</v>
      </c>
      <c r="J19" s="120">
        <f>+Actuals!G129</f>
        <v>681</v>
      </c>
      <c r="K19" s="121">
        <f>+Actuals!H129</f>
        <v>-1685616.45</v>
      </c>
      <c r="L19" s="120">
        <f>+Actuals!I129</f>
        <v>-3049185</v>
      </c>
      <c r="M19" s="121">
        <f>+Actuals!J129</f>
        <v>-0.04</v>
      </c>
      <c r="N19" s="120">
        <f>+Actuals!K129</f>
        <v>-3850</v>
      </c>
      <c r="O19" s="121">
        <f>+Actuals!L129</f>
        <v>-8662.5</v>
      </c>
      <c r="P19" s="120">
        <v>0</v>
      </c>
      <c r="Q19" s="121"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11890740.5</v>
      </c>
      <c r="F20" s="60">
        <f>'TIE-OUT'!AF20+RECLASS!AF20</f>
        <v>0</v>
      </c>
      <c r="G20" s="38">
        <f>'TIE-OUT'!AG20+RECLASS!AG20</f>
        <v>11890740.5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215"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-37748857</v>
      </c>
      <c r="E21" s="38">
        <f t="shared" si="3"/>
        <v>-111127607</v>
      </c>
      <c r="F21" s="60">
        <f>'TIE-OUT'!AF21+RECLASS!AF21</f>
        <v>0</v>
      </c>
      <c r="G21" s="38">
        <f>'TIE-OUT'!AG21+RECLASS!AG21</f>
        <v>0</v>
      </c>
      <c r="H21" s="120">
        <f>+Actuals!E131</f>
        <v>-13718344</v>
      </c>
      <c r="I21" s="121">
        <f>+Actuals!F131</f>
        <v>-37394509</v>
      </c>
      <c r="J21" s="120">
        <f>+Actuals!G131</f>
        <v>-44741</v>
      </c>
      <c r="K21" s="121">
        <f>+Actuals!H131</f>
        <v>-134671</v>
      </c>
      <c r="L21" s="120">
        <f>+Actuals!I131</f>
        <v>0</v>
      </c>
      <c r="M21" s="121">
        <f>+Actuals!J131</f>
        <v>0</v>
      </c>
      <c r="N21" s="120">
        <f>+Actuals!K131</f>
        <v>-23985772</v>
      </c>
      <c r="O21" s="121">
        <f>+Actuals!L131</f>
        <v>-73598427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622895</v>
      </c>
      <c r="E23" s="38">
        <f t="shared" si="3"/>
        <v>1637591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v>622895</v>
      </c>
      <c r="Q23" s="121">
        <v>1637591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-48191436</v>
      </c>
      <c r="E24" s="39">
        <f t="shared" si="4"/>
        <v>-133969649.25999999</v>
      </c>
      <c r="F24" s="61">
        <f t="shared" si="4"/>
        <v>0</v>
      </c>
      <c r="G24" s="39">
        <f t="shared" si="4"/>
        <v>-109259.5</v>
      </c>
      <c r="H24" s="61">
        <f t="shared" si="4"/>
        <v>-21731464</v>
      </c>
      <c r="I24" s="39">
        <f t="shared" si="4"/>
        <v>-60070603.769999996</v>
      </c>
      <c r="J24" s="61">
        <f t="shared" ref="J24:AO24" si="5">SUM(J19:J23)</f>
        <v>-44060</v>
      </c>
      <c r="K24" s="39">
        <f t="shared" si="5"/>
        <v>-1820287.45</v>
      </c>
      <c r="L24" s="61">
        <f>SUM(L19:L23)</f>
        <v>-3049185</v>
      </c>
      <c r="M24" s="39">
        <f>SUM(M19:M23)</f>
        <v>-0.04</v>
      </c>
      <c r="N24" s="61">
        <f t="shared" si="5"/>
        <v>-23989622</v>
      </c>
      <c r="O24" s="39">
        <f t="shared" si="5"/>
        <v>-73607089.5</v>
      </c>
      <c r="P24" s="61">
        <f t="shared" si="5"/>
        <v>622895</v>
      </c>
      <c r="Q24" s="39">
        <f t="shared" si="5"/>
        <v>1637591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240863</v>
      </c>
      <c r="E39" s="38">
        <f t="shared" si="11"/>
        <v>646717.16</v>
      </c>
      <c r="F39" s="64">
        <f>'TIE-OUT'!AF39+RECLASS!AF39</f>
        <v>0</v>
      </c>
      <c r="G39" s="68">
        <f>'TIE-OUT'!AG39+RECLASS!AG39</f>
        <v>0</v>
      </c>
      <c r="H39" s="120">
        <f>+Actuals!E140</f>
        <v>240863</v>
      </c>
      <c r="I39" s="121">
        <f>+Actuals!F140</f>
        <v>646717.16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-2990395</v>
      </c>
      <c r="E40" s="38">
        <f t="shared" si="11"/>
        <v>-7334747.5700000003</v>
      </c>
      <c r="F40" s="60">
        <f>'TIE-OUT'!AF40+RECLASS!AF40</f>
        <v>0</v>
      </c>
      <c r="G40" s="38">
        <f>'TIE-OUT'!AG40+RECLASS!AG40</f>
        <v>0</v>
      </c>
      <c r="H40" s="120">
        <f>+Actuals!E141</f>
        <v>-4404868</v>
      </c>
      <c r="I40" s="121">
        <f>+Actuals!F141</f>
        <v>-10990143.939999999</v>
      </c>
      <c r="J40" s="120">
        <f>+Actuals!G141</f>
        <v>-572066</v>
      </c>
      <c r="K40" s="121">
        <f>+Actuals!H141</f>
        <v>-1603635.06</v>
      </c>
      <c r="L40" s="120">
        <f>+Actuals!I141</f>
        <v>1986539</v>
      </c>
      <c r="M40" s="121">
        <f>+Actuals!J141</f>
        <v>5259031.43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-2990395</v>
      </c>
      <c r="E42" s="39">
        <f t="shared" si="12"/>
        <v>-7334747.5700000003</v>
      </c>
      <c r="F42" s="61">
        <f t="shared" si="12"/>
        <v>0</v>
      </c>
      <c r="G42" s="39">
        <f t="shared" si="12"/>
        <v>0</v>
      </c>
      <c r="H42" s="61">
        <f t="shared" si="12"/>
        <v>-4404868</v>
      </c>
      <c r="I42" s="39">
        <f t="shared" si="12"/>
        <v>-10990143.939999999</v>
      </c>
      <c r="J42" s="61">
        <f t="shared" ref="J42:AO42" si="13">SUM(J40:J41)</f>
        <v>-572066</v>
      </c>
      <c r="K42" s="39">
        <f t="shared" si="13"/>
        <v>-1603635.06</v>
      </c>
      <c r="L42" s="61">
        <f>SUM(L40:L41)</f>
        <v>1986539</v>
      </c>
      <c r="M42" s="39">
        <f>SUM(M40:M41)</f>
        <v>5259031.43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-2749532</v>
      </c>
      <c r="E43" s="39">
        <f t="shared" si="14"/>
        <v>-6688030.4100000001</v>
      </c>
      <c r="F43" s="61">
        <f t="shared" si="14"/>
        <v>0</v>
      </c>
      <c r="G43" s="39">
        <f t="shared" si="14"/>
        <v>0</v>
      </c>
      <c r="H43" s="61">
        <f t="shared" si="14"/>
        <v>-4164005</v>
      </c>
      <c r="I43" s="39">
        <f t="shared" si="14"/>
        <v>-10343426.779999999</v>
      </c>
      <c r="J43" s="61">
        <f t="shared" ref="J43:AO43" si="15">J42+J39</f>
        <v>-572066</v>
      </c>
      <c r="K43" s="39">
        <f t="shared" si="15"/>
        <v>-1603635.06</v>
      </c>
      <c r="L43" s="61">
        <f>L42+L39</f>
        <v>1986539</v>
      </c>
      <c r="M43" s="39">
        <f>M42+M39</f>
        <v>5259031.43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-143287</v>
      </c>
      <c r="E49" s="38">
        <f>SUM(G49,I49,K49,M49,O49,Q49,S49,U49,W49,Y49,AA49,AC49,AE49)</f>
        <v>-376701.4709999999</v>
      </c>
      <c r="F49" s="60">
        <f>'TIE-OUT'!AF49+RECLASS!AF49</f>
        <v>0</v>
      </c>
      <c r="G49" s="38">
        <f>'TIE-OUT'!AG49+RECLASS!AG49</f>
        <v>0</v>
      </c>
      <c r="H49" s="120">
        <f>+Actuals!E145</f>
        <v>-561863</v>
      </c>
      <c r="I49" s="121">
        <f>+Actuals!F145</f>
        <v>-1477137.827</v>
      </c>
      <c r="J49" s="120">
        <f>+Actuals!G145</f>
        <v>468431</v>
      </c>
      <c r="K49" s="121">
        <f>+Actuals!H145</f>
        <v>1231505.0989999999</v>
      </c>
      <c r="L49" s="120">
        <f>+Actuals!I145</f>
        <v>638106</v>
      </c>
      <c r="M49" s="121">
        <f>+Actuals!J145</f>
        <v>1677580.6740000001</v>
      </c>
      <c r="N49" s="120">
        <f>+Actuals!K145</f>
        <v>-61843</v>
      </c>
      <c r="O49" s="121">
        <f>+Actuals!L145</f>
        <v>-162585.247</v>
      </c>
      <c r="P49" s="120">
        <v>-622895</v>
      </c>
      <c r="Q49" s="121">
        <v>-1637590.9</v>
      </c>
      <c r="R49" s="120">
        <v>-3223</v>
      </c>
      <c r="S49" s="121">
        <v>-8473.27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-622895</v>
      </c>
      <c r="E51" s="38">
        <f>SUM(G51,I51,K51,M51,O51,Q51,S51,U51,W51,Y51,AA51,AC51,AE51)</f>
        <v>-1637590.9550000001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-622895</v>
      </c>
      <c r="M51" s="121">
        <f>+Actuals!J146</f>
        <v>-1637590.9550000001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-22476875</v>
      </c>
      <c r="E54" s="38">
        <f>SUM(G54,I54,K54,M54,O54,Q54,S54,U54,W54,Y54,AA54,AC54,AE54)</f>
        <v>-766856.64999999991</v>
      </c>
      <c r="F54" s="64">
        <f>'TIE-OUT'!AF54+RECLASS!AF54</f>
        <v>0</v>
      </c>
      <c r="G54" s="68">
        <f>'TIE-OUT'!AG54+RECLASS!AG54</f>
        <v>-4346</v>
      </c>
      <c r="H54" s="120">
        <f>+Actuals!E147</f>
        <v>-22051979</v>
      </c>
      <c r="I54" s="121">
        <f>+Actuals!F147</f>
        <v>-780054.11</v>
      </c>
      <c r="J54" s="120">
        <f>+Actuals!G147</f>
        <v>-383447</v>
      </c>
      <c r="K54" s="121">
        <f>+Actuals!H147</f>
        <v>-12515.63</v>
      </c>
      <c r="L54" s="120">
        <f>+Actuals!I147</f>
        <v>-35624</v>
      </c>
      <c r="M54" s="121">
        <f>+Actuals!J147</f>
        <v>-2980.6</v>
      </c>
      <c r="N54" s="120">
        <f>+Actuals!K147</f>
        <v>0</v>
      </c>
      <c r="O54" s="121">
        <f>+Actuals!L147</f>
        <v>0.34</v>
      </c>
      <c r="P54" s="120">
        <v>-12473</v>
      </c>
      <c r="Q54" s="121">
        <v>33066.800000000003</v>
      </c>
      <c r="R54" s="120">
        <v>6648</v>
      </c>
      <c r="S54" s="121">
        <v>-27.45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-10503038.139999999</v>
      </c>
      <c r="F55" s="81">
        <f>'TIE-OUT'!AF55+RECLASS!AF55</f>
        <v>0</v>
      </c>
      <c r="G55" s="82">
        <f>'TIE-OUT'!AG55+RECLASS!AG55</f>
        <v>-34847</v>
      </c>
      <c r="H55" s="120">
        <f>+Actuals!E148</f>
        <v>0</v>
      </c>
      <c r="I55" s="121">
        <f>+Actuals!F148</f>
        <v>-10518008.109999999</v>
      </c>
      <c r="J55" s="120">
        <f>+Actuals!G148</f>
        <v>0</v>
      </c>
      <c r="K55" s="121">
        <f>+Actuals!H148</f>
        <v>49816.97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-22476875</v>
      </c>
      <c r="E56" s="39">
        <f t="shared" si="16"/>
        <v>-11269894.789999999</v>
      </c>
      <c r="F56" s="61">
        <f t="shared" si="16"/>
        <v>0</v>
      </c>
      <c r="G56" s="39">
        <f t="shared" si="16"/>
        <v>-39193</v>
      </c>
      <c r="H56" s="61">
        <f t="shared" si="16"/>
        <v>-22051979</v>
      </c>
      <c r="I56" s="39">
        <f t="shared" si="16"/>
        <v>-11298062.219999999</v>
      </c>
      <c r="J56" s="61">
        <f t="shared" ref="J56:AO56" si="17">SUM(J54:J55)</f>
        <v>-383447</v>
      </c>
      <c r="K56" s="39">
        <f t="shared" si="17"/>
        <v>37301.340000000004</v>
      </c>
      <c r="L56" s="61">
        <f>SUM(L54:L55)</f>
        <v>-35624</v>
      </c>
      <c r="M56" s="39">
        <f>SUM(M54:M55)</f>
        <v>-2980.6</v>
      </c>
      <c r="N56" s="61">
        <f t="shared" si="17"/>
        <v>0</v>
      </c>
      <c r="O56" s="39">
        <f t="shared" si="17"/>
        <v>0.34</v>
      </c>
      <c r="P56" s="61">
        <f t="shared" si="17"/>
        <v>-12473</v>
      </c>
      <c r="Q56" s="39">
        <f t="shared" si="17"/>
        <v>33066.800000000003</v>
      </c>
      <c r="R56" s="61">
        <f t="shared" si="17"/>
        <v>6648</v>
      </c>
      <c r="S56" s="39">
        <f t="shared" si="17"/>
        <v>-27.45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-649880.27</v>
      </c>
      <c r="F70" s="64">
        <f>'TIE-OUT'!AF70+RECLASS!AF70</f>
        <v>0</v>
      </c>
      <c r="G70" s="68">
        <f>'TIE-OUT'!AG70+RECLASS!AG70</f>
        <v>-649880.27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2467844.79</v>
      </c>
      <c r="F71" s="81">
        <f>'TIE-OUT'!AF71+RECLASS!AF71</f>
        <v>0</v>
      </c>
      <c r="G71" s="82">
        <f>'TIE-OUT'!AG71+RECLASS!AG71</f>
        <v>2467844.79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1817964.52</v>
      </c>
      <c r="F72" s="61">
        <f t="shared" si="22"/>
        <v>0</v>
      </c>
      <c r="G72" s="39">
        <f t="shared" si="22"/>
        <v>1817964.52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-3806765.99</v>
      </c>
      <c r="F74" s="60">
        <f>'TIE-OUT'!AF74+RECLASS!AF74</f>
        <v>0</v>
      </c>
      <c r="G74" s="60">
        <f>'TIE-OUT'!AG74+RECLASS!AG74</f>
        <v>-3806765.99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1824970.804000007</v>
      </c>
      <c r="F82" s="91">
        <f>F16+F24+F29+F36+F43+F45+F47+F49</f>
        <v>0</v>
      </c>
      <c r="G82" s="92">
        <f>SUM(G72:G81)+G16+G24+G29+G36+G43+G45+G47+G49+G51+G56+G61+G66</f>
        <v>9862746.0299999993</v>
      </c>
      <c r="H82" s="91">
        <f>H16+H24+H29+H36+H43+H45+H47+H49</f>
        <v>0</v>
      </c>
      <c r="I82" s="92">
        <f>SUM(I72:I81)+I16+I24+I29+I36+I43+I45+I47+I49+I51+I56+I61+I66</f>
        <v>-1046864.0969999935</v>
      </c>
      <c r="J82" s="91">
        <f>J16+J24+J29+J36+J43+J45+J47+J49</f>
        <v>0</v>
      </c>
      <c r="K82" s="137">
        <f>SUM(K72:K81)+K16+K24+K29+K36+K43+K45+K47+K49+K51+K56+K61+K66</f>
        <v>-12256006.851</v>
      </c>
      <c r="L82" s="91">
        <f>L16+L24+L29+L36+L43+L45+L47+L49</f>
        <v>0</v>
      </c>
      <c r="M82" s="137">
        <f>SUM(M72:M81)+M16+M24+M29+M36+M43+M45+M47+M49+M51+M56+M61+M66</f>
        <v>5369117.1490000002</v>
      </c>
      <c r="N82" s="91">
        <f>N16+N24+N29+N36+N43+N45+N47+N49</f>
        <v>0</v>
      </c>
      <c r="O82" s="92">
        <f>SUM(O72:O81)+O16+O24+O29+O36+O43+O45+O47+O49+O51+O56+O61+O66</f>
        <v>-137699.99700000358</v>
      </c>
      <c r="P82" s="91">
        <f>P16+P24+P29+P36+P43+P45+P47+P49</f>
        <v>0</v>
      </c>
      <c r="Q82" s="92">
        <f>SUM(Q72:Q81)+Q16+Q24+Q29+Q36+Q43+Q45+Q47+Q49+Q51+Q56+Q61+Q66</f>
        <v>33066.900000000096</v>
      </c>
      <c r="R82" s="91">
        <f>R16+R24+R29+R36+R43+R45+R47+R49</f>
        <v>0</v>
      </c>
      <c r="S82" s="92">
        <f>SUM(S72:S81)+S16+S24+S29+S36+S43+S45+S47+S49+S51+S56+S61+S66</f>
        <v>611.66999999999894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M59" activePane="bottomRight" state="frozen"/>
      <selection activeCell="T9" sqref="T9"/>
      <selection pane="topRight" activeCell="T9" sqref="T9"/>
      <selection pane="bottomLeft" activeCell="T9" sqref="T9"/>
      <selection pane="bottomRight" activeCell="T9" sqref="T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213">
        <v>0</v>
      </c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213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-25485719</v>
      </c>
      <c r="F13" s="60">
        <f>'TIE-OUT'!Z13+RECLASS!X13</f>
        <v>0</v>
      </c>
      <c r="G13" s="38">
        <f>'TIE-OUT'!AA13+RECLASS!Y13</f>
        <v>0</v>
      </c>
      <c r="H13" s="60"/>
      <c r="I13" s="38">
        <v>-25325071</v>
      </c>
      <c r="J13" s="60"/>
      <c r="K13" s="213">
        <v>-172045</v>
      </c>
      <c r="L13" s="60"/>
      <c r="M13" s="213">
        <v>11397</v>
      </c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213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213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-25485719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-25325071</v>
      </c>
      <c r="J16" s="61">
        <f t="shared" si="1"/>
        <v>0</v>
      </c>
      <c r="K16" s="214">
        <f t="shared" si="1"/>
        <v>-172045</v>
      </c>
      <c r="L16" s="61">
        <f>SUM(L11:L15)</f>
        <v>0</v>
      </c>
      <c r="M16" s="214">
        <f>SUM(M11:M15)</f>
        <v>11397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213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213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213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213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213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213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213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>SUM(L19:L23)</f>
        <v>0</v>
      </c>
      <c r="M24" s="214">
        <f>SUM(M19:M23)</f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213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213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213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213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>SUM(L27:L28)</f>
        <v>0</v>
      </c>
      <c r="M29" s="214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213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213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213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213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213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213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>SUM(L32:L35)</f>
        <v>0</v>
      </c>
      <c r="M36" s="214">
        <f>SUM(M32:M35)</f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213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213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213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213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f>561186</f>
        <v>561186</v>
      </c>
      <c r="J41" s="60"/>
      <c r="K41" s="213">
        <v>-561186</v>
      </c>
      <c r="L41" s="60"/>
      <c r="M41" s="213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561186</v>
      </c>
      <c r="J42" s="61">
        <f t="shared" si="8"/>
        <v>0</v>
      </c>
      <c r="K42" s="214">
        <f t="shared" si="8"/>
        <v>-561186</v>
      </c>
      <c r="L42" s="61">
        <f>SUM(L40:L41)</f>
        <v>0</v>
      </c>
      <c r="M42" s="214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561186</v>
      </c>
      <c r="J43" s="61">
        <f t="shared" si="9"/>
        <v>0</v>
      </c>
      <c r="K43" s="214">
        <f t="shared" si="9"/>
        <v>-561186</v>
      </c>
      <c r="L43" s="61">
        <f>L42+L39</f>
        <v>0</v>
      </c>
      <c r="M43" s="214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213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213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213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213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213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>
        <v>0</v>
      </c>
      <c r="M49" s="213">
        <v>0</v>
      </c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213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-258666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>
        <v>0</v>
      </c>
      <c r="M51" s="213">
        <f>-13-832</f>
        <v>-845</v>
      </c>
      <c r="N51" s="60"/>
      <c r="O51" s="38"/>
      <c r="P51" s="60"/>
      <c r="Q51" s="38"/>
      <c r="R51" s="60"/>
      <c r="S51" s="38">
        <v>-257821</v>
      </c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213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213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213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213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>SUM(L54:L55)</f>
        <v>0</v>
      </c>
      <c r="M56" s="214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213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213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213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496833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5">
        <v>496833</v>
      </c>
      <c r="L60" s="60"/>
      <c r="M60" s="215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496833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496833</v>
      </c>
      <c r="L61" s="61">
        <f>SUM(L59:L60)</f>
        <v>0</v>
      </c>
      <c r="M61" s="214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213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213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213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213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>SUM(L64:L65)</f>
        <v>0</v>
      </c>
      <c r="M66" s="214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213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213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213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116592294</v>
      </c>
      <c r="F70" s="64">
        <f>'TIE-OUT'!Z70+RECLASS!X70</f>
        <v>0</v>
      </c>
      <c r="G70" s="68">
        <f>'TIE-OUT'!AA70+RECLASS!Y70</f>
        <v>98380002</v>
      </c>
      <c r="H70" s="60"/>
      <c r="I70" s="38">
        <f>19545008+433044</f>
        <v>19978052</v>
      </c>
      <c r="J70" s="60"/>
      <c r="K70" s="215">
        <v>-909291</v>
      </c>
      <c r="L70" s="60"/>
      <c r="M70" s="215">
        <v>-423425</v>
      </c>
      <c r="N70" s="60"/>
      <c r="O70" s="139">
        <v>-433044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-91335240.049999997</v>
      </c>
      <c r="F71" s="81">
        <f>'TIE-OUT'!Z71+RECLASS!X71</f>
        <v>0</v>
      </c>
      <c r="G71" s="82">
        <f>'TIE-OUT'!AA71+RECLASS!Y71</f>
        <v>-91335240.049999997</v>
      </c>
      <c r="H71" s="60"/>
      <c r="I71" s="38"/>
      <c r="J71" s="60"/>
      <c r="K71" s="213"/>
      <c r="L71" s="60"/>
      <c r="M71" s="213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25257053.950000003</v>
      </c>
      <c r="F72" s="61">
        <f t="shared" si="13"/>
        <v>0</v>
      </c>
      <c r="G72" s="39">
        <f t="shared" si="13"/>
        <v>7044761.950000003</v>
      </c>
      <c r="H72" s="61">
        <f t="shared" si="13"/>
        <v>0</v>
      </c>
      <c r="I72" s="39">
        <f t="shared" si="13"/>
        <v>19978052</v>
      </c>
      <c r="J72" s="61">
        <f t="shared" si="13"/>
        <v>0</v>
      </c>
      <c r="K72" s="214">
        <f t="shared" si="13"/>
        <v>-909291</v>
      </c>
      <c r="L72" s="61">
        <f>SUM(L70:L71)</f>
        <v>0</v>
      </c>
      <c r="M72" s="214">
        <f>SUM(M70:M71)</f>
        <v>-423425</v>
      </c>
      <c r="N72" s="61">
        <f t="shared" si="13"/>
        <v>0</v>
      </c>
      <c r="O72" s="39">
        <f t="shared" si="13"/>
        <v>-433044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-909291</v>
      </c>
      <c r="F73" s="60">
        <f>'TIE-OUT'!Z73+RECLASS!X73</f>
        <v>0</v>
      </c>
      <c r="G73" s="60">
        <f>'TIE-OUT'!AA73+RECLASS!Y73</f>
        <v>-909291</v>
      </c>
      <c r="H73" s="60"/>
      <c r="I73" s="38"/>
      <c r="J73" s="60"/>
      <c r="K73" s="213">
        <v>0</v>
      </c>
      <c r="L73" s="60"/>
      <c r="M73" s="213">
        <v>0</v>
      </c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4337687.4800000004</v>
      </c>
      <c r="F74" s="60">
        <f>'TIE-OUT'!Z74+RECLASS!X74</f>
        <v>0</v>
      </c>
      <c r="G74" s="60">
        <f>'TIE-OUT'!AA74+RECLASS!Y74</f>
        <v>4339005</v>
      </c>
      <c r="H74" s="60"/>
      <c r="I74" s="38"/>
      <c r="J74" s="60"/>
      <c r="K74" s="139">
        <v>0</v>
      </c>
      <c r="L74" s="60"/>
      <c r="M74" s="139">
        <v>-1317.52</v>
      </c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213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-2158</v>
      </c>
      <c r="F76" s="60">
        <f>'TIE-OUT'!Z76+RECLASS!X76</f>
        <v>0</v>
      </c>
      <c r="G76" s="60">
        <f>'TIE-OUT'!AA76+RECLASS!Y76</f>
        <v>-2158</v>
      </c>
      <c r="H76" s="60"/>
      <c r="I76" s="38"/>
      <c r="J76" s="60"/>
      <c r="K76" s="213"/>
      <c r="L76" s="60"/>
      <c r="M76" s="213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0</v>
      </c>
      <c r="L77" s="60"/>
      <c r="M77" s="213">
        <v>-376583</v>
      </c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208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3"/>
      <c r="L78" s="60"/>
      <c r="M78" s="213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209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0</v>
      </c>
      <c r="L79" s="60"/>
      <c r="M79" s="213">
        <v>-89995</v>
      </c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210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0</v>
      </c>
      <c r="L80" s="60"/>
      <c r="M80" s="213">
        <v>0</v>
      </c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2969162.4300000034</v>
      </c>
      <c r="F82" s="91">
        <f>F16+F24+F29+F36+F43+F45+F47+F49</f>
        <v>0</v>
      </c>
      <c r="G82" s="92">
        <f>SUM(G72:G81)+G16+G24+G29+G36+G43+G45+G47+G49+G51+G56+G61+G66</f>
        <v>10472317.950000003</v>
      </c>
      <c r="H82" s="91">
        <f>H16+H24+H29+H36+H43+H45+H47+H49</f>
        <v>0</v>
      </c>
      <c r="I82" s="140">
        <f>SUM(I72:I81)+I16+I24+I29+I36+I43+I45+I47+I49+I51+I56+I61+I66</f>
        <v>-4785833</v>
      </c>
      <c r="J82" s="91">
        <f>J16+J24+J29+J36+J43+J45+J47+J49</f>
        <v>0</v>
      </c>
      <c r="K82" s="140">
        <f>SUM(K72:K81)+K16+K24+K29+K36+K43+K45+K47+K49+K51+K56+K61+K66</f>
        <v>-1145689</v>
      </c>
      <c r="L82" s="91">
        <f>L16+L24+L29+L36+L43+L45+L47+L49</f>
        <v>0</v>
      </c>
      <c r="M82" s="140">
        <f>SUM(M72:M81)+M16+M24+M29+M36+M43+M45+M47+M49+M51+M56+M61+M66</f>
        <v>-880768.52</v>
      </c>
      <c r="N82" s="91">
        <f>N16+N24+N29+N36+N43+N45+N47+N49</f>
        <v>0</v>
      </c>
      <c r="O82" s="92">
        <f>SUM(O72:O81)+O16+O24+O29+O36+O43+O45+O47+O49+O51+O56+O61+O66</f>
        <v>-433044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-257821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25257053.950000003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M51" activePane="bottomRight" state="frozen"/>
      <selection activeCell="T9" sqref="T9"/>
      <selection pane="topRight" activeCell="T9" sqref="T9"/>
      <selection pane="bottomLeft" activeCell="T9" sqref="T9"/>
      <selection pane="bottomRight" activeCell="U84" sqref="U8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8" width="15.44140625" customWidth="1"/>
    <col min="9" max="9" width="17.33203125" bestFit="1" customWidth="1"/>
    <col min="10" max="10" width="15.44140625" customWidth="1"/>
    <col min="11" max="11" width="15.44140625" style="127" customWidth="1"/>
    <col min="12" max="21" width="15.44140625" customWidth="1"/>
    <col min="22" max="41" width="15.44140625" hidden="1" customWidth="1"/>
    <col min="42" max="6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216</v>
      </c>
      <c r="I8" s="27"/>
      <c r="J8" s="26" t="s">
        <v>220</v>
      </c>
      <c r="K8" s="128"/>
      <c r="L8" s="26" t="s">
        <v>221</v>
      </c>
      <c r="M8" s="27"/>
      <c r="N8" s="26" t="s">
        <v>222</v>
      </c>
      <c r="O8" s="27"/>
      <c r="P8" s="26" t="s">
        <v>223</v>
      </c>
      <c r="Q8" s="27"/>
      <c r="R8" s="26" t="s">
        <v>224</v>
      </c>
      <c r="S8" s="27"/>
      <c r="T8" s="26" t="s">
        <v>225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47735779</v>
      </c>
      <c r="E11" s="38">
        <f>SUM(G11,I11,K11,M11,O11,Q11,S11,U11,W11,Y11,AA11,AC11,AE11)</f>
        <v>121779831.63000001</v>
      </c>
      <c r="F11" s="60">
        <f>'TIE-OUT'!AB11+RECLASS!Z11</f>
        <v>-138</v>
      </c>
      <c r="G11" s="38">
        <f>'TIE-OUT'!AC11+RECLASS!AA11</f>
        <v>2894187</v>
      </c>
      <c r="H11" s="118">
        <f>+Actuals!E284</f>
        <v>45571314</v>
      </c>
      <c r="I11" s="119">
        <f>+Actuals!F284</f>
        <v>113356518.03000002</v>
      </c>
      <c r="J11" s="118">
        <f>+Actuals!G284</f>
        <v>2277703</v>
      </c>
      <c r="K11" s="119">
        <f>+Actuals!H284</f>
        <v>5852188.5999999996</v>
      </c>
      <c r="L11" s="118">
        <f>+Actuals!I284</f>
        <v>-113100</v>
      </c>
      <c r="M11" s="119">
        <f>+Actuals!J284</f>
        <v>-343212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v>20150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11259097.26</v>
      </c>
      <c r="F12" s="60">
        <f>'TIE-OUT'!AB12+RECLASS!Z12</f>
        <v>0</v>
      </c>
      <c r="G12" s="38">
        <f>'TIE-OUT'!AC12+RECLASS!AA12</f>
        <v>11259097.26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/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785883</v>
      </c>
      <c r="E13" s="38">
        <f t="shared" si="0"/>
        <v>2242884</v>
      </c>
      <c r="F13" s="60">
        <f>'TIE-OUT'!AB13+RECLASS!Z13</f>
        <v>0</v>
      </c>
      <c r="G13" s="38">
        <f>'TIE-OUT'!AC13+RECLASS!AA13</f>
        <v>0</v>
      </c>
      <c r="H13" s="118">
        <f>+Actuals!E286</f>
        <v>225056</v>
      </c>
      <c r="I13" s="119">
        <f>+Actuals!F286</f>
        <v>676534</v>
      </c>
      <c r="J13" s="118">
        <f>+Actuals!G286</f>
        <v>27226</v>
      </c>
      <c r="K13" s="119">
        <f>+Actuals!H286</f>
        <v>81106</v>
      </c>
      <c r="L13" s="118">
        <f>+Actuals!I286</f>
        <v>0</v>
      </c>
      <c r="M13" s="119">
        <f>+Actuals!J286</f>
        <v>0</v>
      </c>
      <c r="N13" s="118">
        <f>+Actuals!K286</f>
        <v>533601</v>
      </c>
      <c r="O13" s="119">
        <f>+Actuals!L286</f>
        <v>1485244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-20150</v>
      </c>
      <c r="F15" s="81">
        <f>'TIE-OUT'!AB15+RECLASS!Z15</f>
        <v>0</v>
      </c>
      <c r="G15" s="82">
        <f>'TIE-OUT'!AC15+RECLASS!AA15</f>
        <v>64775</v>
      </c>
      <c r="H15" s="118">
        <f>+Actuals!E288</f>
        <v>0</v>
      </c>
      <c r="I15" s="119">
        <f>+Actuals!F288</f>
        <v>-64775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v>-20150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48521662</v>
      </c>
      <c r="E16" s="39">
        <f t="shared" si="1"/>
        <v>135261662.89000002</v>
      </c>
      <c r="F16" s="61">
        <f t="shared" si="1"/>
        <v>-138</v>
      </c>
      <c r="G16" s="39">
        <f t="shared" si="1"/>
        <v>14218059.26</v>
      </c>
      <c r="H16" s="61">
        <f t="shared" si="1"/>
        <v>45796370</v>
      </c>
      <c r="I16" s="39">
        <f t="shared" si="1"/>
        <v>113968277.03000002</v>
      </c>
      <c r="J16" s="61">
        <f t="shared" si="1"/>
        <v>2304929</v>
      </c>
      <c r="K16" s="39">
        <f t="shared" si="1"/>
        <v>5933294.5999999996</v>
      </c>
      <c r="L16" s="61">
        <f>SUM(L11:L15)</f>
        <v>-113100</v>
      </c>
      <c r="M16" s="39">
        <f>SUM(M11:M15)</f>
        <v>-343212</v>
      </c>
      <c r="N16" s="61">
        <f t="shared" si="1"/>
        <v>533601</v>
      </c>
      <c r="O16" s="39">
        <f t="shared" si="1"/>
        <v>1485244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-47008926</v>
      </c>
      <c r="E19" s="38">
        <f t="shared" si="2"/>
        <v>-121270855.08999999</v>
      </c>
      <c r="F19" s="64">
        <f>'TIE-OUT'!AB19+RECLASS!Z19</f>
        <v>138</v>
      </c>
      <c r="G19" s="68">
        <f>'TIE-OUT'!AC19+RECLASS!AA19</f>
        <v>-2887352</v>
      </c>
      <c r="H19" s="118">
        <f>+Actuals!E289</f>
        <v>-44865488</v>
      </c>
      <c r="I19" s="119">
        <f>+Actuals!F289</f>
        <v>-116714515.70999999</v>
      </c>
      <c r="J19" s="118">
        <f>+Actuals!G289</f>
        <v>-2163172</v>
      </c>
      <c r="K19" s="119">
        <f>+Actuals!H289</f>
        <v>-1881069.61</v>
      </c>
      <c r="L19" s="118">
        <f>+Actuals!I289</f>
        <v>19596</v>
      </c>
      <c r="M19" s="119">
        <f>+Actuals!J289</f>
        <v>212082.23</v>
      </c>
      <c r="N19" s="118">
        <f>+Actuals!K289</f>
        <v>0</v>
      </c>
      <c r="O19" s="119">
        <f>+Actuals!L289</f>
        <v>0</v>
      </c>
      <c r="P19" s="118">
        <v>0</v>
      </c>
      <c r="Q19" s="119">
        <v>0</v>
      </c>
      <c r="R19" s="118">
        <v>-325500</v>
      </c>
      <c r="S19" s="119">
        <f>+Actuals!P289</f>
        <v>0</v>
      </c>
      <c r="T19" s="118">
        <v>325500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-15950612.970000001</v>
      </c>
      <c r="F20" s="60">
        <f>'TIE-OUT'!AB20+RECLASS!Z20</f>
        <v>0</v>
      </c>
      <c r="G20" s="38">
        <f>'TIE-OUT'!AC20+RECLASS!AA20</f>
        <v>-15950612.970000001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215"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-1501647</v>
      </c>
      <c r="E21" s="38">
        <f t="shared" si="2"/>
        <v>-4294218</v>
      </c>
      <c r="F21" s="60">
        <f>'TIE-OUT'!AB21+RECLASS!Z21</f>
        <v>0</v>
      </c>
      <c r="G21" s="38">
        <f>'TIE-OUT'!AC21+RECLASS!AA21</f>
        <v>0</v>
      </c>
      <c r="H21" s="118">
        <f>+Actuals!E291</f>
        <v>-712812</v>
      </c>
      <c r="I21" s="119">
        <f>+Actuals!F291</f>
        <v>-2102014</v>
      </c>
      <c r="J21" s="118">
        <f>+Actuals!G291</f>
        <v>0</v>
      </c>
      <c r="K21" s="119">
        <f>+Actuals!H291</f>
        <v>0</v>
      </c>
      <c r="L21" s="118">
        <f>+Actuals!I291</f>
        <v>0</v>
      </c>
      <c r="M21" s="119">
        <f>+Actuals!J291</f>
        <v>0</v>
      </c>
      <c r="N21" s="118">
        <f>+Actuals!K291</f>
        <v>-788835</v>
      </c>
      <c r="O21" s="119">
        <f>+Actuals!L291</f>
        <v>-2192204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'TIE-OUT'!AB23+RECLASS!Z23</f>
        <v>0</v>
      </c>
      <c r="G23" s="82">
        <f>'TIE-OUT'!AC23+RECLASS!AA23</f>
        <v>0</v>
      </c>
      <c r="H23" s="118">
        <f>+Actuals!E293</f>
        <v>2308</v>
      </c>
      <c r="I23" s="119">
        <f>+Actuals!F293</f>
        <v>6970.16</v>
      </c>
      <c r="J23" s="118">
        <f>+Actuals!G293</f>
        <v>69240</v>
      </c>
      <c r="K23" s="119">
        <f>+Actuals!H293</f>
        <v>209104.8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v>-71548</v>
      </c>
      <c r="Q23" s="119">
        <v>-216074.96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-48510573</v>
      </c>
      <c r="E24" s="39">
        <f t="shared" si="3"/>
        <v>-141515686.06</v>
      </c>
      <c r="F24" s="61">
        <f t="shared" si="3"/>
        <v>138</v>
      </c>
      <c r="G24" s="39">
        <f t="shared" si="3"/>
        <v>-18837964.969999999</v>
      </c>
      <c r="H24" s="61">
        <f t="shared" si="3"/>
        <v>-45575992</v>
      </c>
      <c r="I24" s="39">
        <f t="shared" si="3"/>
        <v>-118809559.55</v>
      </c>
      <c r="J24" s="61">
        <f t="shared" si="3"/>
        <v>-2093932</v>
      </c>
      <c r="K24" s="39">
        <f t="shared" si="3"/>
        <v>-1671964.81</v>
      </c>
      <c r="L24" s="61">
        <f>SUM(L19:L23)</f>
        <v>19596</v>
      </c>
      <c r="M24" s="39">
        <f>SUM(M19:M23)</f>
        <v>212082.23</v>
      </c>
      <c r="N24" s="61">
        <f t="shared" si="3"/>
        <v>-788835</v>
      </c>
      <c r="O24" s="39">
        <f t="shared" si="3"/>
        <v>-2192204</v>
      </c>
      <c r="P24" s="61">
        <f t="shared" si="3"/>
        <v>-71548</v>
      </c>
      <c r="Q24" s="39">
        <f t="shared" si="3"/>
        <v>-216074.96</v>
      </c>
      <c r="R24" s="61">
        <f t="shared" si="3"/>
        <v>-325500</v>
      </c>
      <c r="S24" s="39">
        <f t="shared" si="3"/>
        <v>0</v>
      </c>
      <c r="T24" s="61">
        <f t="shared" si="3"/>
        <v>325500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>SUM(L27:L28)</f>
        <v>0</v>
      </c>
      <c r="M29" s="39">
        <f>SUM(M27:M28)</f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937196</v>
      </c>
      <c r="E32" s="38">
        <f t="shared" si="5"/>
        <v>2014931.9200000006</v>
      </c>
      <c r="F32" s="64">
        <f>'TIE-OUT'!AB32+RECLASS!Z32</f>
        <v>0</v>
      </c>
      <c r="G32" s="68">
        <f>'TIE-OUT'!AC32+RECLASS!AA32</f>
        <v>0</v>
      </c>
      <c r="H32" s="118">
        <f>+Actuals!E296</f>
        <v>88462</v>
      </c>
      <c r="I32" s="119">
        <f>+Actuals!F296</f>
        <v>267155.24</v>
      </c>
      <c r="J32" s="118">
        <f>+Actuals!G296</f>
        <v>741358</v>
      </c>
      <c r="K32" s="119">
        <f>+Actuals!H296</f>
        <v>2238901.16</v>
      </c>
      <c r="L32" s="118">
        <f>+Actuals!I296</f>
        <v>-24489</v>
      </c>
      <c r="M32" s="119">
        <f>+Actuals!J296</f>
        <v>-73956.78</v>
      </c>
      <c r="N32" s="118">
        <f>+Actuals!K296</f>
        <v>-133135</v>
      </c>
      <c r="O32" s="119">
        <f>+Actuals!L296</f>
        <v>-402067.7</v>
      </c>
      <c r="P32" s="118">
        <v>-35000</v>
      </c>
      <c r="Q32" s="119">
        <v>-105700</v>
      </c>
      <c r="R32" s="118">
        <v>300000</v>
      </c>
      <c r="S32" s="119">
        <v>90600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937196</v>
      </c>
      <c r="E36" s="39">
        <f t="shared" si="6"/>
        <v>2014931.9200000006</v>
      </c>
      <c r="F36" s="61">
        <f t="shared" si="6"/>
        <v>0</v>
      </c>
      <c r="G36" s="39">
        <f t="shared" si="6"/>
        <v>0</v>
      </c>
      <c r="H36" s="61">
        <f t="shared" si="6"/>
        <v>88462</v>
      </c>
      <c r="I36" s="39">
        <f t="shared" si="6"/>
        <v>267155.24</v>
      </c>
      <c r="J36" s="61">
        <f t="shared" si="6"/>
        <v>741358</v>
      </c>
      <c r="K36" s="39">
        <f t="shared" si="6"/>
        <v>2238901.16</v>
      </c>
      <c r="L36" s="61">
        <f>SUM(L32:L35)</f>
        <v>-24489</v>
      </c>
      <c r="M36" s="39">
        <f>SUM(M32:M35)</f>
        <v>-73956.78</v>
      </c>
      <c r="N36" s="61">
        <f t="shared" si="6"/>
        <v>-133135</v>
      </c>
      <c r="O36" s="39">
        <f t="shared" si="6"/>
        <v>-402067.7</v>
      </c>
      <c r="P36" s="61">
        <f t="shared" si="6"/>
        <v>-35000</v>
      </c>
      <c r="Q36" s="39">
        <f t="shared" si="6"/>
        <v>-105700</v>
      </c>
      <c r="R36" s="61">
        <f t="shared" si="6"/>
        <v>300000</v>
      </c>
      <c r="S36" s="39">
        <f t="shared" si="6"/>
        <v>90600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-678285</v>
      </c>
      <c r="E49" s="38">
        <f>SUM(G49,I49,K49,M49,O49,Q49,S49,U49,W49,Y49,AA49,AC49,AE49)</f>
        <v>-2048420.7000000007</v>
      </c>
      <c r="F49" s="60">
        <f>'TIE-OUT'!AB49+RECLASS!Z49</f>
        <v>0</v>
      </c>
      <c r="G49" s="38">
        <f>'TIE-OUT'!AC49+RECLASS!AA49</f>
        <v>0</v>
      </c>
      <c r="H49" s="118">
        <f>+Actuals!E305</f>
        <v>-308840</v>
      </c>
      <c r="I49" s="119">
        <f>+Actuals!F305</f>
        <v>-932696.8</v>
      </c>
      <c r="J49" s="118">
        <f>+Actuals!G305</f>
        <v>-952355</v>
      </c>
      <c r="K49" s="119">
        <f>+Actuals!H305</f>
        <v>-2876112.1</v>
      </c>
      <c r="L49" s="118">
        <f>+Actuals!I305</f>
        <v>117993</v>
      </c>
      <c r="M49" s="119">
        <f>+Actuals!J305</f>
        <v>356338.86</v>
      </c>
      <c r="N49" s="118">
        <f>+Actuals!K305</f>
        <v>388369</v>
      </c>
      <c r="O49" s="119">
        <f>+Actuals!L305</f>
        <v>1172874.3799999999</v>
      </c>
      <c r="P49" s="118">
        <v>106548</v>
      </c>
      <c r="Q49" s="119">
        <v>321774.96000000002</v>
      </c>
      <c r="R49" s="118">
        <v>295500</v>
      </c>
      <c r="S49" s="119">
        <v>892410</v>
      </c>
      <c r="T49" s="118">
        <v>-325500</v>
      </c>
      <c r="U49" s="119">
        <v>-983010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'TIE-OUT'!AB51+RECLASS!Z51</f>
        <v>0</v>
      </c>
      <c r="G51" s="38">
        <f>'TIE-OUT'!AC51+RECLASS!AA51</f>
        <v>0</v>
      </c>
      <c r="H51" s="118">
        <f>+Actuals!E306</f>
        <v>-2308</v>
      </c>
      <c r="I51" s="119">
        <f>+Actuals!F306</f>
        <v>-6970.16</v>
      </c>
      <c r="J51" s="118">
        <f>+Actuals!G306</f>
        <v>-69240</v>
      </c>
      <c r="K51" s="119">
        <f>+Actuals!H306</f>
        <v>-209104.8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v>71548</v>
      </c>
      <c r="Q51" s="119">
        <v>216074.96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-100623.67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-100623.67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-100623.67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-100623.67</v>
      </c>
      <c r="L56" s="61">
        <f>SUM(L54:L55)</f>
        <v>0</v>
      </c>
      <c r="M56" s="39">
        <f>SUM(M54:M55)</f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1671626.02</v>
      </c>
      <c r="F70" s="64">
        <f>'TIE-OUT'!AB70+RECLASS!Z70</f>
        <v>0</v>
      </c>
      <c r="G70" s="68">
        <f>'TIE-OUT'!AC70+RECLASS!AA70</f>
        <v>1671626.02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-3112279.52</v>
      </c>
      <c r="F71" s="81">
        <f>'TIE-OUT'!AB71+RECLASS!Z71</f>
        <v>0</v>
      </c>
      <c r="G71" s="82">
        <f>'TIE-OUT'!AC71+RECLASS!AA71</f>
        <v>-3112279.52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-1440653.5</v>
      </c>
      <c r="F72" s="61">
        <f t="shared" si="13"/>
        <v>0</v>
      </c>
      <c r="G72" s="183">
        <f t="shared" si="13"/>
        <v>-1440653.5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4422612.8599999994</v>
      </c>
      <c r="F74" s="60">
        <f>'TIE-OUT'!AB74+RECLASS!Z74</f>
        <v>0</v>
      </c>
      <c r="G74" s="60">
        <f>'TIE-OUT'!AC74+RECLASS!AA74</f>
        <v>7567230.29</v>
      </c>
      <c r="H74" s="118">
        <f>+Actuals!E316</f>
        <v>0</v>
      </c>
      <c r="I74" s="230">
        <v>-4500000</v>
      </c>
      <c r="J74" s="118">
        <f>+Actuals!G316</f>
        <v>0</v>
      </c>
      <c r="K74" s="215">
        <f>+Actuals!H316-36860.43</f>
        <v>-36860.43</v>
      </c>
      <c r="L74" s="118">
        <f>+Actuals!I316</f>
        <v>0</v>
      </c>
      <c r="M74" s="215">
        <v>4500000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v>-3107757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-474.79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-198.24</v>
      </c>
      <c r="J76" s="118">
        <f>+Actuals!G318</f>
        <v>0</v>
      </c>
      <c r="K76" s="119">
        <f>+Actuals!H318</f>
        <v>-276.55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270000</v>
      </c>
      <c r="E82" s="92">
        <f>SUM(E72:E81)+E16+E24+E29+E36+E43+E45+E47+E49+E51+E56+E61+E66</f>
        <v>-3406651.0499999942</v>
      </c>
      <c r="F82" s="91">
        <f>F16+F24+F29+F36+F43+F45+F47+F49</f>
        <v>0</v>
      </c>
      <c r="G82" s="92">
        <f>SUM(G72:G81)+G16+G24+G29+G36+G43+G45+G47+G49+G51+G56+G61+G66</f>
        <v>1506671.0800000019</v>
      </c>
      <c r="H82" s="91">
        <f>H16+H24+H29+H36+H43+H45+H47+H49</f>
        <v>0</v>
      </c>
      <c r="I82" s="92">
        <f>SUM(I72:I81)+I16+I24+I29+I36+I43+I45+I47+I49+I51+I56+I61+I66</f>
        <v>-10013992.479999976</v>
      </c>
      <c r="J82" s="91">
        <f>J16+J24+J29+J36+J43+J45+J47+J49</f>
        <v>0</v>
      </c>
      <c r="K82" s="140">
        <f>SUM(K72:K81)+K16+K24+K29+K36+K43+K45+K47+K49+K51+K56+K61+K66</f>
        <v>3277253.399999999</v>
      </c>
      <c r="L82" s="91">
        <f>L16+L24+L29+L36+L43+L45+L47+L49</f>
        <v>0</v>
      </c>
      <c r="M82" s="140">
        <f>SUM(M72:M81)+M16+M24+M29+M36+M43+M45+M47+M49+M51+M56+M61+M66</f>
        <v>4651252.3100000005</v>
      </c>
      <c r="N82" s="91">
        <f>N16+N24+N29+N36+N43+N45+N47+N49</f>
        <v>0</v>
      </c>
      <c r="O82" s="92">
        <f>SUM(O72:O81)+O16+O24+O29+O36+O43+O45+O47+O49+O51+O56+O61+O66</f>
        <v>63846.679999999935</v>
      </c>
      <c r="P82" s="91">
        <f>P16+P24+P29+P36+P43+P45+P47+P49</f>
        <v>0</v>
      </c>
      <c r="Q82" s="92">
        <f>SUM(Q72:Q81)+Q16+Q24+Q29+Q36+Q43+Q45+Q47+Q49+Q51+Q56+Q61+Q66</f>
        <v>-2891682.04</v>
      </c>
      <c r="R82" s="91">
        <f>R16+R24+R29+R36+R43+R45+R47+R49</f>
        <v>270000</v>
      </c>
      <c r="S82" s="92">
        <f>SUM(S72:S81)+S16+S24+S29+S36+S43+S45+S47+S49+S51+S56+S61+S66</f>
        <v>983010</v>
      </c>
      <c r="T82" s="91">
        <f>T16+T24+T29+T36+T43+T45+T47+T49</f>
        <v>0</v>
      </c>
      <c r="U82" s="92">
        <f>SUM(U72:U81)+U16+U24+U29+U36+U43+U45+U47+U49+U51+U56+U61+U66</f>
        <v>-983010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203566.51</v>
      </c>
      <c r="F86" s="145">
        <f>'TIE-OUT'!AB86+RECLASS!Z86</f>
        <v>0</v>
      </c>
      <c r="G86" s="184">
        <f>'TIE-OUT'!AC86+RECLASS!AA86</f>
        <v>156641.51</v>
      </c>
      <c r="H86" s="145">
        <v>0</v>
      </c>
      <c r="I86" s="145">
        <v>0</v>
      </c>
      <c r="J86" s="145">
        <v>0</v>
      </c>
      <c r="K86" s="145">
        <v>46925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-37567</v>
      </c>
      <c r="F87" s="146">
        <f>'TIE-OUT'!AB87+RECLASS!Z87</f>
        <v>0</v>
      </c>
      <c r="G87" s="185">
        <f>'TIE-OUT'!AC87+RECLASS!AA87</f>
        <v>-21752</v>
      </c>
      <c r="H87" s="146">
        <v>0</v>
      </c>
      <c r="I87" s="146">
        <v>-15815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165999.51</v>
      </c>
      <c r="F89" s="155">
        <f t="shared" si="16"/>
        <v>0</v>
      </c>
      <c r="G89" s="155">
        <f t="shared" si="16"/>
        <v>134889.51</v>
      </c>
      <c r="H89" s="155">
        <f t="shared" si="16"/>
        <v>0</v>
      </c>
      <c r="I89" s="155">
        <f t="shared" si="16"/>
        <v>-15815</v>
      </c>
      <c r="J89" s="155">
        <f t="shared" si="16"/>
        <v>0</v>
      </c>
      <c r="K89" s="155">
        <f t="shared" si="16"/>
        <v>46925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270000</v>
      </c>
      <c r="E91" s="155">
        <f t="shared" ref="E91:M91" si="19">+E82+E89</f>
        <v>-3240651.5399999944</v>
      </c>
      <c r="F91" s="155">
        <f t="shared" si="19"/>
        <v>0</v>
      </c>
      <c r="G91" s="155">
        <f t="shared" si="19"/>
        <v>1641560.5900000019</v>
      </c>
      <c r="H91" s="155">
        <f t="shared" si="19"/>
        <v>0</v>
      </c>
      <c r="I91" s="155">
        <f t="shared" si="19"/>
        <v>-10029807.479999976</v>
      </c>
      <c r="J91" s="155">
        <f t="shared" si="19"/>
        <v>0</v>
      </c>
      <c r="K91" s="155">
        <f t="shared" si="19"/>
        <v>3324178.399999999</v>
      </c>
      <c r="L91" s="155">
        <f t="shared" si="19"/>
        <v>0</v>
      </c>
      <c r="M91" s="155">
        <f t="shared" si="19"/>
        <v>4651252.3100000005</v>
      </c>
      <c r="N91" s="155">
        <f t="shared" ref="N91:AE91" si="20">+N82+N89</f>
        <v>0</v>
      </c>
      <c r="O91" s="155">
        <f t="shared" si="20"/>
        <v>63846.679999999935</v>
      </c>
      <c r="P91" s="155">
        <f t="shared" si="20"/>
        <v>0</v>
      </c>
      <c r="Q91" s="155">
        <f t="shared" si="20"/>
        <v>-2891682.04</v>
      </c>
      <c r="R91" s="155">
        <f t="shared" si="20"/>
        <v>270000</v>
      </c>
      <c r="S91" s="155">
        <f t="shared" si="20"/>
        <v>983010</v>
      </c>
      <c r="T91" s="155">
        <f t="shared" si="20"/>
        <v>0</v>
      </c>
      <c r="U91" s="155">
        <f t="shared" si="20"/>
        <v>-983010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116508088</v>
      </c>
      <c r="E11" s="66">
        <f>'CE-FLSH'!M11</f>
        <v>308538812</v>
      </c>
      <c r="F11" s="60">
        <f>CE_GL!D11</f>
        <v>115720725</v>
      </c>
      <c r="G11" s="38">
        <f>CE_GL!E11</f>
        <v>301350150.16000003</v>
      </c>
      <c r="H11" s="60">
        <f>F11-D11</f>
        <v>-787363</v>
      </c>
      <c r="I11" s="38">
        <f>G11-E11</f>
        <v>-7188661.8399999738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2944794.0199999996</v>
      </c>
      <c r="H12" s="60">
        <f>F12-D12</f>
        <v>0</v>
      </c>
      <c r="I12" s="38">
        <f>G12-E12</f>
        <v>2944794.0199999996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61546610</v>
      </c>
      <c r="E13" s="66">
        <f>'CE-FLSH'!M13</f>
        <v>166771061</v>
      </c>
      <c r="F13" s="60">
        <f>CE_GL!D13</f>
        <v>61508439</v>
      </c>
      <c r="G13" s="38">
        <f>CE_GL!E13</f>
        <v>166693097</v>
      </c>
      <c r="H13" s="60">
        <f t="shared" ref="H13:I15" si="0">F13-D13</f>
        <v>-38171</v>
      </c>
      <c r="I13" s="38">
        <f t="shared" si="0"/>
        <v>-77964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2867660.6399999997</v>
      </c>
      <c r="H15" s="60">
        <f t="shared" si="0"/>
        <v>0</v>
      </c>
      <c r="I15" s="38">
        <f t="shared" si="0"/>
        <v>2867660.6399999997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178054698</v>
      </c>
      <c r="E16" s="39">
        <f t="shared" si="1"/>
        <v>475309873</v>
      </c>
      <c r="F16" s="61">
        <f t="shared" si="1"/>
        <v>177229164</v>
      </c>
      <c r="G16" s="39">
        <f t="shared" si="1"/>
        <v>473855701.81999999</v>
      </c>
      <c r="H16" s="61">
        <f t="shared" si="1"/>
        <v>-825534</v>
      </c>
      <c r="I16" s="39">
        <f t="shared" si="1"/>
        <v>-1454171.1799999746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-128554086</v>
      </c>
      <c r="E19" s="66">
        <f>'CE-FLSH'!M19</f>
        <v>-336205659</v>
      </c>
      <c r="F19" s="60">
        <f>CE_GL!D19</f>
        <v>-128920977</v>
      </c>
      <c r="G19" s="38">
        <f>CE_GL!E19</f>
        <v>-337376903.42000002</v>
      </c>
      <c r="H19" s="60">
        <f>F19-D19</f>
        <v>-366891</v>
      </c>
      <c r="I19" s="38">
        <f>G19-E19</f>
        <v>-1171244.4200000167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-12454.4</v>
      </c>
      <c r="H20" s="60">
        <f>F20-D20</f>
        <v>0</v>
      </c>
      <c r="I20" s="38">
        <f>G20-E20</f>
        <v>-12454.4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-49918130</v>
      </c>
      <c r="E21" s="66">
        <f>'CE-FLSH'!M21</f>
        <v>-136924342</v>
      </c>
      <c r="F21" s="60">
        <f>CE_GL!D21</f>
        <v>-49302925</v>
      </c>
      <c r="G21" s="38">
        <f>CE_GL!E21</f>
        <v>-135299768</v>
      </c>
      <c r="H21" s="60">
        <f t="shared" ref="H21:I23" si="2">F21-D21</f>
        <v>615205</v>
      </c>
      <c r="I21" s="38">
        <f t="shared" si="2"/>
        <v>1624574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289627</v>
      </c>
      <c r="E23" s="66">
        <f>'CE-FLSH'!M23</f>
        <v>779479</v>
      </c>
      <c r="F23" s="60">
        <f>CE_GL!D23</f>
        <v>286748</v>
      </c>
      <c r="G23" s="38">
        <f>CE_GL!E23</f>
        <v>749272.52399999998</v>
      </c>
      <c r="H23" s="60">
        <f t="shared" si="2"/>
        <v>-2879</v>
      </c>
      <c r="I23" s="38">
        <f t="shared" si="2"/>
        <v>-30206.476000000024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-178182589</v>
      </c>
      <c r="E24" s="39">
        <f t="shared" si="3"/>
        <v>-472350522</v>
      </c>
      <c r="F24" s="61">
        <f t="shared" si="3"/>
        <v>-177937154</v>
      </c>
      <c r="G24" s="39">
        <f t="shared" si="3"/>
        <v>-471939853.296</v>
      </c>
      <c r="H24" s="61">
        <f t="shared" si="3"/>
        <v>245435</v>
      </c>
      <c r="I24" s="39">
        <f t="shared" si="3"/>
        <v>410668.70399998338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620978</v>
      </c>
      <c r="G27" s="38">
        <f>CE_GL!E27</f>
        <v>1689839.42</v>
      </c>
      <c r="H27" s="60">
        <f>F27-D27</f>
        <v>620978</v>
      </c>
      <c r="I27" s="38">
        <f>G27-E27</f>
        <v>1689839.42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620978</v>
      </c>
      <c r="G29" s="70">
        <f t="shared" si="4"/>
        <v>1689839.42</v>
      </c>
      <c r="H29" s="69">
        <f t="shared" si="4"/>
        <v>620978</v>
      </c>
      <c r="I29" s="70">
        <f t="shared" si="4"/>
        <v>1689839.42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40279</v>
      </c>
      <c r="E32" s="66">
        <f>'CE-FLSH'!M32</f>
        <v>114717</v>
      </c>
      <c r="F32" s="60">
        <f>CE_GL!D32</f>
        <v>198518</v>
      </c>
      <c r="G32" s="38">
        <f>CE_GL!E32</f>
        <v>518727.53700000019</v>
      </c>
      <c r="H32" s="60">
        <f>F32-D32</f>
        <v>158239</v>
      </c>
      <c r="I32" s="38">
        <f>G32-E32</f>
        <v>404010.53700000019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-40606</v>
      </c>
      <c r="G33" s="38">
        <f>CE_GL!E33</f>
        <v>-48447.07</v>
      </c>
      <c r="H33" s="60">
        <f t="shared" ref="H33:I35" si="5">F33-D33</f>
        <v>-40606</v>
      </c>
      <c r="I33" s="38">
        <f t="shared" si="5"/>
        <v>-48447.07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29564</v>
      </c>
      <c r="G34" s="38">
        <f>CE_GL!E34</f>
        <v>69690.03</v>
      </c>
      <c r="H34" s="60">
        <f t="shared" si="5"/>
        <v>29564</v>
      </c>
      <c r="I34" s="38">
        <f t="shared" si="5"/>
        <v>69690.03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293838</v>
      </c>
      <c r="E35" s="66">
        <f>'CE-FLSH'!M35</f>
        <v>753822</v>
      </c>
      <c r="F35" s="60">
        <f>CE_GL!D35</f>
        <v>298037</v>
      </c>
      <c r="G35" s="38">
        <f>CE_GL!E35</f>
        <v>768750.01</v>
      </c>
      <c r="H35" s="60">
        <f t="shared" si="5"/>
        <v>4199</v>
      </c>
      <c r="I35" s="38">
        <f t="shared" si="5"/>
        <v>14928.010000000009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334117</v>
      </c>
      <c r="E36" s="39">
        <f t="shared" si="6"/>
        <v>868539</v>
      </c>
      <c r="F36" s="61">
        <f t="shared" si="6"/>
        <v>485513</v>
      </c>
      <c r="G36" s="39">
        <f t="shared" si="6"/>
        <v>1308720.5070000002</v>
      </c>
      <c r="H36" s="61">
        <f t="shared" si="6"/>
        <v>151396</v>
      </c>
      <c r="I36" s="39">
        <f t="shared" si="6"/>
        <v>440181.50700000022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7855</v>
      </c>
      <c r="E39" s="66">
        <f>'CE-FLSH'!M39</f>
        <v>20423</v>
      </c>
      <c r="F39" s="60">
        <f>CE_GL!D39</f>
        <v>2458</v>
      </c>
      <c r="G39" s="38">
        <f>CE_GL!E39</f>
        <v>6422.7599999997765</v>
      </c>
      <c r="H39" s="60">
        <f t="shared" ref="H39:I41" si="7">F39-D39</f>
        <v>-5397</v>
      </c>
      <c r="I39" s="38">
        <f t="shared" si="7"/>
        <v>-14000.240000000224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-77949</v>
      </c>
      <c r="E40" s="66">
        <f>'CE-FLSH'!M40</f>
        <v>-213870</v>
      </c>
      <c r="F40" s="60">
        <f>CE_GL!D40</f>
        <v>-70212</v>
      </c>
      <c r="G40" s="38">
        <f>CE_GL!E40</f>
        <v>-147770.10999999999</v>
      </c>
      <c r="H40" s="60">
        <f t="shared" si="7"/>
        <v>7737</v>
      </c>
      <c r="I40" s="38">
        <f t="shared" si="7"/>
        <v>66099.890000000014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-77949</v>
      </c>
      <c r="E42" s="70">
        <f t="shared" si="8"/>
        <v>-213870</v>
      </c>
      <c r="F42" s="69">
        <f t="shared" si="8"/>
        <v>-70212</v>
      </c>
      <c r="G42" s="70">
        <f t="shared" si="8"/>
        <v>-147770.10999999999</v>
      </c>
      <c r="H42" s="69">
        <f t="shared" si="8"/>
        <v>7737</v>
      </c>
      <c r="I42" s="70">
        <f t="shared" si="8"/>
        <v>66099.890000000014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-70094</v>
      </c>
      <c r="E43" s="39">
        <f t="shared" si="9"/>
        <v>-193447</v>
      </c>
      <c r="F43" s="61">
        <f t="shared" si="9"/>
        <v>-67754</v>
      </c>
      <c r="G43" s="39">
        <f t="shared" si="9"/>
        <v>-141347.35000000021</v>
      </c>
      <c r="H43" s="61">
        <f t="shared" si="9"/>
        <v>2340</v>
      </c>
      <c r="I43" s="39">
        <f t="shared" si="9"/>
        <v>52099.64999999979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-136132</v>
      </c>
      <c r="E49" s="66">
        <f>'CE-FLSH'!M49</f>
        <v>-348742.95759999997</v>
      </c>
      <c r="F49" s="60">
        <f>CE_GL!D49</f>
        <v>-330747</v>
      </c>
      <c r="G49" s="38">
        <f>CE_GL!E49</f>
        <v>-864241.81600000057</v>
      </c>
      <c r="H49" s="60">
        <f>F49-D49</f>
        <v>-194615</v>
      </c>
      <c r="I49" s="38">
        <f>G49-E49</f>
        <v>-515498.85840000061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-289627</v>
      </c>
      <c r="E51" s="66">
        <f>'CE-FLSH'!M51</f>
        <v>-779479</v>
      </c>
      <c r="F51" s="60">
        <f>CE_GL!D51</f>
        <v>-286748</v>
      </c>
      <c r="G51" s="38">
        <f>CE_GL!E51</f>
        <v>-540490.52399999998</v>
      </c>
      <c r="H51" s="60">
        <f>F51-D51</f>
        <v>2879</v>
      </c>
      <c r="I51" s="38">
        <f>G51-E51</f>
        <v>238988.47600000002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-619299</v>
      </c>
      <c r="F54" s="60">
        <f>CE_GL!D54</f>
        <v>-97416149</v>
      </c>
      <c r="G54" s="38">
        <f>CE_GL!E54</f>
        <v>21393.65999999996</v>
      </c>
      <c r="H54" s="60">
        <f>F54-D54</f>
        <v>-97416149</v>
      </c>
      <c r="I54" s="38">
        <f>G54-E54</f>
        <v>640692.65999999992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-1568114.87</v>
      </c>
      <c r="F55" s="60">
        <f>CE_GL!D55</f>
        <v>0</v>
      </c>
      <c r="G55" s="38">
        <f>CE_GL!E55</f>
        <v>-2612918.52</v>
      </c>
      <c r="H55" s="60">
        <f>F55-D55</f>
        <v>0</v>
      </c>
      <c r="I55" s="38">
        <f>G55-E55</f>
        <v>-1044803.6499999999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-2187413.87</v>
      </c>
      <c r="F56" s="61">
        <f t="shared" si="10"/>
        <v>-97416149</v>
      </c>
      <c r="G56" s="39">
        <f t="shared" si="10"/>
        <v>-2591524.86</v>
      </c>
      <c r="H56" s="61">
        <f t="shared" si="10"/>
        <v>-97416149</v>
      </c>
      <c r="I56" s="39">
        <f t="shared" si="10"/>
        <v>-404110.99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5834127.908400001</v>
      </c>
      <c r="F70" s="60">
        <f>CE_GL!D70</f>
        <v>0</v>
      </c>
      <c r="G70" s="38">
        <f>CE_GL!E70</f>
        <v>5834127.9100000001</v>
      </c>
      <c r="H70" s="60">
        <f>F70-D70</f>
        <v>0</v>
      </c>
      <c r="I70" s="38">
        <f>G70-E70</f>
        <v>1.5999991446733475E-3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-4341731</v>
      </c>
      <c r="F71" s="60">
        <f>CE_GL!D71</f>
        <v>0</v>
      </c>
      <c r="G71" s="38">
        <f>CE_GL!E71</f>
        <v>-4506255</v>
      </c>
      <c r="H71" s="60">
        <f>F71-D71</f>
        <v>0</v>
      </c>
      <c r="I71" s="38">
        <f>G71-E71</f>
        <v>-164524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1492396.908400001</v>
      </c>
      <c r="F72" s="69">
        <f t="shared" si="13"/>
        <v>0</v>
      </c>
      <c r="G72" s="70">
        <f t="shared" si="13"/>
        <v>1327872.9100000001</v>
      </c>
      <c r="H72" s="69">
        <f t="shared" si="13"/>
        <v>0</v>
      </c>
      <c r="I72" s="70">
        <f t="shared" si="13"/>
        <v>-164523.99840000086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-2215910</v>
      </c>
      <c r="F74" s="60">
        <f>CE_GL!D74</f>
        <v>0</v>
      </c>
      <c r="G74" s="38">
        <f>CE_GL!E74</f>
        <v>-2721873.47</v>
      </c>
      <c r="H74" s="60">
        <f t="shared" ref="H74:I79" si="14">F74-D74</f>
        <v>0</v>
      </c>
      <c r="I74" s="38">
        <f t="shared" si="14"/>
        <v>-505963.4700000002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76235</v>
      </c>
      <c r="F75" s="60">
        <f>CE_GL!D75</f>
        <v>0</v>
      </c>
      <c r="G75" s="38">
        <f>CE_GL!E75</f>
        <v>76200</v>
      </c>
      <c r="H75" s="60">
        <f t="shared" si="14"/>
        <v>0</v>
      </c>
      <c r="I75" s="38">
        <f t="shared" si="14"/>
        <v>-35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-10042.250000000002</v>
      </c>
      <c r="H76" s="60">
        <f t="shared" si="14"/>
        <v>0</v>
      </c>
      <c r="I76" s="38">
        <f t="shared" si="14"/>
        <v>-10042.250000000002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0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65633</v>
      </c>
      <c r="F81" s="60">
        <f>CE_GL!D81</f>
        <v>0</v>
      </c>
      <c r="G81" s="38">
        <f>CE_GL!E81</f>
        <v>-67500</v>
      </c>
      <c r="H81" s="60">
        <f>F81-D81</f>
        <v>0</v>
      </c>
      <c r="I81" s="38">
        <f>G81-E81</f>
        <v>-133133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-262837.91920000082</v>
      </c>
      <c r="F82" s="71">
        <f>F16+F24+F29+F36+F43+F45+F47+F49</f>
        <v>0</v>
      </c>
      <c r="G82" s="72">
        <f>SUM(G72:G81)+G16+G24+G29+G36+G43+G45+G47+G49+G51+G56+G61+G66</f>
        <v>-618538.90900001372</v>
      </c>
      <c r="H82" s="71">
        <f>H16+H24+H29+H36+H43+H45+H47+H49</f>
        <v>0</v>
      </c>
      <c r="I82" s="72">
        <f>SUM(I72:I81)+I16+I24+I29+I36+I43+I45+I47+I49+I51+I56+I61+I66</f>
        <v>-355700.98979999288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81" sqref="G8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5734577</v>
      </c>
      <c r="E11" s="66">
        <f>'SITHE-FLSH'!M11</f>
        <v>14607219</v>
      </c>
      <c r="F11" s="60">
        <f>SITHE_GL!D11</f>
        <v>5736188</v>
      </c>
      <c r="G11" s="38">
        <f>SITHE_GL!E11</f>
        <v>15682518.279999999</v>
      </c>
      <c r="H11" s="60">
        <f>F11-D11</f>
        <v>1611</v>
      </c>
      <c r="I11" s="38">
        <f>G11-E11</f>
        <v>1075299.2799999993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-690292.81</v>
      </c>
      <c r="H12" s="60">
        <f>F12-D12</f>
        <v>0</v>
      </c>
      <c r="I12" s="38">
        <f>G12-E12</f>
        <v>-690292.81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5233176</v>
      </c>
      <c r="E13" s="66">
        <f>'SITHE-FLSH'!M13</f>
        <v>14876167</v>
      </c>
      <c r="F13" s="60">
        <f>SITHE_GL!D13</f>
        <v>5233176</v>
      </c>
      <c r="G13" s="38">
        <f>SITHE_GL!E13</f>
        <v>14876167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47411</v>
      </c>
      <c r="H15" s="60">
        <f t="shared" si="0"/>
        <v>0</v>
      </c>
      <c r="I15" s="38">
        <f t="shared" si="0"/>
        <v>47411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10967753</v>
      </c>
      <c r="E16" s="39">
        <f t="shared" si="1"/>
        <v>29483386</v>
      </c>
      <c r="F16" s="61">
        <f t="shared" si="1"/>
        <v>10969364</v>
      </c>
      <c r="G16" s="39">
        <f t="shared" si="1"/>
        <v>29915803.469999999</v>
      </c>
      <c r="H16" s="61">
        <f t="shared" si="1"/>
        <v>1611</v>
      </c>
      <c r="I16" s="39">
        <f t="shared" si="1"/>
        <v>432417.46999999927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-1148538</v>
      </c>
      <c r="E19" s="66">
        <f>'SITHE-FLSH'!M19</f>
        <v>-3191882</v>
      </c>
      <c r="F19" s="60">
        <f>SITHE_GL!D19</f>
        <v>-900825</v>
      </c>
      <c r="G19" s="38">
        <f>SITHE_GL!E19</f>
        <v>-2109354.31</v>
      </c>
      <c r="H19" s="60">
        <f>F19-D19</f>
        <v>247713</v>
      </c>
      <c r="I19" s="38">
        <f>G19-E19</f>
        <v>1082527.69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-66483.69</v>
      </c>
      <c r="H20" s="60">
        <f>F20-D20</f>
        <v>0</v>
      </c>
      <c r="I20" s="38">
        <f>G20-E20</f>
        <v>-66483.69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-9900325</v>
      </c>
      <c r="E21" s="66">
        <f>'SITHE-FLSH'!M21</f>
        <v>-26658650</v>
      </c>
      <c r="F21" s="60">
        <f>SITHE_GL!D21</f>
        <v>-10148038</v>
      </c>
      <c r="G21" s="38">
        <f>SITHE_GL!E21</f>
        <v>-27401898</v>
      </c>
      <c r="H21" s="60">
        <f t="shared" ref="H21:I23" si="2">F21-D21</f>
        <v>-247713</v>
      </c>
      <c r="I21" s="38">
        <f t="shared" si="2"/>
        <v>-743248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3504</v>
      </c>
      <c r="E23" s="66">
        <f>'SITHE-FLSH'!M23</f>
        <v>9683</v>
      </c>
      <c r="F23" s="60">
        <f>SITHE_GL!D23</f>
        <v>0</v>
      </c>
      <c r="G23" s="38">
        <f>SITHE_GL!E23</f>
        <v>0</v>
      </c>
      <c r="H23" s="60">
        <f t="shared" si="2"/>
        <v>-3504</v>
      </c>
      <c r="I23" s="38">
        <f t="shared" si="2"/>
        <v>-9683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-11045359</v>
      </c>
      <c r="E24" s="39">
        <f t="shared" si="3"/>
        <v>-29840849</v>
      </c>
      <c r="F24" s="61">
        <f t="shared" si="3"/>
        <v>-11048863</v>
      </c>
      <c r="G24" s="39">
        <f t="shared" si="3"/>
        <v>-29577736</v>
      </c>
      <c r="H24" s="61">
        <f t="shared" si="3"/>
        <v>-3504</v>
      </c>
      <c r="I24" s="39">
        <f t="shared" si="3"/>
        <v>263113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122429</v>
      </c>
      <c r="E32" s="66">
        <f>'SITHE-FLSH'!M32</f>
        <v>369569</v>
      </c>
      <c r="F32" s="60">
        <f>SITHE_GL!D32</f>
        <v>0</v>
      </c>
      <c r="G32" s="38">
        <f>SITHE_GL!E32</f>
        <v>0</v>
      </c>
      <c r="H32" s="60">
        <f>F32-D32</f>
        <v>-122429</v>
      </c>
      <c r="I32" s="38">
        <f>G32-E32</f>
        <v>-369569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122429</v>
      </c>
      <c r="E36" s="39">
        <f t="shared" si="6"/>
        <v>369569</v>
      </c>
      <c r="F36" s="61">
        <f t="shared" si="6"/>
        <v>0</v>
      </c>
      <c r="G36" s="39">
        <f t="shared" si="6"/>
        <v>0</v>
      </c>
      <c r="H36" s="61">
        <f t="shared" si="6"/>
        <v>-122429</v>
      </c>
      <c r="I36" s="39">
        <f t="shared" si="6"/>
        <v>-369569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133135</v>
      </c>
      <c r="G39" s="38">
        <f>SITHE_GL!E39</f>
        <v>338828.58</v>
      </c>
      <c r="H39" s="60">
        <f t="shared" ref="H39:I41" si="7">F39-D39</f>
        <v>133135</v>
      </c>
      <c r="I39" s="38">
        <f t="shared" si="7"/>
        <v>338828.58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133135</v>
      </c>
      <c r="G43" s="39">
        <f t="shared" si="9"/>
        <v>338828.58</v>
      </c>
      <c r="H43" s="61">
        <f t="shared" si="9"/>
        <v>133135</v>
      </c>
      <c r="I43" s="39">
        <f t="shared" si="9"/>
        <v>338828.58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-44823</v>
      </c>
      <c r="E49" s="66">
        <f>'SITHE-FLSH'!M49</f>
        <v>-114076.11150695957</v>
      </c>
      <c r="F49" s="60">
        <f>SITHE_GL!D49</f>
        <v>-53636</v>
      </c>
      <c r="G49" s="38">
        <f>SITHE_GL!E49</f>
        <v>-136503.62499999994</v>
      </c>
      <c r="H49" s="60">
        <f>F49-D49</f>
        <v>-8813</v>
      </c>
      <c r="I49" s="38">
        <f>G49-E49</f>
        <v>-22427.513493040373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-3504</v>
      </c>
      <c r="E51" s="66">
        <f>'SITHE-FLSH'!M51</f>
        <v>-9683</v>
      </c>
      <c r="F51" s="60">
        <f>SITHE_GL!D51</f>
        <v>0</v>
      </c>
      <c r="G51" s="38">
        <f>SITHE_GL!E51</f>
        <v>0</v>
      </c>
      <c r="H51" s="60">
        <f>F51-D51</f>
        <v>3504</v>
      </c>
      <c r="I51" s="38">
        <f>G51-E51</f>
        <v>9683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-11440</v>
      </c>
      <c r="F54" s="60">
        <f>SITHE_GL!D54</f>
        <v>-212423.79</v>
      </c>
      <c r="G54" s="38">
        <f>SITHE_GL!E54</f>
        <v>-689523.08</v>
      </c>
      <c r="H54" s="60">
        <f>F54-D54</f>
        <v>-212423.79</v>
      </c>
      <c r="I54" s="38">
        <f>G54-E54</f>
        <v>-678083.08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-18810</v>
      </c>
      <c r="F56" s="61">
        <f t="shared" si="10"/>
        <v>-212423.79</v>
      </c>
      <c r="G56" s="39">
        <f t="shared" si="10"/>
        <v>-689523.08</v>
      </c>
      <c r="H56" s="61">
        <f t="shared" si="10"/>
        <v>-212423.79</v>
      </c>
      <c r="I56" s="39">
        <f t="shared" si="10"/>
        <v>-670713.07999999996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-344118.43359999999</v>
      </c>
      <c r="F70" s="60">
        <f>SITHE_GL!D70</f>
        <v>0</v>
      </c>
      <c r="G70" s="38">
        <f>SITHE_GL!E70</f>
        <v>-344118.43</v>
      </c>
      <c r="H70" s="60">
        <f>F70-D70</f>
        <v>0</v>
      </c>
      <c r="I70" s="38">
        <f>G70-E70</f>
        <v>3.599999996367842E-3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259749</v>
      </c>
      <c r="F71" s="60">
        <f>SITHE_GL!D71</f>
        <v>0</v>
      </c>
      <c r="G71" s="38">
        <f>SITHE_GL!E71</f>
        <v>259749.42</v>
      </c>
      <c r="H71" s="60">
        <f>F71-D71</f>
        <v>0</v>
      </c>
      <c r="I71" s="38">
        <f>G71-E71</f>
        <v>0.42000000001280569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-84369.433599999989</v>
      </c>
      <c r="F72" s="69">
        <f t="shared" si="13"/>
        <v>0</v>
      </c>
      <c r="G72" s="70">
        <f t="shared" si="13"/>
        <v>-84369.00999999998</v>
      </c>
      <c r="H72" s="69">
        <f t="shared" si="13"/>
        <v>0</v>
      </c>
      <c r="I72" s="70">
        <f t="shared" si="13"/>
        <v>0.42360000000917353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-140577</v>
      </c>
      <c r="F74" s="60">
        <f>SITHE_GL!D74</f>
        <v>0</v>
      </c>
      <c r="G74" s="38">
        <f>SITHE_GL!E74</f>
        <v>-140577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330184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-330184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-25225.545106960606</v>
      </c>
      <c r="F82" s="71">
        <f>F16+F24+F29+F36+F43+F45+F47+F49</f>
        <v>0</v>
      </c>
      <c r="G82" s="72">
        <f>SUM(G72:G81)+G16+G24+G29+G36+G43+G45+G47+G49+G51+G56+G61+G66</f>
        <v>-374076.66500000271</v>
      </c>
      <c r="H82" s="71">
        <f>H16+H24+H29+H36+H43+H45+H47+H49</f>
        <v>0</v>
      </c>
      <c r="I82" s="72">
        <f>SUM(I72:I81)+I16+I24+I29+I36+I43+I45+I47+I49+I51+I56+I61+I66</f>
        <v>-348851.11989304109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74" sqref="G74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15578321</v>
      </c>
      <c r="E11" s="66">
        <f>'ARUBA-FLSH'!M11</f>
        <v>41740995</v>
      </c>
      <c r="F11" s="60">
        <f>ARUBA_GL!D11</f>
        <v>15578321</v>
      </c>
      <c r="G11" s="38">
        <f>ARUBA_GL!E11</f>
        <v>41213533.420000002</v>
      </c>
      <c r="H11" s="60">
        <f>F11-D11</f>
        <v>0</v>
      </c>
      <c r="I11" s="38">
        <f>G11-E11</f>
        <v>-527461.57999999821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715209.96</v>
      </c>
      <c r="H12" s="60">
        <f>F12-D12</f>
        <v>0</v>
      </c>
      <c r="I12" s="38">
        <f>G12-E12</f>
        <v>715209.96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25594555</v>
      </c>
      <c r="E13" s="66">
        <f>'ARUBA-FLSH'!M13</f>
        <v>71534733</v>
      </c>
      <c r="F13" s="60">
        <f>ARUBA_GL!D13</f>
        <v>25594555</v>
      </c>
      <c r="G13" s="38">
        <f>ARUBA_GL!E13</f>
        <v>71534733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2916287</v>
      </c>
      <c r="F15" s="60">
        <f>ARUBA_GL!D15</f>
        <v>0</v>
      </c>
      <c r="G15" s="38">
        <f>ARUBA_GL!E15</f>
        <v>3058223</v>
      </c>
      <c r="H15" s="60">
        <f t="shared" si="0"/>
        <v>0</v>
      </c>
      <c r="I15" s="38">
        <f t="shared" si="0"/>
        <v>141936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41172876</v>
      </c>
      <c r="E16" s="39">
        <f t="shared" si="1"/>
        <v>116192015</v>
      </c>
      <c r="F16" s="61">
        <f t="shared" si="1"/>
        <v>41172876</v>
      </c>
      <c r="G16" s="39">
        <f t="shared" si="1"/>
        <v>116521699.38</v>
      </c>
      <c r="H16" s="61">
        <f t="shared" si="1"/>
        <v>0</v>
      </c>
      <c r="I16" s="39">
        <f t="shared" si="1"/>
        <v>329684.38000000175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-9905967</v>
      </c>
      <c r="E19" s="66">
        <f>'ARUBA-FLSH'!M19</f>
        <v>-25817305</v>
      </c>
      <c r="F19" s="60">
        <f>ARUBA_GL!D19</f>
        <v>-9905988</v>
      </c>
      <c r="G19" s="38">
        <f>ARUBA_GL!E19</f>
        <v>-25852987.260000002</v>
      </c>
      <c r="H19" s="60">
        <f>F19-D19</f>
        <v>-21</v>
      </c>
      <c r="I19" s="38">
        <f>G19-E19</f>
        <v>-35682.260000001639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-335726</v>
      </c>
      <c r="H20" s="60">
        <f>F20-D20</f>
        <v>0</v>
      </c>
      <c r="I20" s="38">
        <f>G20-E20</f>
        <v>-335726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-31542981</v>
      </c>
      <c r="E21" s="66">
        <f>'ARUBA-FLSH'!M21</f>
        <v>-86688382</v>
      </c>
      <c r="F21" s="60">
        <f>ARUBA_GL!D21</f>
        <v>-31487425</v>
      </c>
      <c r="G21" s="38">
        <f>ARUBA_GL!E21</f>
        <v>-86532422</v>
      </c>
      <c r="H21" s="60">
        <f t="shared" ref="H21:I23" si="2">F21-D21</f>
        <v>55556</v>
      </c>
      <c r="I21" s="38">
        <f t="shared" si="2"/>
        <v>155960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277862</v>
      </c>
      <c r="E23" s="66">
        <f>'ARUBA-FLSH'!M23</f>
        <v>758375</v>
      </c>
      <c r="F23" s="60">
        <f>ARUBA_GL!D23</f>
        <v>276158</v>
      </c>
      <c r="G23" s="38">
        <f>ARUBA_GL!E23</f>
        <v>720081.98499999999</v>
      </c>
      <c r="H23" s="60">
        <f t="shared" si="2"/>
        <v>-1704</v>
      </c>
      <c r="I23" s="38">
        <f t="shared" si="2"/>
        <v>-38293.015000000014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-41171086</v>
      </c>
      <c r="E24" s="39">
        <f t="shared" si="3"/>
        <v>-111747312</v>
      </c>
      <c r="F24" s="61">
        <f t="shared" si="3"/>
        <v>-41117255</v>
      </c>
      <c r="G24" s="39">
        <f t="shared" si="3"/>
        <v>-112001053.27500001</v>
      </c>
      <c r="H24" s="61">
        <f t="shared" si="3"/>
        <v>53831</v>
      </c>
      <c r="I24" s="39">
        <f t="shared" si="3"/>
        <v>-253741.27500000165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-1790</v>
      </c>
      <c r="E49" s="66">
        <f>'ARUBA-FLSH'!M49</f>
        <v>-4667.4250000000002</v>
      </c>
      <c r="F49" s="60">
        <f>ARUBA_GL!D49</f>
        <v>-55621</v>
      </c>
      <c r="G49" s="38">
        <f>ARUBA_GL!E49</f>
        <v>-145031.7575000003</v>
      </c>
      <c r="H49" s="60">
        <f>F49-D49</f>
        <v>-53831</v>
      </c>
      <c r="I49" s="38">
        <f>G49-E49</f>
        <v>-140364.33250000031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-277862</v>
      </c>
      <c r="E51" s="66">
        <f>'ARUBA-FLSH'!M51</f>
        <v>-758375</v>
      </c>
      <c r="F51" s="60">
        <f>ARUBA_GL!D51</f>
        <v>-276158</v>
      </c>
      <c r="G51" s="38">
        <f>ARUBA_GL!E51</f>
        <v>-720081.98499999999</v>
      </c>
      <c r="H51" s="60">
        <f>F51-D51</f>
        <v>1704</v>
      </c>
      <c r="I51" s="38">
        <f>G51-E51</f>
        <v>38293.015000000014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-134078</v>
      </c>
      <c r="F54" s="60">
        <f>ARUBA_GL!D54</f>
        <v>-7488944</v>
      </c>
      <c r="G54" s="38">
        <f>ARUBA_GL!E54</f>
        <v>-129077.93000000001</v>
      </c>
      <c r="H54" s="60">
        <f>F54-D54</f>
        <v>-7488944</v>
      </c>
      <c r="I54" s="38">
        <f>G54-E54</f>
        <v>5000.0699999999924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-2916287</v>
      </c>
      <c r="F55" s="60">
        <f>ARUBA_GL!D55</f>
        <v>0</v>
      </c>
      <c r="G55" s="38">
        <f>ARUBA_GL!E55</f>
        <v>-3029624.54</v>
      </c>
      <c r="H55" s="60">
        <f>F55-D55</f>
        <v>0</v>
      </c>
      <c r="I55" s="38">
        <f>G55-E55</f>
        <v>-113337.54000000004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-3050365</v>
      </c>
      <c r="F56" s="61">
        <f t="shared" si="10"/>
        <v>-7488944</v>
      </c>
      <c r="G56" s="39">
        <f t="shared" si="10"/>
        <v>-3158702.47</v>
      </c>
      <c r="H56" s="61">
        <f t="shared" si="10"/>
        <v>-7488944</v>
      </c>
      <c r="I56" s="39">
        <f t="shared" si="10"/>
        <v>-108337.47000000004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-1948054</v>
      </c>
      <c r="F70" s="60">
        <f>ARUBA_GL!D70</f>
        <v>0</v>
      </c>
      <c r="G70" s="38">
        <f>ARUBA_GL!E70</f>
        <v>-4177637</v>
      </c>
      <c r="H70" s="60">
        <f>F70-D70</f>
        <v>0</v>
      </c>
      <c r="I70" s="38">
        <f>G70-E70</f>
        <v>-2229583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-10742902</v>
      </c>
      <c r="F71" s="60">
        <f>ARUBA_GL!D71</f>
        <v>0</v>
      </c>
      <c r="G71" s="38">
        <f>ARUBA_GL!E71</f>
        <v>-8513318.9399999995</v>
      </c>
      <c r="H71" s="60">
        <f>F71-D71</f>
        <v>0</v>
      </c>
      <c r="I71" s="38">
        <f>G71-E71</f>
        <v>2229583.0600000005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-12690956</v>
      </c>
      <c r="F72" s="69">
        <f t="shared" si="13"/>
        <v>0</v>
      </c>
      <c r="G72" s="70">
        <f t="shared" si="13"/>
        <v>-12690955.939999999</v>
      </c>
      <c r="H72" s="69">
        <f t="shared" si="13"/>
        <v>0</v>
      </c>
      <c r="I72" s="70">
        <f t="shared" si="13"/>
        <v>6.0000000521540642E-2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11758324</v>
      </c>
      <c r="F74" s="60">
        <f>ARUBA_GL!D74</f>
        <v>0</v>
      </c>
      <c r="G74" s="38">
        <f>ARUBA_GL!E74</f>
        <v>11509041.68</v>
      </c>
      <c r="H74" s="60">
        <f t="shared" ref="H74:I79" si="14">F74-D74</f>
        <v>0</v>
      </c>
      <c r="I74" s="38">
        <f t="shared" si="14"/>
        <v>-249282.3200000003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13249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-13249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-288087.42499999981</v>
      </c>
      <c r="F82" s="71">
        <f>F16+F24+F29+F36+F43+F45+F47+F49</f>
        <v>0</v>
      </c>
      <c r="G82" s="72">
        <f>SUM(G72:G81)+G16+G24+G29+G36+G43+G45+G47+G49+G51+G56+G61+G66</f>
        <v>-685084.36750001647</v>
      </c>
      <c r="H82" s="71">
        <f>H16+H24+H29+H36+H43+H45+H47+H49</f>
        <v>0</v>
      </c>
      <c r="I82" s="72">
        <f>SUM(I72:I81)+I16+I24+I29+I36+I43+I45+I47+I49+I51+I56+I61+I66</f>
        <v>-396996.9425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32" sqref="D32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196365526</v>
      </c>
      <c r="E11" s="66">
        <f>'EAST-EGM-FLSH'!M11</f>
        <v>533064366</v>
      </c>
      <c r="F11" s="60">
        <f>'EAST-EGM-GL'!D11</f>
        <v>200496698</v>
      </c>
      <c r="G11" s="38">
        <f>'EAST-EGM-GL'!E11</f>
        <v>536421018.63999993</v>
      </c>
      <c r="H11" s="60">
        <f>F11-D11</f>
        <v>4131172</v>
      </c>
      <c r="I11" s="38">
        <f>G11-E11</f>
        <v>3356652.6399999261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3461878.87</v>
      </c>
      <c r="H12" s="60">
        <f>F12-D12</f>
        <v>0</v>
      </c>
      <c r="I12" s="38">
        <f>G12-E12</f>
        <v>3461878.87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96028476</v>
      </c>
      <c r="E13" s="66">
        <f>'EAST-EGM-FLSH'!M13</f>
        <v>269283472</v>
      </c>
      <c r="F13" s="60">
        <f>'EAST-EGM-GL'!D13</f>
        <v>96028476</v>
      </c>
      <c r="G13" s="38">
        <f>'EAST-EGM-GL'!E13</f>
        <v>269283472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10354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-10354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16221823.67</v>
      </c>
      <c r="H15" s="60">
        <f t="shared" si="0"/>
        <v>0</v>
      </c>
      <c r="I15" s="38">
        <f t="shared" si="0"/>
        <v>16221823.67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296525174</v>
      </c>
      <c r="G16" s="39">
        <f t="shared" si="1"/>
        <v>825388193.17999983</v>
      </c>
      <c r="H16" s="61">
        <f t="shared" si="1"/>
        <v>4131172</v>
      </c>
      <c r="I16" s="39">
        <f t="shared" si="1"/>
        <v>23030001.179999925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-195240163</v>
      </c>
      <c r="E19" s="66">
        <f>'EAST-EGM-FLSH'!M19</f>
        <v>-524044474</v>
      </c>
      <c r="F19" s="60">
        <f>'EAST-EGM-GL'!D19</f>
        <v>-201940380</v>
      </c>
      <c r="G19" s="38">
        <f>'EAST-EGM-GL'!E19</f>
        <v>-542860410.65999997</v>
      </c>
      <c r="H19" s="60">
        <f>F19-D19</f>
        <v>-6700217</v>
      </c>
      <c r="I19" s="38">
        <f>G19-E19</f>
        <v>-18815936.659999967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-5562164.5800000001</v>
      </c>
      <c r="H20" s="60">
        <f>F20-D20</f>
        <v>0</v>
      </c>
      <c r="I20" s="38">
        <f>G20-E20</f>
        <v>-5562164.5800000001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-95951921</v>
      </c>
      <c r="E21" s="66">
        <f>'EAST-EGM-FLSH'!M21</f>
        <v>-271284464</v>
      </c>
      <c r="F21" s="60">
        <f>'EAST-EGM-GL'!D21</f>
        <v>-95637682</v>
      </c>
      <c r="G21" s="38">
        <f>'EAST-EGM-GL'!E21</f>
        <v>-270388484</v>
      </c>
      <c r="H21" s="60">
        <f t="shared" ref="H21:I23" si="2">F21-D21</f>
        <v>314239</v>
      </c>
      <c r="I21" s="38">
        <f t="shared" si="2"/>
        <v>895980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561927</v>
      </c>
      <c r="E23" s="66">
        <f>'EAST-EGM-FLSH'!M23</f>
        <v>1566495</v>
      </c>
      <c r="F23" s="60">
        <f>'EAST-EGM-GL'!D23</f>
        <v>588078</v>
      </c>
      <c r="G23" s="38">
        <f>'EAST-EGM-GL'!E23</f>
        <v>1546056.6890000002</v>
      </c>
      <c r="H23" s="60">
        <f t="shared" si="2"/>
        <v>26151</v>
      </c>
      <c r="I23" s="38">
        <f t="shared" si="2"/>
        <v>-20438.310999999754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-296989984</v>
      </c>
      <c r="G24" s="39">
        <f t="shared" si="3"/>
        <v>-817265002.551</v>
      </c>
      <c r="H24" s="61">
        <f t="shared" si="3"/>
        <v>-6359827</v>
      </c>
      <c r="I24" s="39">
        <f t="shared" si="3"/>
        <v>-23502559.550999966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781501</v>
      </c>
      <c r="G27" s="38">
        <f>'EAST-EGM-GL'!E27</f>
        <v>2125712.02</v>
      </c>
      <c r="H27" s="60">
        <f>F27-D27</f>
        <v>781501</v>
      </c>
      <c r="I27" s="38">
        <f>G27-E27</f>
        <v>2125712.02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-492141</v>
      </c>
      <c r="G28" s="38">
        <f>'EAST-EGM-GL'!E28</f>
        <v>-1309200.8099999998</v>
      </c>
      <c r="H28" s="60">
        <f>F28-D28</f>
        <v>-492141</v>
      </c>
      <c r="I28" s="38">
        <f>G28-E28</f>
        <v>-1309200.8099999998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289360</v>
      </c>
      <c r="G29" s="70">
        <f t="shared" si="4"/>
        <v>816511.2100000002</v>
      </c>
      <c r="H29" s="69">
        <f t="shared" si="4"/>
        <v>289360</v>
      </c>
      <c r="I29" s="70">
        <f t="shared" si="4"/>
        <v>816511.2100000002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13934</v>
      </c>
      <c r="E32" s="66">
        <f>'EAST-EGM-FLSH'!M32</f>
        <v>41850</v>
      </c>
      <c r="F32" s="60">
        <f>'EAST-EGM-GL'!D32</f>
        <v>883902</v>
      </c>
      <c r="G32" s="38">
        <f>'EAST-EGM-GL'!E32</f>
        <v>2323778.3549999986</v>
      </c>
      <c r="H32" s="60">
        <f>F32-D32</f>
        <v>869968</v>
      </c>
      <c r="I32" s="38">
        <f>G32-E32</f>
        <v>2281928.3549999986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579330</v>
      </c>
      <c r="E33" s="66">
        <f>'EAST-EGM-FLSH'!M33</f>
        <v>1546257</v>
      </c>
      <c r="F33" s="60">
        <f>'EAST-EGM-GL'!D33</f>
        <v>-962579</v>
      </c>
      <c r="G33" s="38">
        <f>'EAST-EGM-GL'!E33</f>
        <v>-2063819.9700000002</v>
      </c>
      <c r="H33" s="60">
        <f t="shared" ref="H33:I35" si="5">F33-D33</f>
        <v>-1541909</v>
      </c>
      <c r="I33" s="38">
        <f t="shared" si="5"/>
        <v>-3610076.97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-721131</v>
      </c>
      <c r="E34" s="66">
        <f>'EAST-EGM-FLSH'!M34</f>
        <v>-1967200</v>
      </c>
      <c r="F34" s="60">
        <f>'EAST-EGM-GL'!D34</f>
        <v>414830</v>
      </c>
      <c r="G34" s="38">
        <f>'EAST-EGM-GL'!E34</f>
        <v>563322.67999999993</v>
      </c>
      <c r="H34" s="60">
        <f t="shared" si="5"/>
        <v>1135961</v>
      </c>
      <c r="I34" s="38">
        <f t="shared" si="5"/>
        <v>2530522.6799999997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-136134</v>
      </c>
      <c r="E35" s="66">
        <f>'EAST-EGM-FLSH'!M35</f>
        <v>-1121629</v>
      </c>
      <c r="F35" s="60">
        <f>'EAST-EGM-GL'!D35</f>
        <v>0</v>
      </c>
      <c r="G35" s="38">
        <f>'EAST-EGM-GL'!E35</f>
        <v>0</v>
      </c>
      <c r="H35" s="60">
        <f t="shared" si="5"/>
        <v>136134</v>
      </c>
      <c r="I35" s="38">
        <f t="shared" si="5"/>
        <v>1121629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336153</v>
      </c>
      <c r="G36" s="39">
        <f t="shared" si="6"/>
        <v>823281.06499999831</v>
      </c>
      <c r="H36" s="61">
        <f t="shared" si="6"/>
        <v>600154</v>
      </c>
      <c r="I36" s="39">
        <f t="shared" si="6"/>
        <v>2324003.0649999981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1213095</v>
      </c>
      <c r="E39" s="66">
        <f>'EAST-EGM-FLSH'!M39</f>
        <v>3150492</v>
      </c>
      <c r="F39" s="60">
        <f>'EAST-EGM-GL'!D39</f>
        <v>71525</v>
      </c>
      <c r="G39" s="38">
        <f>'EAST-EGM-GL'!E39</f>
        <v>188031.35</v>
      </c>
      <c r="H39" s="60">
        <f t="shared" ref="H39:I41" si="7">F39-D39</f>
        <v>-1141570</v>
      </c>
      <c r="I39" s="38">
        <f t="shared" si="7"/>
        <v>-2962460.65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-2533756</v>
      </c>
      <c r="E40" s="66">
        <f>'EAST-EGM-FLSH'!M40</f>
        <v>-6709343</v>
      </c>
      <c r="F40" s="60">
        <f>'EAST-EGM-GL'!D40</f>
        <v>-811671</v>
      </c>
      <c r="G40" s="38">
        <f>'EAST-EGM-GL'!E40</f>
        <v>-643281.41000000061</v>
      </c>
      <c r="H40" s="60">
        <f t="shared" si="7"/>
        <v>1722085</v>
      </c>
      <c r="I40" s="38">
        <f t="shared" si="7"/>
        <v>6066061.5899999999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-811671</v>
      </c>
      <c r="G42" s="70">
        <f t="shared" si="8"/>
        <v>-643281.41000000061</v>
      </c>
      <c r="H42" s="69">
        <f t="shared" si="8"/>
        <v>1722085</v>
      </c>
      <c r="I42" s="70">
        <f t="shared" si="8"/>
        <v>6066061.5899999999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-740146</v>
      </c>
      <c r="G43" s="39">
        <f t="shared" si="9"/>
        <v>-455250.06000000064</v>
      </c>
      <c r="H43" s="61">
        <f t="shared" si="9"/>
        <v>580515</v>
      </c>
      <c r="I43" s="39">
        <f t="shared" si="9"/>
        <v>3103600.94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-156215</v>
      </c>
      <c r="E49" s="66">
        <f>'EAST-EGM-FLSH'!M49</f>
        <v>-410689.23499999999</v>
      </c>
      <c r="F49" s="60">
        <f>'EAST-EGM-GL'!D49</f>
        <v>579443</v>
      </c>
      <c r="G49" s="38">
        <f>'EAST-EGM-GL'!E49</f>
        <v>1523355.6450000005</v>
      </c>
      <c r="H49" s="60">
        <f>F49-D49</f>
        <v>735658</v>
      </c>
      <c r="I49" s="38">
        <f>G49-E49</f>
        <v>1934044.8800000004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-561927</v>
      </c>
      <c r="E51" s="66">
        <f>'EAST-EGM-FLSH'!M51</f>
        <v>-1566495</v>
      </c>
      <c r="F51" s="60">
        <f>'EAST-EGM-GL'!D51</f>
        <v>-588078</v>
      </c>
      <c r="G51" s="38">
        <f>'EAST-EGM-GL'!E51</f>
        <v>-1546057.0640000007</v>
      </c>
      <c r="H51" s="60">
        <f>F51-D51</f>
        <v>-26151</v>
      </c>
      <c r="I51" s="38">
        <f>G51-E51</f>
        <v>20437.935999999288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-2196592</v>
      </c>
      <c r="F54" s="60">
        <f>'EAST-EGM-GL'!D54</f>
        <v>-152830718</v>
      </c>
      <c r="G54" s="38">
        <f>'EAST-EGM-GL'!E54</f>
        <v>-1972415.63</v>
      </c>
      <c r="H54" s="60">
        <f>F54-D54</f>
        <v>-152830718</v>
      </c>
      <c r="I54" s="38">
        <f>G54-E54</f>
        <v>224176.37000000011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-2391849</v>
      </c>
      <c r="F55" s="60">
        <f>'EAST-EGM-GL'!D55</f>
        <v>0</v>
      </c>
      <c r="G55" s="38">
        <f>'EAST-EGM-GL'!E55</f>
        <v>-8048099.0199999996</v>
      </c>
      <c r="H55" s="60">
        <f>F55-D55</f>
        <v>0</v>
      </c>
      <c r="I55" s="38">
        <f>G55-E55</f>
        <v>-5656250.0199999996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-4588441</v>
      </c>
      <c r="F56" s="61">
        <f t="shared" si="10"/>
        <v>-152830718</v>
      </c>
      <c r="G56" s="39">
        <f t="shared" si="10"/>
        <v>-10020514.649999999</v>
      </c>
      <c r="H56" s="61">
        <f t="shared" si="10"/>
        <v>-152830718</v>
      </c>
      <c r="I56" s="39">
        <f t="shared" si="10"/>
        <v>-5432073.6499999994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65509.369999999995</v>
      </c>
      <c r="H59" s="60">
        <f>F59-D59</f>
        <v>0</v>
      </c>
      <c r="I59" s="38">
        <f>G59-E59</f>
        <v>65509.369999999995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65509.369999999995</v>
      </c>
      <c r="H61" s="69">
        <f t="shared" si="11"/>
        <v>0</v>
      </c>
      <c r="I61" s="70">
        <f t="shared" si="11"/>
        <v>65509.369999999995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1165617.6111000003</v>
      </c>
      <c r="F70" s="60">
        <f>'EAST-EGM-GL'!D70</f>
        <v>0</v>
      </c>
      <c r="G70" s="38">
        <f>'EAST-EGM-GL'!E70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-563222</v>
      </c>
      <c r="F71" s="60">
        <f>'EAST-EGM-GL'!D71</f>
        <v>0</v>
      </c>
      <c r="G71" s="38">
        <f>'EAST-EGM-GL'!E71</f>
        <v>-563222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702407</v>
      </c>
      <c r="F74" s="60">
        <f>'EAST-EGM-GL'!D74</f>
        <v>0</v>
      </c>
      <c r="G74" s="38">
        <f>'EAST-EGM-GL'!E74</f>
        <v>-1886252.9100000001</v>
      </c>
      <c r="H74" s="60">
        <f t="shared" ref="H74:I79" si="14">F74-D74</f>
        <v>0</v>
      </c>
      <c r="I74" s="38">
        <f t="shared" si="14"/>
        <v>-2588659.91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-34406</v>
      </c>
      <c r="F75" s="60">
        <f>'EAST-EGM-GL'!D75</f>
        <v>0</v>
      </c>
      <c r="G75" s="38">
        <f>'EAST-EGM-GL'!E75</f>
        <v>-34400</v>
      </c>
      <c r="H75" s="60">
        <f t="shared" si="14"/>
        <v>0</v>
      </c>
      <c r="I75" s="38">
        <f t="shared" si="14"/>
        <v>6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-5809</v>
      </c>
      <c r="F76" s="60">
        <f>'EAST-EGM-GL'!D76</f>
        <v>0</v>
      </c>
      <c r="G76" s="38">
        <f>'EAST-EGM-GL'!E76</f>
        <v>22636.920000000013</v>
      </c>
      <c r="H76" s="60">
        <f t="shared" si="14"/>
        <v>0</v>
      </c>
      <c r="I76" s="38">
        <f t="shared" si="14"/>
        <v>28445.920000000013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20000.5</v>
      </c>
      <c r="F77" s="60">
        <f>'EAST-EGM-GL'!D77</f>
        <v>0</v>
      </c>
      <c r="G77" s="38">
        <f>'EAST-EGM-GL'!E77</f>
        <v>-105000</v>
      </c>
      <c r="H77" s="60">
        <f t="shared" si="14"/>
        <v>0</v>
      </c>
      <c r="I77" s="38">
        <f t="shared" si="14"/>
        <v>-125000.5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-202500</v>
      </c>
      <c r="F80" s="60">
        <f>'EAST-EGM-GL'!D80</f>
        <v>0</v>
      </c>
      <c r="G80" s="38">
        <f>'EAST-EGM-GL'!E80</f>
        <v>-202500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-72206</v>
      </c>
      <c r="F81" s="60">
        <f>'EAST-EGM-GL'!D81</f>
        <v>0</v>
      </c>
      <c r="G81" s="38">
        <f>'EAST-EGM-GL'!E81</f>
        <v>2449330.04</v>
      </c>
      <c r="H81" s="60">
        <f>F81-D81</f>
        <v>0</v>
      </c>
      <c r="I81" s="38">
        <f>G81-E81</f>
        <v>2521536.04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22968</v>
      </c>
      <c r="E82" s="72">
        <f>SUM(E72:E81)+E16+E24+E29+E36+E43+E45+E47+E49+E51+E56+E61+E66</f>
        <v>-1996625.3689000462</v>
      </c>
      <c r="F82" s="71">
        <f>F16+F24+F29+F36+F43+F45+F47+F49</f>
        <v>0</v>
      </c>
      <c r="G82" s="72">
        <f>SUM(G72:G81)+G16+G24+G29+G36+G43+G45+G47+G49+G51+G56+G61+G66</f>
        <v>176235.80499979563</v>
      </c>
      <c r="H82" s="71">
        <f>H16+H24+H29+H36+H43+H45+H47+H49</f>
        <v>-22968</v>
      </c>
      <c r="I82" s="72">
        <f>SUM(I72:I81)+I16+I24+I29+I36+I43+I45+I47+I49+I51+I56+I61+I66</f>
        <v>2172861.173899956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'EAST-EGM-FLSH'!L86</f>
        <v>0</v>
      </c>
      <c r="E86" s="145">
        <f>'EAST-EGM-FLSH'!M86</f>
        <v>65612</v>
      </c>
      <c r="F86" s="145">
        <f>'EAST-EGM-GL'!D86</f>
        <v>0</v>
      </c>
      <c r="G86" s="145">
        <f>'EAST-EGM-GL'!E86</f>
        <v>65999.69</v>
      </c>
      <c r="H86" s="145">
        <f t="shared" ref="H86:I88" si="15">F86-D86</f>
        <v>0</v>
      </c>
      <c r="I86" s="145">
        <f t="shared" si="15"/>
        <v>387.69000000000233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65612</v>
      </c>
      <c r="F89" s="160">
        <f t="shared" si="16"/>
        <v>0</v>
      </c>
      <c r="G89" s="160">
        <f t="shared" si="16"/>
        <v>65999.69</v>
      </c>
      <c r="H89" s="160">
        <f t="shared" si="16"/>
        <v>0</v>
      </c>
      <c r="I89" s="160">
        <f t="shared" si="16"/>
        <v>387.69000000000233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-1931013.3689000462</v>
      </c>
      <c r="F91" s="160">
        <f t="shared" si="17"/>
        <v>0</v>
      </c>
      <c r="G91" s="160">
        <f t="shared" si="17"/>
        <v>242235.49499979563</v>
      </c>
      <c r="H91" s="160">
        <f t="shared" si="17"/>
        <v>-22968</v>
      </c>
      <c r="I91" s="160">
        <f t="shared" si="17"/>
        <v>2173248.863899956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7" sqref="D2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11124</v>
      </c>
      <c r="G11" s="38">
        <f>'EAST-LRC-GL'!E11</f>
        <v>10231.080000000002</v>
      </c>
      <c r="H11" s="60">
        <f>F11-D11</f>
        <v>11124</v>
      </c>
      <c r="I11" s="38">
        <f>G11-E11</f>
        <v>10231.080000000002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-147054.67000000001</v>
      </c>
      <c r="H12" s="60">
        <f>F12-D12</f>
        <v>0</v>
      </c>
      <c r="I12" s="38">
        <f>G12-E12</f>
        <v>-147054.67000000001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11124</v>
      </c>
      <c r="G16" s="39">
        <f t="shared" si="1"/>
        <v>-136823.59000000003</v>
      </c>
      <c r="H16" s="61">
        <f t="shared" si="1"/>
        <v>11124</v>
      </c>
      <c r="I16" s="39">
        <f t="shared" si="1"/>
        <v>-136823.59000000003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-65719.960000000006</v>
      </c>
      <c r="H20" s="60">
        <f>F20-D20</f>
        <v>0</v>
      </c>
      <c r="I20" s="38">
        <f>G20-E20</f>
        <v>-65719.960000000006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-65719.960000000006</v>
      </c>
      <c r="H24" s="61">
        <f t="shared" si="3"/>
        <v>0</v>
      </c>
      <c r="I24" s="39">
        <f t="shared" si="3"/>
        <v>-65719.960000000006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-8063</v>
      </c>
      <c r="G27" s="38">
        <f>'EAST-LRC-GL'!E27</f>
        <v>-23851</v>
      </c>
      <c r="H27" s="60">
        <f>F27-D27</f>
        <v>-8063</v>
      </c>
      <c r="I27" s="38">
        <f>G27-E27</f>
        <v>-23851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-3061</v>
      </c>
      <c r="G28" s="38">
        <f>'EAST-LRC-GL'!E28</f>
        <v>-6159</v>
      </c>
      <c r="H28" s="60">
        <f>F28-D28</f>
        <v>-3061</v>
      </c>
      <c r="I28" s="38">
        <f>G28-E28</f>
        <v>-6159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-11124</v>
      </c>
      <c r="G29" s="70">
        <f t="shared" si="4"/>
        <v>-30010</v>
      </c>
      <c r="H29" s="69">
        <f t="shared" si="4"/>
        <v>-11124</v>
      </c>
      <c r="I29" s="70">
        <f t="shared" si="4"/>
        <v>-30010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-232553.55000000005</v>
      </c>
      <c r="H82" s="71">
        <f>H16+H24+H29+H36+H43+H45+H47+H49</f>
        <v>0</v>
      </c>
      <c r="I82" s="72">
        <f>SUM(I72:I81)+I16+I24+I29+I36+I43+I45+I47+I49+I51+I56+I61+I66</f>
        <v>-232553.55000000005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26" activePane="bottomRight" state="frozen"/>
      <selection activeCell="D10" sqref="D10"/>
      <selection pane="topRight" activeCell="D10" sqref="D10"/>
      <selection pane="bottomLeft" activeCell="D10" sqref="D10"/>
      <selection pane="bottomRight" activeCell="F35" sqref="F35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196365526</v>
      </c>
      <c r="E11" s="66">
        <f>'EAST-CON-FLSH'!M11</f>
        <v>533064366</v>
      </c>
      <c r="F11" s="60">
        <f>'EAST-CON-GL '!D11</f>
        <v>200507822</v>
      </c>
      <c r="G11" s="38">
        <f>'EAST-CON-GL '!E11</f>
        <v>536431249.71999997</v>
      </c>
      <c r="H11" s="60">
        <f>F11-D11</f>
        <v>4142296</v>
      </c>
      <c r="I11" s="38">
        <f>G11-E11</f>
        <v>3366883.719999969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3314824.2</v>
      </c>
      <c r="H12" s="60">
        <f>F12-D12</f>
        <v>0</v>
      </c>
      <c r="I12" s="38">
        <f>G12-E12</f>
        <v>3314824.2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96028476</v>
      </c>
      <c r="E13" s="66">
        <f>'EAST-CON-FLSH'!M13</f>
        <v>269283472</v>
      </c>
      <c r="F13" s="60">
        <f>'EAST-CON-GL '!D13</f>
        <v>96028476</v>
      </c>
      <c r="G13" s="38">
        <f>'EAST-CON-GL '!E13</f>
        <v>269283472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10354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-10354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16221823.67</v>
      </c>
      <c r="H15" s="60">
        <f t="shared" si="0"/>
        <v>0</v>
      </c>
      <c r="I15" s="38">
        <f t="shared" si="0"/>
        <v>16221823.67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292394002</v>
      </c>
      <c r="E16" s="39">
        <f t="shared" si="1"/>
        <v>802358192</v>
      </c>
      <c r="F16" s="61">
        <f t="shared" si="1"/>
        <v>296536298</v>
      </c>
      <c r="G16" s="39">
        <f t="shared" si="1"/>
        <v>825251369.58999991</v>
      </c>
      <c r="H16" s="61">
        <f t="shared" si="1"/>
        <v>4142296</v>
      </c>
      <c r="I16" s="39">
        <f t="shared" si="1"/>
        <v>22893177.58999997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-195240163</v>
      </c>
      <c r="E19" s="66">
        <f>'EAST-CON-FLSH'!M19</f>
        <v>-524044474</v>
      </c>
      <c r="F19" s="60">
        <f>'EAST-CON-GL '!D19</f>
        <v>-201940380</v>
      </c>
      <c r="G19" s="38">
        <f>'EAST-CON-GL '!E19</f>
        <v>-542860410.65999997</v>
      </c>
      <c r="H19" s="60">
        <f>F19-D19</f>
        <v>-6700217</v>
      </c>
      <c r="I19" s="38">
        <f>G19-E19</f>
        <v>-18815936.659999967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-4444884.54</v>
      </c>
      <c r="H20" s="60">
        <f>F20-D20</f>
        <v>0</v>
      </c>
      <c r="I20" s="38">
        <f>G20-E20</f>
        <v>-4444884.54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-95951921</v>
      </c>
      <c r="E21" s="66">
        <f>'EAST-CON-FLSH'!M21</f>
        <v>-271284464</v>
      </c>
      <c r="F21" s="60">
        <f>'EAST-CON-GL '!D21</f>
        <v>-95637682</v>
      </c>
      <c r="G21" s="38">
        <f>'EAST-CON-GL '!E21</f>
        <v>-270388484</v>
      </c>
      <c r="H21" s="60">
        <f t="shared" ref="H21:I23" si="2">F21-D21</f>
        <v>314239</v>
      </c>
      <c r="I21" s="38">
        <f t="shared" si="2"/>
        <v>895980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561927</v>
      </c>
      <c r="E23" s="66">
        <f>'EAST-CON-FLSH'!M23</f>
        <v>1566495</v>
      </c>
      <c r="F23" s="60">
        <f>'EAST-CON-GL '!D23</f>
        <v>588078</v>
      </c>
      <c r="G23" s="38">
        <f>'EAST-CON-GL '!E23</f>
        <v>1546056.6890000002</v>
      </c>
      <c r="H23" s="60">
        <f t="shared" si="2"/>
        <v>26151</v>
      </c>
      <c r="I23" s="38">
        <f t="shared" si="2"/>
        <v>-20438.310999999754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-290630157</v>
      </c>
      <c r="E24" s="39">
        <f t="shared" si="3"/>
        <v>-793762443</v>
      </c>
      <c r="F24" s="61">
        <f t="shared" si="3"/>
        <v>-296989984</v>
      </c>
      <c r="G24" s="39">
        <f t="shared" si="3"/>
        <v>-816147722.51099992</v>
      </c>
      <c r="H24" s="61">
        <f t="shared" si="3"/>
        <v>-6359827</v>
      </c>
      <c r="I24" s="39">
        <f t="shared" si="3"/>
        <v>-22385279.510999966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773438</v>
      </c>
      <c r="G27" s="38">
        <f>'EAST-CON-GL '!E27</f>
        <v>2101861.02</v>
      </c>
      <c r="H27" s="60">
        <f>F27-D27</f>
        <v>773438</v>
      </c>
      <c r="I27" s="38">
        <f>G27-E27</f>
        <v>2101861.02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-495202</v>
      </c>
      <c r="G28" s="38">
        <f>'EAST-CON-GL '!E28</f>
        <v>-1315359.8099999998</v>
      </c>
      <c r="H28" s="60">
        <f>F28-D28</f>
        <v>-495202</v>
      </c>
      <c r="I28" s="38">
        <f>G28-E28</f>
        <v>-1315359.8099999998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278236</v>
      </c>
      <c r="G29" s="70">
        <f t="shared" si="4"/>
        <v>786501.2100000002</v>
      </c>
      <c r="H29" s="69">
        <f t="shared" si="4"/>
        <v>278236</v>
      </c>
      <c r="I29" s="70">
        <f t="shared" si="4"/>
        <v>786501.2100000002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13934</v>
      </c>
      <c r="E32" s="66">
        <f>'EAST-CON-FLSH'!M32</f>
        <v>41850</v>
      </c>
      <c r="F32" s="60">
        <f>'EAST-CON-GL '!D32</f>
        <v>883902</v>
      </c>
      <c r="G32" s="38">
        <f>'EAST-CON-GL '!E32</f>
        <v>2323778.3549999986</v>
      </c>
      <c r="H32" s="60">
        <f>F32-D32</f>
        <v>869968</v>
      </c>
      <c r="I32" s="38">
        <f>G32-E32</f>
        <v>2281928.3549999986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579330</v>
      </c>
      <c r="E33" s="66">
        <f>'EAST-CON-FLSH'!M33</f>
        <v>1546257</v>
      </c>
      <c r="F33" s="60">
        <f>'EAST-CON-GL '!D33</f>
        <v>-962579</v>
      </c>
      <c r="G33" s="38">
        <f>'EAST-CON-GL '!E33</f>
        <v>-2063819.9700000002</v>
      </c>
      <c r="H33" s="60">
        <f t="shared" ref="H33:I35" si="5">F33-D33</f>
        <v>-1541909</v>
      </c>
      <c r="I33" s="38">
        <f t="shared" si="5"/>
        <v>-3610076.97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-721131</v>
      </c>
      <c r="E34" s="66">
        <f>'EAST-CON-FLSH'!M34</f>
        <v>-1967200</v>
      </c>
      <c r="F34" s="60">
        <f>'EAST-CON-GL '!D34</f>
        <v>414830</v>
      </c>
      <c r="G34" s="38">
        <f>'EAST-CON-GL '!E34</f>
        <v>563322.67999999993</v>
      </c>
      <c r="H34" s="60">
        <f t="shared" si="5"/>
        <v>1135961</v>
      </c>
      <c r="I34" s="38">
        <f t="shared" si="5"/>
        <v>2530522.6799999997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-136134</v>
      </c>
      <c r="E35" s="66">
        <f>'EAST-CON-FLSH'!M35</f>
        <v>-1121629</v>
      </c>
      <c r="F35" s="60">
        <f>'EAST-CON-GL '!D35</f>
        <v>0</v>
      </c>
      <c r="G35" s="38">
        <f>'EAST-CON-GL '!E35</f>
        <v>-1183000</v>
      </c>
      <c r="H35" s="60">
        <f t="shared" si="5"/>
        <v>136134</v>
      </c>
      <c r="I35" s="38">
        <f t="shared" si="5"/>
        <v>-61371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-264001</v>
      </c>
      <c r="E36" s="39">
        <f t="shared" si="6"/>
        <v>-1500722</v>
      </c>
      <c r="F36" s="61">
        <f t="shared" si="6"/>
        <v>336153</v>
      </c>
      <c r="G36" s="39">
        <f t="shared" si="6"/>
        <v>-359718.93500000169</v>
      </c>
      <c r="H36" s="61">
        <f t="shared" si="6"/>
        <v>600154</v>
      </c>
      <c r="I36" s="39">
        <f t="shared" si="6"/>
        <v>1141003.0649999981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1213095</v>
      </c>
      <c r="E39" s="66">
        <f>'EAST-CON-FLSH'!M39</f>
        <v>3150492</v>
      </c>
      <c r="F39" s="60">
        <f>'EAST-CON-GL '!D39</f>
        <v>71525</v>
      </c>
      <c r="G39" s="38">
        <f>'EAST-CON-GL '!E39</f>
        <v>188031.35</v>
      </c>
      <c r="H39" s="60">
        <f t="shared" ref="H39:I41" si="7">F39-D39</f>
        <v>-1141570</v>
      </c>
      <c r="I39" s="38">
        <f t="shared" si="7"/>
        <v>-2962460.65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-2533756</v>
      </c>
      <c r="E40" s="66">
        <f>'EAST-CON-FLSH'!M40</f>
        <v>-6709343</v>
      </c>
      <c r="F40" s="60">
        <f>'EAST-CON-GL '!D40</f>
        <v>-811671</v>
      </c>
      <c r="G40" s="38">
        <f>'EAST-CON-GL '!E40</f>
        <v>-643281.41000000061</v>
      </c>
      <c r="H40" s="60">
        <f t="shared" si="7"/>
        <v>1722085</v>
      </c>
      <c r="I40" s="38">
        <f t="shared" si="7"/>
        <v>6066061.5899999999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-2533756</v>
      </c>
      <c r="E42" s="70">
        <f t="shared" si="8"/>
        <v>-6709343</v>
      </c>
      <c r="F42" s="69">
        <f t="shared" si="8"/>
        <v>-811671</v>
      </c>
      <c r="G42" s="70">
        <f t="shared" si="8"/>
        <v>-643281.41000000061</v>
      </c>
      <c r="H42" s="69">
        <f t="shared" si="8"/>
        <v>1722085</v>
      </c>
      <c r="I42" s="70">
        <f t="shared" si="8"/>
        <v>6066061.5899999999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-1320661</v>
      </c>
      <c r="E43" s="39">
        <f t="shared" si="9"/>
        <v>-3558851</v>
      </c>
      <c r="F43" s="61">
        <f t="shared" si="9"/>
        <v>-740146</v>
      </c>
      <c r="G43" s="39">
        <f t="shared" si="9"/>
        <v>-455250.06000000064</v>
      </c>
      <c r="H43" s="61">
        <f t="shared" si="9"/>
        <v>580515</v>
      </c>
      <c r="I43" s="39">
        <f t="shared" si="9"/>
        <v>3103600.94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-156215</v>
      </c>
      <c r="E49" s="66">
        <f>'EAST-CON-FLSH'!M49</f>
        <v>-410689.23499999999</v>
      </c>
      <c r="F49" s="60">
        <f>'EAST-CON-GL '!D49</f>
        <v>579443</v>
      </c>
      <c r="G49" s="38">
        <f>'EAST-CON-GL '!E49</f>
        <v>1523355.6450000005</v>
      </c>
      <c r="H49" s="60">
        <f>F49-D49</f>
        <v>735658</v>
      </c>
      <c r="I49" s="38">
        <f>G49-E49</f>
        <v>1934044.8800000004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-561927</v>
      </c>
      <c r="E51" s="66">
        <f>'EAST-CON-FLSH'!M51</f>
        <v>-1566495</v>
      </c>
      <c r="F51" s="60">
        <f>'EAST-CON-GL '!D51</f>
        <v>-588078</v>
      </c>
      <c r="G51" s="38">
        <f>'EAST-CON-GL '!E51</f>
        <v>-1546057.0640000007</v>
      </c>
      <c r="H51" s="60">
        <f>F51-D51</f>
        <v>-26151</v>
      </c>
      <c r="I51" s="38">
        <f>G51-E51</f>
        <v>20437.935999999288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-2196592</v>
      </c>
      <c r="F54" s="60">
        <f>'EAST-CON-GL '!D54</f>
        <v>-152830718</v>
      </c>
      <c r="G54" s="38">
        <f>'EAST-CON-GL '!E54</f>
        <v>-1972415.63</v>
      </c>
      <c r="H54" s="60">
        <f>F54-D54</f>
        <v>-152830718</v>
      </c>
      <c r="I54" s="38">
        <f>G54-E54</f>
        <v>224176.37000000011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-2391849</v>
      </c>
      <c r="F55" s="60">
        <f>'EAST-CON-GL '!D55</f>
        <v>0</v>
      </c>
      <c r="G55" s="38">
        <f>'EAST-CON-GL '!E55</f>
        <v>-8048099.0199999996</v>
      </c>
      <c r="H55" s="60">
        <f>F55-D55</f>
        <v>0</v>
      </c>
      <c r="I55" s="38">
        <f>G55-E55</f>
        <v>-5656250.0199999996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-4588441</v>
      </c>
      <c r="F56" s="61">
        <f t="shared" si="10"/>
        <v>-152830718</v>
      </c>
      <c r="G56" s="39">
        <f t="shared" si="10"/>
        <v>-10020514.649999999</v>
      </c>
      <c r="H56" s="61">
        <f t="shared" si="10"/>
        <v>-152830718</v>
      </c>
      <c r="I56" s="39">
        <f t="shared" si="10"/>
        <v>-5432073.6499999994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65509.369999999995</v>
      </c>
      <c r="H59" s="60">
        <f>F59-D59</f>
        <v>0</v>
      </c>
      <c r="I59" s="38">
        <f>G59-E59</f>
        <v>65509.369999999995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65509.369999999995</v>
      </c>
      <c r="H61" s="69">
        <f t="shared" si="11"/>
        <v>0</v>
      </c>
      <c r="I61" s="70">
        <f t="shared" si="11"/>
        <v>65509.369999999995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1165617.6111000003</v>
      </c>
      <c r="F70" s="60">
        <f>'EAST-CON-GL '!D70</f>
        <v>0</v>
      </c>
      <c r="G70" s="38">
        <f>'EAST-CON-GL '!E70</f>
        <v>1165617.6100000001</v>
      </c>
      <c r="H70" s="60">
        <f>F70-D70</f>
        <v>0</v>
      </c>
      <c r="I70" s="38">
        <f>G70-E70</f>
        <v>-1.1000002268701792E-3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-563222</v>
      </c>
      <c r="F71" s="60">
        <f>'EAST-CON-GL '!D71</f>
        <v>0</v>
      </c>
      <c r="G71" s="38">
        <f>'EAST-CON-GL '!E71</f>
        <v>-563222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602395.61110000033</v>
      </c>
      <c r="F72" s="69">
        <f t="shared" si="13"/>
        <v>0</v>
      </c>
      <c r="G72" s="70">
        <f t="shared" si="13"/>
        <v>602395.6100000001</v>
      </c>
      <c r="H72" s="69">
        <f t="shared" si="13"/>
        <v>0</v>
      </c>
      <c r="I72" s="70">
        <f t="shared" si="13"/>
        <v>-1.1000002268701792E-3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702407</v>
      </c>
      <c r="F74" s="60">
        <f>'EAST-CON-GL '!D74</f>
        <v>0</v>
      </c>
      <c r="G74" s="38">
        <f>'EAST-CON-GL '!E74</f>
        <v>-1886252.9100000001</v>
      </c>
      <c r="H74" s="60">
        <f t="shared" ref="H74:I79" si="14">F74-D74</f>
        <v>0</v>
      </c>
      <c r="I74" s="38">
        <f t="shared" si="14"/>
        <v>-2588659.91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-34406</v>
      </c>
      <c r="F75" s="60">
        <f>'EAST-CON-GL '!D75</f>
        <v>0</v>
      </c>
      <c r="G75" s="38">
        <f>'EAST-CON-GL '!E75</f>
        <v>-34400</v>
      </c>
      <c r="H75" s="60">
        <f t="shared" si="14"/>
        <v>0</v>
      </c>
      <c r="I75" s="38">
        <f t="shared" si="14"/>
        <v>6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-5809</v>
      </c>
      <c r="F76" s="60">
        <f>'EAST-CON-GL '!D76</f>
        <v>0</v>
      </c>
      <c r="G76" s="38">
        <f>'EAST-CON-GL '!E76</f>
        <v>22636.920000000013</v>
      </c>
      <c r="H76" s="60">
        <f t="shared" si="14"/>
        <v>0</v>
      </c>
      <c r="I76" s="38">
        <f t="shared" si="14"/>
        <v>28445.920000000013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20000.5</v>
      </c>
      <c r="F77" s="60">
        <f>'EAST-CON-GL '!D77</f>
        <v>0</v>
      </c>
      <c r="G77" s="38">
        <f>'EAST-CON-GL '!E77</f>
        <v>-105000</v>
      </c>
      <c r="H77" s="60">
        <f t="shared" si="14"/>
        <v>0</v>
      </c>
      <c r="I77" s="38">
        <f t="shared" si="14"/>
        <v>-125000.5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-202500</v>
      </c>
      <c r="F80" s="60">
        <f>'EAST-CON-GL '!D80</f>
        <v>0</v>
      </c>
      <c r="G80" s="38">
        <f>'EAST-CON-GL '!E80</f>
        <v>-202500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-72206</v>
      </c>
      <c r="F81" s="60">
        <f>'EAST-CON-GL '!D81</f>
        <v>0</v>
      </c>
      <c r="G81" s="38">
        <f>'EAST-CON-GL '!E81</f>
        <v>2449330.04</v>
      </c>
      <c r="H81" s="60">
        <f>F81-D81</f>
        <v>0</v>
      </c>
      <c r="I81" s="38">
        <f>G81-E81</f>
        <v>2521536.04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22968</v>
      </c>
      <c r="E82" s="110">
        <f>SUM(E72:E81)+E16+E24+E29+E36+E43+E45+E47+E49+E51+E56+E61+E66</f>
        <v>-1996625.3689000462</v>
      </c>
      <c r="F82" s="109">
        <f>F16+F24+F29+F36+F43+F45+F47+F49</f>
        <v>0</v>
      </c>
      <c r="G82" s="110">
        <f>SUM(G72:G81)+G16+G24+G29+G36+G43+G45+G47+G49+G51+G56+G61+G66</f>
        <v>-56317.745000037481</v>
      </c>
      <c r="H82" s="109">
        <f>H16+H24+H29+H36+H43+H45+H47+H49</f>
        <v>-22968</v>
      </c>
      <c r="I82" s="110">
        <f>SUM(I72:I81)+I16+I24+I29+I36+I43+I45+I47+I49+I51+I56+I61+I66</f>
        <v>1940307.6239000037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'EAST-CON-FLSH'!L86</f>
        <v>0</v>
      </c>
      <c r="E86" s="145">
        <f>'EAST-CON-FLSH'!M86</f>
        <v>65612</v>
      </c>
      <c r="F86" s="145">
        <f>'EAST-CON-GL '!D86</f>
        <v>0</v>
      </c>
      <c r="G86" s="145">
        <f>'EAST-CON-GL '!E86</f>
        <v>65999.69</v>
      </c>
      <c r="H86" s="145">
        <f t="shared" ref="H86:I88" si="15">F86-D86</f>
        <v>0</v>
      </c>
      <c r="I86" s="145">
        <f t="shared" si="15"/>
        <v>387.69000000000233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65612</v>
      </c>
      <c r="F89" s="155">
        <f t="shared" si="16"/>
        <v>0</v>
      </c>
      <c r="G89" s="155">
        <f t="shared" si="16"/>
        <v>65999.69</v>
      </c>
      <c r="H89" s="155">
        <f t="shared" si="16"/>
        <v>0</v>
      </c>
      <c r="I89" s="155">
        <f t="shared" si="16"/>
        <v>387.69000000000233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22968</v>
      </c>
      <c r="E91" s="160">
        <f t="shared" si="17"/>
        <v>-1931013.3689000462</v>
      </c>
      <c r="F91" s="160">
        <f t="shared" si="17"/>
        <v>0</v>
      </c>
      <c r="G91" s="160">
        <f t="shared" si="17"/>
        <v>9681.9449999625213</v>
      </c>
      <c r="H91" s="160">
        <f t="shared" si="17"/>
        <v>-22968</v>
      </c>
      <c r="I91" s="160">
        <f t="shared" si="17"/>
        <v>1940695.3139000037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-1931013.3689000462</v>
      </c>
      <c r="G94" s="14">
        <f>+'EAST-EGM-VAR'!G91+'EAST-LRC-VAR'!G82</f>
        <v>9681.9449997955817</v>
      </c>
      <c r="I94" s="14">
        <f>+'EAST-EGM-VAR'!I91+'EAST-LRC-VAR'!I82</f>
        <v>1940695.3138999559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25" activePane="bottomRight" state="frozen"/>
      <selection activeCell="D10" sqref="D10"/>
      <selection pane="topRight" activeCell="D10" sqref="D10"/>
      <selection pane="bottomLeft" activeCell="D10" sqref="D10"/>
      <selection pane="bottomRight" activeCell="D25" sqref="D25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14334003</v>
      </c>
      <c r="E11" s="66">
        <f>'TX-EGM-FLSH'!M11</f>
        <v>37623502.069999993</v>
      </c>
      <c r="F11" s="60">
        <f>'TX-EGM-GL'!D11</f>
        <v>13920745</v>
      </c>
      <c r="G11" s="38">
        <f>'TX-EGM-GL'!E11</f>
        <v>37894908.189999998</v>
      </c>
      <c r="H11" s="60">
        <f>F11-D11</f>
        <v>-413258</v>
      </c>
      <c r="I11" s="38">
        <f>G11-E11</f>
        <v>271406.12000000477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-3186873.06</v>
      </c>
      <c r="H12" s="60">
        <f>F12-D12</f>
        <v>0</v>
      </c>
      <c r="I12" s="38">
        <f>G12-E12</f>
        <v>-3186873.06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231232</v>
      </c>
      <c r="E13" s="66">
        <f>'TX-EGM-FLSH'!M13</f>
        <v>623375.39</v>
      </c>
      <c r="F13" s="60">
        <f>'TX-EGM-GL'!D13</f>
        <v>15365272</v>
      </c>
      <c r="G13" s="38">
        <f>'TX-EGM-GL'!E13</f>
        <v>42696439</v>
      </c>
      <c r="H13" s="60">
        <f t="shared" ref="H13:I15" si="0">F13-D13</f>
        <v>15134040</v>
      </c>
      <c r="I13" s="38">
        <f t="shared" si="0"/>
        <v>42073063.609999999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1876275</v>
      </c>
      <c r="H15" s="60">
        <f t="shared" si="0"/>
        <v>0</v>
      </c>
      <c r="I15" s="38">
        <f t="shared" si="0"/>
        <v>1756275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14565235</v>
      </c>
      <c r="E16" s="39">
        <f t="shared" si="1"/>
        <v>38366877.459999993</v>
      </c>
      <c r="F16" s="61">
        <f t="shared" si="1"/>
        <v>29286017</v>
      </c>
      <c r="G16" s="39">
        <f t="shared" si="1"/>
        <v>79280749.129999995</v>
      </c>
      <c r="H16" s="61">
        <f t="shared" si="1"/>
        <v>14720782</v>
      </c>
      <c r="I16" s="39">
        <f t="shared" si="1"/>
        <v>40913871.670000002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-4774355</v>
      </c>
      <c r="E19" s="66">
        <f>'TX-EGM-FLSH'!M19</f>
        <v>-12227599.229999989</v>
      </c>
      <c r="F19" s="60">
        <f>'TX-EGM-GL'!D19</f>
        <v>-4732344</v>
      </c>
      <c r="G19" s="38">
        <f>'TX-EGM-GL'!E19</f>
        <v>-12077345.52</v>
      </c>
      <c r="H19" s="60">
        <f>F19-D19</f>
        <v>42011</v>
      </c>
      <c r="I19" s="38">
        <f>G19-E19</f>
        <v>150253.70999998972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1741459.37</v>
      </c>
      <c r="H20" s="60">
        <f>F20-D20</f>
        <v>0</v>
      </c>
      <c r="I20" s="38">
        <f>G20-E20</f>
        <v>1741459.37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-19000</v>
      </c>
      <c r="E21" s="66">
        <f>'TX-EGM-FLSH'!M21</f>
        <v>-50650</v>
      </c>
      <c r="F21" s="60">
        <f>'TX-EGM-GL'!D21</f>
        <v>-15476079</v>
      </c>
      <c r="G21" s="38">
        <f>'TX-EGM-GL'!E21</f>
        <v>-43042838</v>
      </c>
      <c r="H21" s="60">
        <f t="shared" ref="H21:I23" si="2">F21-D21</f>
        <v>-15457079</v>
      </c>
      <c r="I21" s="38">
        <f t="shared" si="2"/>
        <v>-42992188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15686</v>
      </c>
      <c r="E23" s="66">
        <f>'TX-EGM-FLSH'!M23</f>
        <v>42585.120000000003</v>
      </c>
      <c r="F23" s="60">
        <f>'TX-EGM-GL'!D23</f>
        <v>19392</v>
      </c>
      <c r="G23" s="38">
        <f>'TX-EGM-GL'!E23</f>
        <v>49255.679999999993</v>
      </c>
      <c r="H23" s="60">
        <f t="shared" si="2"/>
        <v>3706</v>
      </c>
      <c r="I23" s="38">
        <f t="shared" si="2"/>
        <v>6670.5599999999904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-4777669</v>
      </c>
      <c r="E24" s="39">
        <f t="shared" si="3"/>
        <v>-12235664.10999999</v>
      </c>
      <c r="F24" s="61">
        <f t="shared" si="3"/>
        <v>-20189031</v>
      </c>
      <c r="G24" s="39">
        <f t="shared" si="3"/>
        <v>-53329468.469999999</v>
      </c>
      <c r="H24" s="61">
        <f t="shared" si="3"/>
        <v>-15411362</v>
      </c>
      <c r="I24" s="39">
        <f t="shared" si="3"/>
        <v>-41093804.360000007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24311564</v>
      </c>
      <c r="E27" s="66">
        <f>'TX-EGM-FLSH'!M27</f>
        <v>67805876.079999998</v>
      </c>
      <c r="F27" s="60">
        <f>'TX-EGM-GL'!D27</f>
        <v>9809049</v>
      </c>
      <c r="G27" s="38">
        <f>'TX-EGM-GL'!E27</f>
        <v>27506921.890000001</v>
      </c>
      <c r="H27" s="60">
        <f>F27-D27</f>
        <v>-14502515</v>
      </c>
      <c r="I27" s="38">
        <f>G27-E27</f>
        <v>-40298954.189999998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-25280680</v>
      </c>
      <c r="E28" s="66">
        <f>'TX-EGM-FLSH'!M28</f>
        <v>-70510817.640000001</v>
      </c>
      <c r="F28" s="60">
        <f>'TX-EGM-GL'!D28</f>
        <v>-19154506</v>
      </c>
      <c r="G28" s="38">
        <f>'TX-EGM-GL'!E28</f>
        <v>-53684445.440000005</v>
      </c>
      <c r="H28" s="60">
        <f>F28-D28</f>
        <v>6126174</v>
      </c>
      <c r="I28" s="38">
        <f>G28-E28</f>
        <v>16826372.199999996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-969116</v>
      </c>
      <c r="E29" s="70">
        <f t="shared" si="4"/>
        <v>-2704941.5600000024</v>
      </c>
      <c r="F29" s="69">
        <f t="shared" si="4"/>
        <v>-9345457</v>
      </c>
      <c r="G29" s="70">
        <f t="shared" si="4"/>
        <v>-26177523.550000004</v>
      </c>
      <c r="H29" s="69">
        <f t="shared" si="4"/>
        <v>-8376341</v>
      </c>
      <c r="I29" s="70">
        <f t="shared" si="4"/>
        <v>-23472581.990000002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-3654</v>
      </c>
      <c r="G32" s="38">
        <f>'TX-EGM-GL'!E32</f>
        <v>-9281.1599999999071</v>
      </c>
      <c r="H32" s="60">
        <f>F32-D32</f>
        <v>-3654</v>
      </c>
      <c r="I32" s="38">
        <f>G32-E32</f>
        <v>-9281.1599999999071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-3654</v>
      </c>
      <c r="G36" s="39">
        <f t="shared" si="6"/>
        <v>-9281.1599999999071</v>
      </c>
      <c r="H36" s="61">
        <f t="shared" si="6"/>
        <v>-3654</v>
      </c>
      <c r="I36" s="39">
        <f t="shared" si="6"/>
        <v>-9281.1599999999071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171553</v>
      </c>
      <c r="G39" s="38">
        <f>'TX-EGM-GL'!E39</f>
        <v>435744.62</v>
      </c>
      <c r="H39" s="60">
        <f t="shared" ref="H39:I41" si="7">F39-D39</f>
        <v>171553</v>
      </c>
      <c r="I39" s="38">
        <f t="shared" si="7"/>
        <v>435744.62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-231232</v>
      </c>
      <c r="E40" s="66">
        <f>'TX-EGM-FLSH'!M40</f>
        <v>-623375.44999999995</v>
      </c>
      <c r="F40" s="60">
        <f>'TX-EGM-GL'!D40</f>
        <v>-231242</v>
      </c>
      <c r="G40" s="38">
        <f>'TX-EGM-GL'!E40</f>
        <v>-546846.22</v>
      </c>
      <c r="H40" s="60">
        <f t="shared" si="7"/>
        <v>-10</v>
      </c>
      <c r="I40" s="38">
        <f t="shared" si="7"/>
        <v>76529.229999999981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-231232</v>
      </c>
      <c r="E42" s="70">
        <f t="shared" si="8"/>
        <v>-623375.44999999995</v>
      </c>
      <c r="F42" s="69">
        <f t="shared" si="8"/>
        <v>-231242</v>
      </c>
      <c r="G42" s="70">
        <f t="shared" si="8"/>
        <v>-546846.22</v>
      </c>
      <c r="H42" s="69">
        <f t="shared" si="8"/>
        <v>-10</v>
      </c>
      <c r="I42" s="70">
        <f t="shared" si="8"/>
        <v>76529.229999999981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-231232</v>
      </c>
      <c r="E43" s="39">
        <f t="shared" si="9"/>
        <v>-623375.44999999995</v>
      </c>
      <c r="F43" s="61">
        <f t="shared" si="9"/>
        <v>-59689</v>
      </c>
      <c r="G43" s="39">
        <f t="shared" si="9"/>
        <v>-111101.59999999998</v>
      </c>
      <c r="H43" s="61">
        <f t="shared" si="9"/>
        <v>171543</v>
      </c>
      <c r="I43" s="39">
        <f t="shared" si="9"/>
        <v>512273.85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-8587218</v>
      </c>
      <c r="E49" s="66">
        <f>'TX-EGM-FLSH'!M49</f>
        <v>-21814188.702608138</v>
      </c>
      <c r="F49" s="60">
        <f>'TX-EGM-GL'!D49</f>
        <v>311814</v>
      </c>
      <c r="G49" s="38">
        <f>'TX-EGM-GL'!E49</f>
        <v>792007.55999999994</v>
      </c>
      <c r="H49" s="60">
        <f>F49-D49</f>
        <v>8899032</v>
      </c>
      <c r="I49" s="38">
        <f>G49-E49</f>
        <v>22606196.262608137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-15686</v>
      </c>
      <c r="E51" s="66">
        <f>'TX-EGM-FLSH'!M51</f>
        <v>0</v>
      </c>
      <c r="F51" s="60">
        <f>'TX-EGM-GL'!D51</f>
        <v>-19392</v>
      </c>
      <c r="G51" s="38">
        <f>'TX-EGM-GL'!E51</f>
        <v>-49255.679999999993</v>
      </c>
      <c r="H51" s="60">
        <f>F51-D51</f>
        <v>-3706</v>
      </c>
      <c r="I51" s="38">
        <f>G51-E51</f>
        <v>-49255.679999999993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-551397</v>
      </c>
      <c r="F54" s="60">
        <f>'TX-EGM-GL'!D54</f>
        <v>-18627783</v>
      </c>
      <c r="G54" s="38">
        <f>'TX-EGM-GL'!E54</f>
        <v>-341614.25</v>
      </c>
      <c r="H54" s="60">
        <f>F54-D54</f>
        <v>-18627783</v>
      </c>
      <c r="I54" s="38">
        <f>G54-E54</f>
        <v>209782.75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-662</v>
      </c>
      <c r="G55" s="38">
        <f>'TX-EGM-GL'!E55</f>
        <v>-174310.09</v>
      </c>
      <c r="H55" s="60">
        <f>F55-D55</f>
        <v>-662</v>
      </c>
      <c r="I55" s="38">
        <f>G55-E55</f>
        <v>-174310.09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-551397</v>
      </c>
      <c r="F56" s="61">
        <f t="shared" si="10"/>
        <v>-18628445</v>
      </c>
      <c r="G56" s="39">
        <f t="shared" si="10"/>
        <v>-515924.33999999997</v>
      </c>
      <c r="H56" s="61">
        <f t="shared" si="10"/>
        <v>-18628445</v>
      </c>
      <c r="I56" s="39">
        <f t="shared" si="10"/>
        <v>35472.660000000003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-547.69000000000005</v>
      </c>
      <c r="H64" s="60">
        <f>F64-D64</f>
        <v>0</v>
      </c>
      <c r="I64" s="38">
        <f>G64-E64</f>
        <v>-547.69000000000005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-547.69000000000005</v>
      </c>
      <c r="H66" s="61">
        <f t="shared" si="12"/>
        <v>0</v>
      </c>
      <c r="I66" s="39">
        <f t="shared" si="12"/>
        <v>-547.69000000000005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-8691498.1899999995</v>
      </c>
      <c r="F70" s="60">
        <f>'TX-EGM-GL'!D70</f>
        <v>0</v>
      </c>
      <c r="G70" s="38">
        <f>'TX-EGM-GL'!E70</f>
        <v>-8691498.1899999995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7489615</v>
      </c>
      <c r="F71" s="60">
        <f>'TX-EGM-GL'!D71</f>
        <v>0</v>
      </c>
      <c r="G71" s="38">
        <f>'TX-EGM-GL'!E71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1296213.95</v>
      </c>
      <c r="F74" s="60">
        <f>'TX-EGM-GL'!D74</f>
        <v>0</v>
      </c>
      <c r="G74" s="38">
        <f>'TX-EGM-GL'!E74</f>
        <v>-63468.65</v>
      </c>
      <c r="H74" s="60">
        <f t="shared" ref="H74:I79" si="14">F74-D74</f>
        <v>0</v>
      </c>
      <c r="I74" s="38">
        <f t="shared" si="14"/>
        <v>-1359682.5999999999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2584</v>
      </c>
      <c r="F75" s="60">
        <f>'TX-EGM-GL'!D75</f>
        <v>0</v>
      </c>
      <c r="G75" s="38">
        <f>'TX-EGM-GL'!E75</f>
        <v>2600</v>
      </c>
      <c r="H75" s="60">
        <f t="shared" si="14"/>
        <v>0</v>
      </c>
      <c r="I75" s="38">
        <f t="shared" si="14"/>
        <v>16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-1075</v>
      </c>
      <c r="F76" s="60">
        <f>'TX-EGM-GL'!D76</f>
        <v>0</v>
      </c>
      <c r="G76" s="38">
        <f>'TX-EGM-GL'!E76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102711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-102711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635861.39739185944</v>
      </c>
      <c r="F82" s="109">
        <f>F16+F24+F29+F36+F43+F45+F47+F49</f>
        <v>0</v>
      </c>
      <c r="G82" s="110">
        <f>SUM(G72:G81)+G16+G24+G29+G36+G43+G45+G47+G49+G51+G56+G61+G66</f>
        <v>-1385824.0300000119</v>
      </c>
      <c r="H82" s="109">
        <f>H16+H24+H29+H36+H43+H45+H47+H49</f>
        <v>0</v>
      </c>
      <c r="I82" s="110">
        <f>SUM(I72:I81)+I16+I24+I29+I36+I43+I45+I47+I49+I51+I56+I61+I66</f>
        <v>-2021685.4273918709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'TX-EGM-FLSH'!L86</f>
        <v>0</v>
      </c>
      <c r="E86" s="145">
        <f>'TX-EGM-FLSH'!M86</f>
        <v>-166392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166392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-166392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166392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469469.39739185944</v>
      </c>
      <c r="F91" s="160">
        <f t="shared" si="17"/>
        <v>0</v>
      </c>
      <c r="G91" s="160">
        <f t="shared" si="17"/>
        <v>-1385824.0300000119</v>
      </c>
      <c r="H91" s="160">
        <f t="shared" si="17"/>
        <v>0</v>
      </c>
      <c r="I91" s="160">
        <f t="shared" si="17"/>
        <v>-1855293.4273918709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27" activePane="bottomRight" state="frozen"/>
      <selection activeCell="D10" sqref="D10"/>
      <selection pane="topRight" activeCell="D10" sqref="D10"/>
      <selection pane="bottomLeft" activeCell="D10" sqref="D10"/>
      <selection pane="bottomRight" activeCell="D27" sqref="D2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134382</v>
      </c>
      <c r="E11" s="66">
        <f>'TX-HPLR-FLSH'!M11</f>
        <v>349320.93000000715</v>
      </c>
      <c r="F11" s="60">
        <f>'TX-HPLR-GL '!D11</f>
        <v>135076</v>
      </c>
      <c r="G11" s="38">
        <f>'TX-HPLR-GL '!E11</f>
        <v>354034.19999999995</v>
      </c>
      <c r="H11" s="60">
        <f>F11-D11</f>
        <v>694</v>
      </c>
      <c r="I11" s="38">
        <f>G11-E11</f>
        <v>4713.2699999928009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-2901.6</v>
      </c>
      <c r="H12" s="60">
        <f>F12-D12</f>
        <v>0</v>
      </c>
      <c r="I12" s="38">
        <f>G12-E12</f>
        <v>-2901.6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0.60999999986961484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-0.60999999986961484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134382</v>
      </c>
      <c r="E16" s="39">
        <f t="shared" si="1"/>
        <v>349321.54000000702</v>
      </c>
      <c r="F16" s="61">
        <f t="shared" si="1"/>
        <v>135076</v>
      </c>
      <c r="G16" s="39">
        <f t="shared" si="1"/>
        <v>351132.6</v>
      </c>
      <c r="H16" s="61">
        <f t="shared" si="1"/>
        <v>694</v>
      </c>
      <c r="I16" s="39">
        <f t="shared" si="1"/>
        <v>1811.0599999929314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-10.770000010728836</v>
      </c>
      <c r="F19" s="60">
        <f>'TX-HPLR-GL '!D19</f>
        <v>0</v>
      </c>
      <c r="G19" s="38">
        <f>'TX-HPLR-GL '!E19</f>
        <v>740.04</v>
      </c>
      <c r="H19" s="60">
        <f>F19-D19</f>
        <v>0</v>
      </c>
      <c r="I19" s="38">
        <f>G19-E19</f>
        <v>750.8100000107288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4.8799999999973807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-4.8799999999973807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-5.8900000107314554</v>
      </c>
      <c r="F24" s="61">
        <f t="shared" si="3"/>
        <v>0</v>
      </c>
      <c r="G24" s="39">
        <f t="shared" si="3"/>
        <v>740.04</v>
      </c>
      <c r="H24" s="61">
        <f t="shared" si="3"/>
        <v>0</v>
      </c>
      <c r="I24" s="39">
        <f t="shared" si="3"/>
        <v>745.93000001073142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8.9200000166893005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-8.9200000166893005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-134382</v>
      </c>
      <c r="E28" s="66">
        <f>'TX-HPLR-FLSH'!M28</f>
        <v>-349396.36000001431</v>
      </c>
      <c r="F28" s="60">
        <f>'TX-HPLR-GL '!D28</f>
        <v>-135076</v>
      </c>
      <c r="G28" s="38">
        <f>'TX-HPLR-GL '!E28</f>
        <v>-351197.60000000003</v>
      </c>
      <c r="H28" s="60">
        <f>F28-D28</f>
        <v>-694</v>
      </c>
      <c r="I28" s="38">
        <f>G28-E28</f>
        <v>-1801.2399999857298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-134382</v>
      </c>
      <c r="E29" s="70">
        <f t="shared" si="4"/>
        <v>-349387.43999999762</v>
      </c>
      <c r="F29" s="69">
        <f t="shared" si="4"/>
        <v>-135076</v>
      </c>
      <c r="G29" s="70">
        <f t="shared" si="4"/>
        <v>-351197.60000000003</v>
      </c>
      <c r="H29" s="69">
        <f t="shared" si="4"/>
        <v>-694</v>
      </c>
      <c r="I29" s="70">
        <f t="shared" si="4"/>
        <v>-1810.1600000024191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0.44999999995343387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-0.44999999995343387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0.44999999995343387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-0.44999999995343387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0.44999999995343387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-0.44999999995343387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-0.40000000000145519</v>
      </c>
      <c r="H47" s="60">
        <f>F47-D47</f>
        <v>0</v>
      </c>
      <c r="I47" s="38">
        <f>G47-E47</f>
        <v>-0.40000000000145519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15686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-15686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-71.340000001364388</v>
      </c>
      <c r="F82" s="109">
        <f>F16+F24+F29+F36+F43+F45+F47+F49</f>
        <v>0</v>
      </c>
      <c r="G82" s="110">
        <f>SUM(G72:G81)+G16+G24+G29+G36+G43+G45+G47+G49+G51+G56+G61+G66</f>
        <v>674.63999999991938</v>
      </c>
      <c r="H82" s="109">
        <f>H16+H24+H29+H36+H43+H45+H47+H49</f>
        <v>0</v>
      </c>
      <c r="I82" s="110">
        <f>SUM(I72:I81)+I16+I24+I29+I36+I43+I45+I47+I49+I51+I56+I61+I66</f>
        <v>745.98000000128877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I28" sqref="I28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43609622</v>
      </c>
      <c r="E11" s="66">
        <f>'TX-HPLC-FLSH'!M11</f>
        <v>111242090</v>
      </c>
      <c r="F11" s="60">
        <f>'TX-HPLC-GL'!D11</f>
        <v>44202800</v>
      </c>
      <c r="G11" s="38">
        <f>'TX-HPLC-GL'!E11</f>
        <v>117617632.50999999</v>
      </c>
      <c r="H11" s="60">
        <f>F11-D11</f>
        <v>593178</v>
      </c>
      <c r="I11" s="38">
        <f>G11-E11</f>
        <v>6375542.5099999905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-284230.28000000003</v>
      </c>
      <c r="H12" s="60">
        <f>F12-D12</f>
        <v>0</v>
      </c>
      <c r="I12" s="38">
        <f>G12-E12</f>
        <v>-284230.28000000003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553423</v>
      </c>
      <c r="E13" s="66">
        <f>'TX-HPLC-FLSH'!M13</f>
        <v>1469905</v>
      </c>
      <c r="F13" s="60">
        <f>'TX-HPLC-GL'!D13</f>
        <v>0</v>
      </c>
      <c r="G13" s="38">
        <f>'TX-HPLC-GL'!E13</f>
        <v>0</v>
      </c>
      <c r="H13" s="60">
        <f t="shared" ref="H13:I15" si="0">F13-D13</f>
        <v>-553423</v>
      </c>
      <c r="I13" s="38">
        <f t="shared" si="0"/>
        <v>-1469905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-2695810</v>
      </c>
      <c r="H15" s="60">
        <f t="shared" si="0"/>
        <v>0</v>
      </c>
      <c r="I15" s="38">
        <f t="shared" si="0"/>
        <v>-2695810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44163045</v>
      </c>
      <c r="E16" s="39">
        <f t="shared" si="1"/>
        <v>112711995</v>
      </c>
      <c r="F16" s="61">
        <f t="shared" si="1"/>
        <v>44202800</v>
      </c>
      <c r="G16" s="39">
        <f t="shared" si="1"/>
        <v>114637592.22999999</v>
      </c>
      <c r="H16" s="61">
        <f t="shared" si="1"/>
        <v>39755</v>
      </c>
      <c r="I16" s="39">
        <f t="shared" si="1"/>
        <v>1925597.2299999902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-61703776</v>
      </c>
      <c r="E19" s="66">
        <f>'TX-HPLC-FLSH'!M19</f>
        <v>-155304261</v>
      </c>
      <c r="F19" s="60">
        <f>'TX-HPLC-GL'!D19</f>
        <v>-61090809</v>
      </c>
      <c r="G19" s="38">
        <f>'TX-HPLC-GL'!E19</f>
        <v>-156174802.75999999</v>
      </c>
      <c r="H19" s="60">
        <f>F19-D19</f>
        <v>612967</v>
      </c>
      <c r="I19" s="38">
        <f>G19-E19</f>
        <v>-870541.75999999046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-870424.69</v>
      </c>
      <c r="H20" s="60">
        <f>F20-D20</f>
        <v>0</v>
      </c>
      <c r="I20" s="38">
        <f>G20-E20</f>
        <v>-870424.69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-2604000</v>
      </c>
      <c r="E21" s="66">
        <f>'TX-HPLC-FLSH'!M21</f>
        <v>-7068986</v>
      </c>
      <c r="F21" s="60">
        <f>'TX-HPLC-GL'!D21</f>
        <v>0</v>
      </c>
      <c r="G21" s="38">
        <f>'TX-HPLC-GL'!E21</f>
        <v>0</v>
      </c>
      <c r="H21" s="60">
        <f t="shared" ref="H21:I23" si="2">F21-D21</f>
        <v>2604000</v>
      </c>
      <c r="I21" s="38">
        <f t="shared" si="2"/>
        <v>7068986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3607</v>
      </c>
      <c r="E23" s="66">
        <f>'TX-HPLC-FLSH'!M23</f>
        <v>9896</v>
      </c>
      <c r="F23" s="60">
        <f>'TX-HPLC-GL'!D23</f>
        <v>0</v>
      </c>
      <c r="G23" s="38">
        <f>'TX-HPLC-GL'!E23</f>
        <v>0</v>
      </c>
      <c r="H23" s="60">
        <f t="shared" si="2"/>
        <v>-3607</v>
      </c>
      <c r="I23" s="38">
        <f t="shared" si="2"/>
        <v>-9896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-64304169</v>
      </c>
      <c r="E24" s="39">
        <f t="shared" si="3"/>
        <v>-162363351</v>
      </c>
      <c r="F24" s="61">
        <f t="shared" si="3"/>
        <v>-61090809</v>
      </c>
      <c r="G24" s="39">
        <f t="shared" si="3"/>
        <v>-157045227.44999999</v>
      </c>
      <c r="H24" s="61">
        <f t="shared" si="3"/>
        <v>3213360</v>
      </c>
      <c r="I24" s="39">
        <f t="shared" si="3"/>
        <v>5318123.5500000101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86031792</v>
      </c>
      <c r="E27" s="66">
        <f>'TX-HPLC-FLSH'!M27</f>
        <v>234504731</v>
      </c>
      <c r="F27" s="60">
        <f>'TX-HPLC-GL'!D27</f>
        <v>19841564</v>
      </c>
      <c r="G27" s="38">
        <f>'TX-HPLC-GL'!E27</f>
        <v>55503284.359999999</v>
      </c>
      <c r="H27" s="60">
        <f>F27-D27</f>
        <v>-66190228</v>
      </c>
      <c r="I27" s="38">
        <f>G27-E27</f>
        <v>-179001446.63999999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-84236884</v>
      </c>
      <c r="E28" s="66">
        <f>'TX-HPLC-FLSH'!M28</f>
        <v>-229653994</v>
      </c>
      <c r="F28" s="60">
        <f>'TX-HPLC-GL'!D28</f>
        <v>-12414868</v>
      </c>
      <c r="G28" s="38">
        <f>'TX-HPLC-GL'!E28</f>
        <v>-34580961.759999998</v>
      </c>
      <c r="H28" s="60">
        <f>F28-D28</f>
        <v>71822016</v>
      </c>
      <c r="I28" s="38">
        <f>G28-E28</f>
        <v>195073032.24000001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1794908</v>
      </c>
      <c r="E29" s="70">
        <f t="shared" si="4"/>
        <v>4850737</v>
      </c>
      <c r="F29" s="69">
        <f t="shared" si="4"/>
        <v>7426696</v>
      </c>
      <c r="G29" s="70">
        <f t="shared" si="4"/>
        <v>20922322.600000001</v>
      </c>
      <c r="H29" s="69">
        <f t="shared" si="4"/>
        <v>5631788</v>
      </c>
      <c r="I29" s="70">
        <f t="shared" si="4"/>
        <v>16071585.600000024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-249474</v>
      </c>
      <c r="G32" s="38">
        <f>'TX-HPLC-GL'!E32</f>
        <v>-633664.24</v>
      </c>
      <c r="H32" s="60">
        <f>F32-D32</f>
        <v>-249474</v>
      </c>
      <c r="I32" s="38">
        <f>G32-E32</f>
        <v>-633664.24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127457</v>
      </c>
      <c r="G34" s="38">
        <f>'TX-HPLC-GL'!E34</f>
        <v>323740.78000000003</v>
      </c>
      <c r="H34" s="60">
        <f t="shared" si="5"/>
        <v>127457</v>
      </c>
      <c r="I34" s="38">
        <f t="shared" si="5"/>
        <v>323740.78000000003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-122017</v>
      </c>
      <c r="G36" s="39">
        <f t="shared" si="6"/>
        <v>-309923.45999999996</v>
      </c>
      <c r="H36" s="61">
        <f t="shared" si="6"/>
        <v>-122017</v>
      </c>
      <c r="I36" s="39">
        <f t="shared" si="6"/>
        <v>-309923.45999999996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9915589</v>
      </c>
      <c r="E39" s="66">
        <f>'TX-HPLC-FLSH'!M39</f>
        <v>26282287</v>
      </c>
      <c r="F39" s="60">
        <f>'TX-HPLC-GL'!D39</f>
        <v>9497858</v>
      </c>
      <c r="G39" s="38">
        <f>'TX-HPLC-GL'!E39</f>
        <v>25005960.899999999</v>
      </c>
      <c r="H39" s="60">
        <f t="shared" ref="H39:I41" si="7">F39-D39</f>
        <v>-417731</v>
      </c>
      <c r="I39" s="38">
        <f t="shared" si="7"/>
        <v>-1276326.1000000015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-300337</v>
      </c>
      <c r="E40" s="66">
        <f>'TX-HPLC-FLSH'!M40</f>
        <v>-869476</v>
      </c>
      <c r="F40" s="60">
        <f>'TX-HPLC-GL'!D40</f>
        <v>0</v>
      </c>
      <c r="G40" s="38">
        <f>'TX-HPLC-GL'!E40</f>
        <v>0</v>
      </c>
      <c r="H40" s="60">
        <f t="shared" si="7"/>
        <v>300337</v>
      </c>
      <c r="I40" s="38">
        <f t="shared" si="7"/>
        <v>869476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-300337</v>
      </c>
      <c r="E42" s="70">
        <f t="shared" si="8"/>
        <v>-869476</v>
      </c>
      <c r="F42" s="69">
        <f t="shared" si="8"/>
        <v>0</v>
      </c>
      <c r="G42" s="70">
        <f t="shared" si="8"/>
        <v>0</v>
      </c>
      <c r="H42" s="69">
        <f t="shared" si="8"/>
        <v>300337</v>
      </c>
      <c r="I42" s="70">
        <f t="shared" si="8"/>
        <v>869476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9615252</v>
      </c>
      <c r="E43" s="39">
        <f t="shared" si="9"/>
        <v>25412811</v>
      </c>
      <c r="F43" s="61">
        <f t="shared" si="9"/>
        <v>9497858</v>
      </c>
      <c r="G43" s="39">
        <f t="shared" si="9"/>
        <v>25005960.899999999</v>
      </c>
      <c r="H43" s="61">
        <f t="shared" si="9"/>
        <v>-117394</v>
      </c>
      <c r="I43" s="39">
        <f t="shared" si="9"/>
        <v>-406850.10000000149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8730964</v>
      </c>
      <c r="E49" s="66">
        <f>'TX-HPLC-FLSH'!M49</f>
        <v>22179347.98577122</v>
      </c>
      <c r="F49" s="60">
        <f>'TX-HPLC-GL'!D49</f>
        <v>85472</v>
      </c>
      <c r="G49" s="38">
        <f>'TX-HPLC-GL'!E49</f>
        <v>217099.71999999997</v>
      </c>
      <c r="H49" s="60">
        <f>F49-D49</f>
        <v>-8645492</v>
      </c>
      <c r="I49" s="38">
        <f>G49-E49</f>
        <v>-21962248.265771221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-1700059</v>
      </c>
      <c r="F54" s="60">
        <f>'TX-HPLC-GL'!D54</f>
        <v>-315272</v>
      </c>
      <c r="G54" s="38">
        <f>'TX-HPLC-GL'!E54</f>
        <v>-1324433.2200000002</v>
      </c>
      <c r="H54" s="60">
        <f>F54-D54</f>
        <v>-315272</v>
      </c>
      <c r="I54" s="38">
        <f>G54-E54</f>
        <v>375625.7799999998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33504</v>
      </c>
      <c r="H55" s="60">
        <f>F55-D55</f>
        <v>0</v>
      </c>
      <c r="I55" s="38">
        <f>G55-E55</f>
        <v>33504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-1700059</v>
      </c>
      <c r="F56" s="61">
        <f t="shared" si="10"/>
        <v>-315272</v>
      </c>
      <c r="G56" s="39">
        <f t="shared" si="10"/>
        <v>-1290929.2200000002</v>
      </c>
      <c r="H56" s="61">
        <f t="shared" si="10"/>
        <v>-315272</v>
      </c>
      <c r="I56" s="39">
        <f t="shared" si="10"/>
        <v>409129.7799999998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50000</v>
      </c>
      <c r="H64" s="60">
        <f>F64-D64</f>
        <v>0</v>
      </c>
      <c r="I64" s="38">
        <f>G64-E64</f>
        <v>50000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676602.45000000019</v>
      </c>
      <c r="H74" s="60">
        <f t="shared" ref="H74:I79" si="14">F74-D74</f>
        <v>0</v>
      </c>
      <c r="I74" s="38">
        <f t="shared" si="14"/>
        <v>676602.45000000019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993180.98577122018</v>
      </c>
      <c r="F82" s="109">
        <f>F16+F24+F29+F36+F43+F45+F47+F49</f>
        <v>0</v>
      </c>
      <c r="G82" s="110">
        <f>SUM(G72:G81)+G16+G24+G29+G36+G43+G45+G47+G49+G51+G56+G61+G66</f>
        <v>2765197.7700000028</v>
      </c>
      <c r="H82" s="109">
        <f>H16+H24+H29+H36+H43+H45+H47+H49</f>
        <v>0</v>
      </c>
      <c r="I82" s="110">
        <f>SUM(I72:I81)+I16+I24+I29+I36+I43+I45+I47+I49+I51+I56+I61+I66</f>
        <v>1772016.7842288003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1288000.3</v>
      </c>
      <c r="H86" s="145">
        <f t="shared" ref="H86:I88" si="15">F86-D86</f>
        <v>0</v>
      </c>
      <c r="I86" s="145">
        <f t="shared" si="15"/>
        <v>1288000.3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-1455000</v>
      </c>
      <c r="H88" s="147">
        <f t="shared" si="15"/>
        <v>0</v>
      </c>
      <c r="I88" s="147">
        <f t="shared" si="15"/>
        <v>-1455000</v>
      </c>
    </row>
    <row r="89" spans="1:63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-166999.69999999995</v>
      </c>
      <c r="H89" s="160">
        <f t="shared" si="16"/>
        <v>0</v>
      </c>
      <c r="I89" s="160">
        <f t="shared" si="16"/>
        <v>-166999.69999999995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993180.98577122018</v>
      </c>
      <c r="F91" s="160">
        <f t="shared" si="17"/>
        <v>0</v>
      </c>
      <c r="G91" s="160">
        <f t="shared" si="17"/>
        <v>2598198.0700000031</v>
      </c>
      <c r="H91" s="160">
        <f t="shared" si="17"/>
        <v>0</v>
      </c>
      <c r="I91" s="160">
        <f t="shared" si="17"/>
        <v>1605017.0842288004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31" activePane="bottomRight" state="frozen"/>
      <selection activeCell="D10" sqref="D10"/>
      <selection pane="topRight" activeCell="D10" sqref="D10"/>
      <selection pane="bottomLeft" activeCell="D10" sqref="D10"/>
      <selection pane="bottomRight" activeCell="G31" sqref="G3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58078007</v>
      </c>
      <c r="E11" s="66">
        <f>'TX-CON-FLSH'!M11</f>
        <v>149214913</v>
      </c>
      <c r="F11" s="60">
        <f>'TX-CON-GL '!D11</f>
        <v>58258621</v>
      </c>
      <c r="G11" s="38">
        <f>'TX-CON-GL '!E11</f>
        <v>155866574.90000004</v>
      </c>
      <c r="H11" s="60">
        <f>F11-D11</f>
        <v>180614</v>
      </c>
      <c r="I11" s="38">
        <f>G11-E11</f>
        <v>6651661.9000000358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-3474004.9400000004</v>
      </c>
      <c r="H12" s="60">
        <f>F12-D12</f>
        <v>0</v>
      </c>
      <c r="I12" s="38">
        <f>G12-E12</f>
        <v>-3474004.9400000004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784655</v>
      </c>
      <c r="E13" s="66">
        <f>'TX-CON-FLSH'!M13</f>
        <v>2093281</v>
      </c>
      <c r="F13" s="60">
        <f>'TX-CON-GL '!D13</f>
        <v>15365272</v>
      </c>
      <c r="G13" s="38">
        <f>'TX-CON-GL '!E13</f>
        <v>42696439</v>
      </c>
      <c r="H13" s="60">
        <f t="shared" ref="H13:I15" si="0">F13-D13</f>
        <v>14580617</v>
      </c>
      <c r="I13" s="38">
        <f t="shared" si="0"/>
        <v>40603158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-819535</v>
      </c>
      <c r="H15" s="60">
        <f t="shared" si="0"/>
        <v>0</v>
      </c>
      <c r="I15" s="38">
        <f t="shared" si="0"/>
        <v>-939535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58862662</v>
      </c>
      <c r="E16" s="39">
        <f t="shared" si="1"/>
        <v>151428194</v>
      </c>
      <c r="F16" s="61">
        <f t="shared" si="1"/>
        <v>73623893</v>
      </c>
      <c r="G16" s="39">
        <f t="shared" si="1"/>
        <v>194269473.96000004</v>
      </c>
      <c r="H16" s="61">
        <f t="shared" si="1"/>
        <v>14761231</v>
      </c>
      <c r="I16" s="39">
        <f t="shared" si="1"/>
        <v>42841279.960000038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-66478131</v>
      </c>
      <c r="E19" s="66">
        <f>'TX-CON-FLSH'!M19</f>
        <v>-167531871</v>
      </c>
      <c r="F19" s="60">
        <f>'TX-CON-GL '!D19</f>
        <v>-65823153</v>
      </c>
      <c r="G19" s="38">
        <f>'TX-CON-GL '!E19</f>
        <v>-168251408.23999998</v>
      </c>
      <c r="H19" s="60">
        <f>F19-D19</f>
        <v>654978</v>
      </c>
      <c r="I19" s="38">
        <f>G19-E19</f>
        <v>-719537.23999997973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871034.68000000017</v>
      </c>
      <c r="H20" s="60">
        <f>F20-D20</f>
        <v>0</v>
      </c>
      <c r="I20" s="38">
        <f>G20-E20</f>
        <v>871034.68000000017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-2623000</v>
      </c>
      <c r="E21" s="66">
        <f>'TX-CON-FLSH'!M21</f>
        <v>-7119636</v>
      </c>
      <c r="F21" s="60">
        <f>'TX-CON-GL '!D21</f>
        <v>-15476079</v>
      </c>
      <c r="G21" s="38">
        <f>'TX-CON-GL '!E21</f>
        <v>-43042838</v>
      </c>
      <c r="H21" s="60">
        <f t="shared" ref="H21:I23" si="2">F21-D21</f>
        <v>-12853079</v>
      </c>
      <c r="I21" s="38">
        <f t="shared" si="2"/>
        <v>-35923202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19293</v>
      </c>
      <c r="E23" s="66">
        <f>'TX-CON-FLSH'!M23</f>
        <v>52486</v>
      </c>
      <c r="F23" s="60">
        <f>'TX-CON-GL '!D23</f>
        <v>19392</v>
      </c>
      <c r="G23" s="38">
        <f>'TX-CON-GL '!E23</f>
        <v>49255.679999999993</v>
      </c>
      <c r="H23" s="60">
        <f t="shared" si="2"/>
        <v>99</v>
      </c>
      <c r="I23" s="38">
        <f t="shared" si="2"/>
        <v>-3230.320000000007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-69081838</v>
      </c>
      <c r="E24" s="39">
        <f t="shared" si="3"/>
        <v>-174599021</v>
      </c>
      <c r="F24" s="61">
        <f t="shared" si="3"/>
        <v>-81279840</v>
      </c>
      <c r="G24" s="39">
        <f t="shared" si="3"/>
        <v>-210373955.87999997</v>
      </c>
      <c r="H24" s="61">
        <f t="shared" si="3"/>
        <v>-12198002</v>
      </c>
      <c r="I24" s="39">
        <f t="shared" si="3"/>
        <v>-35774934.87999998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110343356</v>
      </c>
      <c r="E27" s="66">
        <f>'TX-CON-FLSH'!M27</f>
        <v>302310616</v>
      </c>
      <c r="F27" s="60">
        <f>'TX-CON-GL '!D27</f>
        <v>29650613</v>
      </c>
      <c r="G27" s="38">
        <f>'TX-CON-GL '!E27</f>
        <v>83010206.25</v>
      </c>
      <c r="H27" s="60">
        <f>F27-D27</f>
        <v>-80692743</v>
      </c>
      <c r="I27" s="38">
        <f>G27-E27</f>
        <v>-219300409.75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-109651946</v>
      </c>
      <c r="E28" s="66">
        <f>'TX-CON-FLSH'!M28</f>
        <v>-300514208</v>
      </c>
      <c r="F28" s="60">
        <f>'TX-CON-GL '!D28</f>
        <v>-31704450</v>
      </c>
      <c r="G28" s="38">
        <f>'TX-CON-GL '!E28</f>
        <v>-88616604.799999997</v>
      </c>
      <c r="H28" s="60">
        <f>F28-D28</f>
        <v>77947496</v>
      </c>
      <c r="I28" s="38">
        <f>G28-E28</f>
        <v>211897603.19999999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691410</v>
      </c>
      <c r="E29" s="70">
        <f t="shared" si="4"/>
        <v>1796408</v>
      </c>
      <c r="F29" s="69">
        <f t="shared" si="4"/>
        <v>-2053837</v>
      </c>
      <c r="G29" s="70">
        <f t="shared" si="4"/>
        <v>-5606398.549999997</v>
      </c>
      <c r="H29" s="69">
        <f t="shared" si="4"/>
        <v>-2745247</v>
      </c>
      <c r="I29" s="70">
        <f t="shared" si="4"/>
        <v>-7402806.5500000119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-253128</v>
      </c>
      <c r="G32" s="38">
        <f>'TX-CON-GL '!E32</f>
        <v>-642945.39999999991</v>
      </c>
      <c r="H32" s="60">
        <f>F32-D32</f>
        <v>-253128</v>
      </c>
      <c r="I32" s="38">
        <f>G32-E32</f>
        <v>-642945.39999999991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127457</v>
      </c>
      <c r="G34" s="38">
        <f>'TX-CON-GL '!E34</f>
        <v>323740.78000000003</v>
      </c>
      <c r="H34" s="60">
        <f t="shared" si="5"/>
        <v>127457</v>
      </c>
      <c r="I34" s="38">
        <f t="shared" si="5"/>
        <v>323740.78000000003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-125671</v>
      </c>
      <c r="G36" s="39">
        <f t="shared" si="6"/>
        <v>-319204.61999999988</v>
      </c>
      <c r="H36" s="61">
        <f t="shared" si="6"/>
        <v>-125671</v>
      </c>
      <c r="I36" s="39">
        <f t="shared" si="6"/>
        <v>-319204.61999999988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9915589</v>
      </c>
      <c r="E39" s="66">
        <f>'TX-CON-FLSH'!M39</f>
        <v>26282287</v>
      </c>
      <c r="F39" s="60">
        <f>'TX-CON-GL '!D39</f>
        <v>9669411</v>
      </c>
      <c r="G39" s="38">
        <f>'TX-CON-GL '!E39</f>
        <v>25441705.52</v>
      </c>
      <c r="H39" s="60">
        <f t="shared" ref="H39:I41" si="7">F39-D39</f>
        <v>-246178</v>
      </c>
      <c r="I39" s="38">
        <f t="shared" si="7"/>
        <v>-840581.48000000045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-531569</v>
      </c>
      <c r="E40" s="66">
        <f>'TX-CON-FLSH'!M40</f>
        <v>-1492851</v>
      </c>
      <c r="F40" s="60">
        <f>'TX-CON-GL '!D40</f>
        <v>-231242</v>
      </c>
      <c r="G40" s="38">
        <f>'TX-CON-GL '!E40</f>
        <v>-546846.22</v>
      </c>
      <c r="H40" s="60">
        <f t="shared" si="7"/>
        <v>300327</v>
      </c>
      <c r="I40" s="38">
        <f t="shared" si="7"/>
        <v>946004.78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-531569</v>
      </c>
      <c r="E42" s="70">
        <f t="shared" si="8"/>
        <v>-1492851</v>
      </c>
      <c r="F42" s="69">
        <f t="shared" si="8"/>
        <v>-231242</v>
      </c>
      <c r="G42" s="70">
        <f t="shared" si="8"/>
        <v>-546846.22</v>
      </c>
      <c r="H42" s="69">
        <f t="shared" si="8"/>
        <v>300327</v>
      </c>
      <c r="I42" s="70">
        <f t="shared" si="8"/>
        <v>946004.78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9384020</v>
      </c>
      <c r="E43" s="39">
        <f t="shared" si="9"/>
        <v>24789436</v>
      </c>
      <c r="F43" s="61">
        <f t="shared" si="9"/>
        <v>9438169</v>
      </c>
      <c r="G43" s="39">
        <f t="shared" si="9"/>
        <v>24894859.300000001</v>
      </c>
      <c r="H43" s="61">
        <f t="shared" si="9"/>
        <v>54149</v>
      </c>
      <c r="I43" s="39">
        <f t="shared" si="9"/>
        <v>105423.29999999958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-0.40000000000145519</v>
      </c>
      <c r="H47" s="60">
        <f>F47-D47</f>
        <v>0</v>
      </c>
      <c r="I47" s="38">
        <f>G47-E47</f>
        <v>-0.40000000000145519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143746</v>
      </c>
      <c r="E49" s="66">
        <f>'TX-CON-FLSH'!M49</f>
        <v>365159.28316308185</v>
      </c>
      <c r="F49" s="60">
        <f>'TX-CON-GL '!D49</f>
        <v>397286</v>
      </c>
      <c r="G49" s="38">
        <f>'TX-CON-GL '!E49</f>
        <v>1009107.2799999999</v>
      </c>
      <c r="H49" s="60">
        <f>F49-D49</f>
        <v>253540</v>
      </c>
      <c r="I49" s="38">
        <f>G49-E49</f>
        <v>643947.99683691806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-19392</v>
      </c>
      <c r="G51" s="38">
        <f>'TX-CON-GL '!E51</f>
        <v>-49255.679999999993</v>
      </c>
      <c r="H51" s="60">
        <f>F51-D51</f>
        <v>-19392</v>
      </c>
      <c r="I51" s="38">
        <f>G51-E51</f>
        <v>-49255.679999999993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-2251456</v>
      </c>
      <c r="F54" s="60">
        <f>'TX-CON-GL '!D54</f>
        <v>-18943055</v>
      </c>
      <c r="G54" s="38">
        <f>'TX-CON-GL '!E54</f>
        <v>-1666047.4699999997</v>
      </c>
      <c r="H54" s="60">
        <f>F54-D54</f>
        <v>-18943055</v>
      </c>
      <c r="I54" s="38">
        <f>G54-E54</f>
        <v>585408.53000000026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-662</v>
      </c>
      <c r="G55" s="38">
        <f>'TX-CON-GL '!E55</f>
        <v>-140806.09</v>
      </c>
      <c r="H55" s="60">
        <f>F55-D55</f>
        <v>-662</v>
      </c>
      <c r="I55" s="38">
        <f>G55-E55</f>
        <v>-140806.09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-2251456</v>
      </c>
      <c r="F56" s="61">
        <f t="shared" si="10"/>
        <v>-18943717</v>
      </c>
      <c r="G56" s="39">
        <f t="shared" si="10"/>
        <v>-1806853.5599999998</v>
      </c>
      <c r="H56" s="61">
        <f t="shared" si="10"/>
        <v>-18943717</v>
      </c>
      <c r="I56" s="39">
        <f t="shared" si="10"/>
        <v>444602.44000000029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49452.31</v>
      </c>
      <c r="H64" s="60">
        <f>F64-D64</f>
        <v>0</v>
      </c>
      <c r="I64" s="38">
        <f>G64-E64</f>
        <v>49452.31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49452.31</v>
      </c>
      <c r="H66" s="61">
        <f t="shared" si="12"/>
        <v>0</v>
      </c>
      <c r="I66" s="39">
        <f t="shared" si="12"/>
        <v>49452.31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-8691498.1899999995</v>
      </c>
      <c r="F70" s="60">
        <f>'TX-CON-GL '!D70</f>
        <v>0</v>
      </c>
      <c r="G70" s="38">
        <f>'TX-CON-GL '!E70</f>
        <v>-8691498.1899999995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7489615</v>
      </c>
      <c r="F71" s="60">
        <f>'TX-CON-GL '!D71</f>
        <v>0</v>
      </c>
      <c r="G71" s="38">
        <f>'TX-CON-GL '!E71</f>
        <v>7489614.6200000001</v>
      </c>
      <c r="H71" s="60">
        <f>F71-D71</f>
        <v>0</v>
      </c>
      <c r="I71" s="38">
        <f>G71-E71</f>
        <v>-0.37999999988824129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-1201883.1899999995</v>
      </c>
      <c r="F72" s="69">
        <f t="shared" si="13"/>
        <v>0</v>
      </c>
      <c r="G72" s="70">
        <f t="shared" si="13"/>
        <v>-1201883.5699999994</v>
      </c>
      <c r="H72" s="69">
        <f t="shared" si="13"/>
        <v>0</v>
      </c>
      <c r="I72" s="70">
        <f t="shared" si="13"/>
        <v>-0.37999999988824129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1296213.95</v>
      </c>
      <c r="F74" s="60">
        <f>'TX-CON-GL '!D74</f>
        <v>0</v>
      </c>
      <c r="G74" s="38">
        <f>'TX-CON-GL '!E74</f>
        <v>613133.79999999981</v>
      </c>
      <c r="H74" s="60">
        <f t="shared" ref="H74:I79" si="14">F74-D74</f>
        <v>0</v>
      </c>
      <c r="I74" s="38">
        <f t="shared" si="14"/>
        <v>-683080.15000000014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2584</v>
      </c>
      <c r="F75" s="60">
        <f>'TX-CON-GL '!D75</f>
        <v>0</v>
      </c>
      <c r="G75" s="38">
        <f>'TX-CON-GL '!E75</f>
        <v>2600</v>
      </c>
      <c r="H75" s="60">
        <f t="shared" si="14"/>
        <v>0</v>
      </c>
      <c r="I75" s="38">
        <f t="shared" si="14"/>
        <v>16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-1075</v>
      </c>
      <c r="F76" s="60">
        <f>'TX-CON-GL '!D76</f>
        <v>0</v>
      </c>
      <c r="G76" s="38">
        <f>'TX-CON-GL '!E76</f>
        <v>-2726.01</v>
      </c>
      <c r="H76" s="60">
        <f t="shared" si="14"/>
        <v>0</v>
      </c>
      <c r="I76" s="38">
        <f t="shared" si="14"/>
        <v>-1651.0100000000002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102711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-102711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1628971.0431630723</v>
      </c>
      <c r="F82" s="109">
        <f>F16+F24+F29+F36+F43+F45+F47+F49</f>
        <v>0</v>
      </c>
      <c r="G82" s="110">
        <f>SUM(G72:G81)+G16+G24+G29+G36+G43+G45+G47+G49+G51+G56+G61+G66</f>
        <v>1380048.3800000742</v>
      </c>
      <c r="H82" s="109">
        <f>H16+H24+H29+H36+H43+H45+H47+H49</f>
        <v>0</v>
      </c>
      <c r="I82" s="110">
        <f>SUM(I72:I81)+I16+I24+I29+I36+I43+I45+I47+I49+I51+I56+I61+I66</f>
        <v>-248922.66316303512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'TX-CON-FLSH'!L86</f>
        <v>0</v>
      </c>
      <c r="E86" s="145">
        <f>'TX-CON-FLSH'!M86</f>
        <v>-166392</v>
      </c>
      <c r="F86" s="145">
        <f>'TX-CON-GL '!D86</f>
        <v>0</v>
      </c>
      <c r="G86" s="145">
        <f>'TX-CON-GL '!E86</f>
        <v>1697579.3</v>
      </c>
      <c r="H86" s="145">
        <f t="shared" ref="H86:I88" si="15">F86-D86</f>
        <v>0</v>
      </c>
      <c r="I86" s="145">
        <f t="shared" si="15"/>
        <v>1863971.3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-1455000</v>
      </c>
      <c r="H88" s="147">
        <f t="shared" si="15"/>
        <v>0</v>
      </c>
      <c r="I88" s="147">
        <f t="shared" si="15"/>
        <v>-1455000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-166392</v>
      </c>
      <c r="F89" s="155">
        <f t="shared" si="16"/>
        <v>0</v>
      </c>
      <c r="G89" s="155">
        <f t="shared" si="16"/>
        <v>242579.30000000005</v>
      </c>
      <c r="H89" s="155">
        <f t="shared" si="16"/>
        <v>0</v>
      </c>
      <c r="I89" s="155">
        <f t="shared" si="16"/>
        <v>408971.30000000005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1462579.0431630723</v>
      </c>
      <c r="F91" s="155">
        <f t="shared" si="17"/>
        <v>0</v>
      </c>
      <c r="G91" s="155">
        <f t="shared" si="17"/>
        <v>1622627.6800000742</v>
      </c>
      <c r="H91" s="155">
        <f t="shared" si="17"/>
        <v>0</v>
      </c>
      <c r="I91" s="155">
        <f t="shared" si="17"/>
        <v>160048.63683696493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G74" sqref="G74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41743983</v>
      </c>
      <c r="E11" s="66">
        <f>'WE-FLSH'!M11</f>
        <v>106899568</v>
      </c>
      <c r="F11" s="60">
        <f>'WE-GL '!D11</f>
        <v>41744084</v>
      </c>
      <c r="G11" s="38">
        <f>'WE-GL '!E11</f>
        <v>102746836.28</v>
      </c>
      <c r="H11" s="60">
        <f>F11-D11</f>
        <v>101</v>
      </c>
      <c r="I11" s="38">
        <f>G11-E11</f>
        <v>-4152731.7199999988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3812623.58</v>
      </c>
      <c r="H12" s="60">
        <f>F12-D12</f>
        <v>0</v>
      </c>
      <c r="I12" s="38">
        <f>G12-E12</f>
        <v>3812623.58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12749483</v>
      </c>
      <c r="E13" s="66">
        <f>'WE-FLSH'!M13</f>
        <v>35048944</v>
      </c>
      <c r="F13" s="60">
        <f>'WE-GL '!D13</f>
        <v>12749483</v>
      </c>
      <c r="G13" s="38">
        <f>'WE-GL '!E13</f>
        <v>35048944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1508857.12</v>
      </c>
      <c r="H15" s="60">
        <f t="shared" si="0"/>
        <v>0</v>
      </c>
      <c r="I15" s="38">
        <f t="shared" si="0"/>
        <v>1508857.12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54493466</v>
      </c>
      <c r="E16" s="39">
        <f t="shared" si="1"/>
        <v>141948512</v>
      </c>
      <c r="F16" s="61">
        <f t="shared" si="1"/>
        <v>54493567</v>
      </c>
      <c r="G16" s="39">
        <f t="shared" si="1"/>
        <v>143117260.98000002</v>
      </c>
      <c r="H16" s="61">
        <f t="shared" si="1"/>
        <v>101</v>
      </c>
      <c r="I16" s="39">
        <f t="shared" si="1"/>
        <v>1168748.9800000014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-44689424</v>
      </c>
      <c r="E19" s="66">
        <f>'WE-FLSH'!M19</f>
        <v>-113603600</v>
      </c>
      <c r="F19" s="60">
        <f>'WE-GL '!D19</f>
        <v>-44701745</v>
      </c>
      <c r="G19" s="38">
        <f>'WE-GL '!E19</f>
        <v>-113389389.40000001</v>
      </c>
      <c r="H19" s="60">
        <f>F19-D19</f>
        <v>-12321</v>
      </c>
      <c r="I19" s="38">
        <f>G19-E19</f>
        <v>214210.59999999404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73949.580000000075</v>
      </c>
      <c r="H20" s="60">
        <f>F20-D20</f>
        <v>0</v>
      </c>
      <c r="I20" s="38">
        <f>G20-E20</f>
        <v>73949.580000000075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-12749483</v>
      </c>
      <c r="E21" s="66">
        <f>'WE-FLSH'!M21</f>
        <v>-35048344</v>
      </c>
      <c r="F21" s="60">
        <f>'WE-GL '!D21</f>
        <v>-12749483</v>
      </c>
      <c r="G21" s="38">
        <f>'WE-GL '!E21</f>
        <v>-35048344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235209</v>
      </c>
      <c r="E23" s="66">
        <f>'WE-FLSH'!M23</f>
        <v>627761</v>
      </c>
      <c r="F23" s="60">
        <f>'WE-GL '!D23</f>
        <v>336838</v>
      </c>
      <c r="G23" s="38">
        <f>'WE-GL '!E23</f>
        <v>815821.63599999994</v>
      </c>
      <c r="H23" s="60">
        <f t="shared" si="2"/>
        <v>101629</v>
      </c>
      <c r="I23" s="38">
        <f t="shared" si="2"/>
        <v>188060.63599999994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-57203698</v>
      </c>
      <c r="E24" s="39">
        <f t="shared" si="3"/>
        <v>-148024183</v>
      </c>
      <c r="F24" s="61">
        <f t="shared" si="3"/>
        <v>-57114390</v>
      </c>
      <c r="G24" s="39">
        <f t="shared" si="3"/>
        <v>-147547962.18399999</v>
      </c>
      <c r="H24" s="61">
        <f t="shared" si="3"/>
        <v>89308</v>
      </c>
      <c r="I24" s="39">
        <f t="shared" si="3"/>
        <v>476220.81599999405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1205247</v>
      </c>
      <c r="E27" s="66">
        <f>'WE-FLSH'!M27</f>
        <v>3264184</v>
      </c>
      <c r="F27" s="60">
        <f>'WE-GL '!D27</f>
        <v>1205247</v>
      </c>
      <c r="G27" s="38">
        <f>'WE-GL '!E27</f>
        <v>3264180.5</v>
      </c>
      <c r="H27" s="60">
        <f>F27-D27</f>
        <v>0</v>
      </c>
      <c r="I27" s="38">
        <f>G27-E27</f>
        <v>-3.5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-60000</v>
      </c>
      <c r="E28" s="66">
        <f>'WE-FLSH'!M28</f>
        <v>-157200</v>
      </c>
      <c r="F28" s="60">
        <f>'WE-GL '!D28</f>
        <v>-60000</v>
      </c>
      <c r="G28" s="38">
        <f>'WE-GL '!E28</f>
        <v>-157200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1145247</v>
      </c>
      <c r="E29" s="70">
        <f t="shared" si="4"/>
        <v>3106984</v>
      </c>
      <c r="F29" s="69">
        <f t="shared" si="4"/>
        <v>1145247</v>
      </c>
      <c r="G29" s="70">
        <f t="shared" si="4"/>
        <v>3106980.5</v>
      </c>
      <c r="H29" s="69">
        <f t="shared" si="4"/>
        <v>0</v>
      </c>
      <c r="I29" s="70">
        <f t="shared" si="4"/>
        <v>-3.5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2541</v>
      </c>
      <c r="E32" s="66">
        <f>'WE-FLSH'!M32</f>
        <v>7230</v>
      </c>
      <c r="F32" s="60">
        <f>'WE-GL '!D32</f>
        <v>-66458</v>
      </c>
      <c r="G32" s="38">
        <f>'WE-GL '!E32</f>
        <v>-160961.27599999998</v>
      </c>
      <c r="H32" s="60">
        <f>F32-D32</f>
        <v>-68999</v>
      </c>
      <c r="I32" s="38">
        <f>G32-E32</f>
        <v>-168191.27599999998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-14110</v>
      </c>
      <c r="G33" s="38">
        <f>'WE-GL '!E33</f>
        <v>-45843.380000000005</v>
      </c>
      <c r="H33" s="60">
        <f t="shared" ref="H33:I35" si="5">F33-D33</f>
        <v>-14110</v>
      </c>
      <c r="I33" s="38">
        <f t="shared" si="5"/>
        <v>-45843.380000000005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1175</v>
      </c>
      <c r="G34" s="38">
        <f>'WE-GL '!E34</f>
        <v>3038.55</v>
      </c>
      <c r="H34" s="60">
        <f t="shared" si="5"/>
        <v>1175</v>
      </c>
      <c r="I34" s="38">
        <f t="shared" si="5"/>
        <v>3038.55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1794642</v>
      </c>
      <c r="E35" s="66">
        <f>'WE-FLSH'!M35</f>
        <v>4805939</v>
      </c>
      <c r="F35" s="60">
        <f>'WE-GL '!D35</f>
        <v>1756423</v>
      </c>
      <c r="G35" s="38">
        <f>'WE-GL '!E35</f>
        <v>4830476.8499999996</v>
      </c>
      <c r="H35" s="60">
        <f t="shared" si="5"/>
        <v>-38219</v>
      </c>
      <c r="I35" s="38">
        <f t="shared" si="5"/>
        <v>24537.849999999627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1797183</v>
      </c>
      <c r="E36" s="39">
        <f t="shared" si="6"/>
        <v>4813169</v>
      </c>
      <c r="F36" s="61">
        <f t="shared" si="6"/>
        <v>1677030</v>
      </c>
      <c r="G36" s="39">
        <f t="shared" si="6"/>
        <v>4626710.7439999999</v>
      </c>
      <c r="H36" s="61">
        <f t="shared" si="6"/>
        <v>-120153</v>
      </c>
      <c r="I36" s="39">
        <f t="shared" si="6"/>
        <v>-186458.25600000037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5456</v>
      </c>
      <c r="E39" s="66">
        <f>'WE-FLSH'!M39</f>
        <v>14102</v>
      </c>
      <c r="F39" s="60">
        <f>'WE-GL '!D39</f>
        <v>41553</v>
      </c>
      <c r="G39" s="38">
        <f>'WE-GL '!E39</f>
        <v>101056.21000000041</v>
      </c>
      <c r="H39" s="60">
        <f t="shared" ref="H39:I41" si="7">F39-D39</f>
        <v>36097</v>
      </c>
      <c r="I39" s="38">
        <f t="shared" si="7"/>
        <v>86954.210000000414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-82959</v>
      </c>
      <c r="E40" s="66">
        <f>'WE-FLSH'!M40</f>
        <v>-206053</v>
      </c>
      <c r="F40" s="60">
        <f>'WE-GL '!D40</f>
        <v>-77546</v>
      </c>
      <c r="G40" s="38">
        <f>'WE-GL '!E40</f>
        <v>-188375.77</v>
      </c>
      <c r="H40" s="60">
        <f t="shared" si="7"/>
        <v>5413</v>
      </c>
      <c r="I40" s="38">
        <f t="shared" si="7"/>
        <v>17677.23000000001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-82959</v>
      </c>
      <c r="E42" s="39">
        <f t="shared" si="8"/>
        <v>-206053</v>
      </c>
      <c r="F42" s="61">
        <f t="shared" si="8"/>
        <v>-77546</v>
      </c>
      <c r="G42" s="39">
        <f t="shared" si="8"/>
        <v>-188375.77</v>
      </c>
      <c r="H42" s="61">
        <f t="shared" si="8"/>
        <v>5413</v>
      </c>
      <c r="I42" s="39">
        <f t="shared" si="8"/>
        <v>17677.23000000001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-77503</v>
      </c>
      <c r="E43" s="39">
        <f t="shared" si="9"/>
        <v>-191951</v>
      </c>
      <c r="F43" s="61">
        <f t="shared" si="9"/>
        <v>-35993</v>
      </c>
      <c r="G43" s="39">
        <f t="shared" si="9"/>
        <v>-87319.559999999576</v>
      </c>
      <c r="H43" s="61">
        <f t="shared" si="9"/>
        <v>41510</v>
      </c>
      <c r="I43" s="39">
        <f t="shared" si="9"/>
        <v>104631.44000000042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-154695</v>
      </c>
      <c r="E49" s="66">
        <f>'WE-FLSH'!M49</f>
        <v>-374599.213486664</v>
      </c>
      <c r="F49" s="60">
        <f>'WE-GL '!D49</f>
        <v>-165461</v>
      </c>
      <c r="G49" s="38">
        <f>'WE-GL '!E49</f>
        <v>-400746.54600000003</v>
      </c>
      <c r="H49" s="60">
        <f>F49-D49</f>
        <v>-10766</v>
      </c>
      <c r="I49" s="38">
        <f>G49-E49</f>
        <v>-26147.332513336034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-235209</v>
      </c>
      <c r="E51" s="66">
        <f>'WE-FLSH'!M51</f>
        <v>-627761</v>
      </c>
      <c r="F51" s="60">
        <f>'WE-GL '!D51</f>
        <v>-336838</v>
      </c>
      <c r="G51" s="38">
        <f>'WE-GL '!E51</f>
        <v>-815821.63599999994</v>
      </c>
      <c r="H51" s="60">
        <f>F51-D51</f>
        <v>-101629</v>
      </c>
      <c r="I51" s="38">
        <f>G51-E51</f>
        <v>-188060.63599999994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-155544</v>
      </c>
      <c r="F54" s="60">
        <f>'WE-GL '!D54</f>
        <v>-20889405</v>
      </c>
      <c r="G54" s="38">
        <f>'WE-GL '!E54</f>
        <v>-203271.99999999997</v>
      </c>
      <c r="H54" s="60">
        <f>F54-D54</f>
        <v>-20889405</v>
      </c>
      <c r="I54" s="38">
        <f>G54-E54</f>
        <v>-47727.999999999971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-871836.89</v>
      </c>
      <c r="F55" s="60">
        <f>'WE-GL '!D55</f>
        <v>0</v>
      </c>
      <c r="G55" s="38">
        <f>'WE-GL '!E55</f>
        <v>-2313105.7199999997</v>
      </c>
      <c r="H55" s="60">
        <f>F55-D55</f>
        <v>0</v>
      </c>
      <c r="I55" s="38">
        <f>G55-E55</f>
        <v>-1441268.8299999996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-1027380.89</v>
      </c>
      <c r="F56" s="61">
        <f t="shared" si="10"/>
        <v>-20889405</v>
      </c>
      <c r="G56" s="39">
        <f t="shared" si="10"/>
        <v>-2516377.7199999997</v>
      </c>
      <c r="H56" s="61">
        <f t="shared" si="10"/>
        <v>-20889405</v>
      </c>
      <c r="I56" s="39">
        <f t="shared" si="10"/>
        <v>-1488996.8299999996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4676254</v>
      </c>
      <c r="F70" s="60">
        <f>'WE-GL '!D70</f>
        <v>0</v>
      </c>
      <c r="G70" s="38">
        <f>'WE-GL '!E70</f>
        <v>4676254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-2516504</v>
      </c>
      <c r="F71" s="60">
        <f>'WE-GL '!D71</f>
        <v>0</v>
      </c>
      <c r="G71" s="38">
        <f>'WE-GL '!E71</f>
        <v>-2516504.2799999998</v>
      </c>
      <c r="H71" s="60">
        <f>F71-D71</f>
        <v>0</v>
      </c>
      <c r="I71" s="38">
        <f>G71-E71</f>
        <v>-0.27999999979510903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2159750</v>
      </c>
      <c r="F72" s="61">
        <f t="shared" si="13"/>
        <v>0</v>
      </c>
      <c r="G72" s="39">
        <f t="shared" si="13"/>
        <v>2159749.7200000002</v>
      </c>
      <c r="H72" s="61">
        <f t="shared" si="13"/>
        <v>0</v>
      </c>
      <c r="I72" s="39">
        <f t="shared" si="13"/>
        <v>-0.27999999979510903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5301495</v>
      </c>
      <c r="F74" s="60">
        <f>'WE-GL '!D74</f>
        <v>0</v>
      </c>
      <c r="G74" s="38">
        <f>'WE-GL '!E74</f>
        <v>5936074.4400000004</v>
      </c>
      <c r="H74" s="60">
        <f t="shared" ref="H74:I79" si="14">F74-D74</f>
        <v>0</v>
      </c>
      <c r="I74" s="38">
        <f t="shared" si="14"/>
        <v>634579.44000000041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-26990</v>
      </c>
      <c r="F76" s="60">
        <f>'WE-GL '!D76</f>
        <v>0</v>
      </c>
      <c r="G76" s="38">
        <f>'WE-GL '!E76</f>
        <v>-26989.880000000005</v>
      </c>
      <c r="H76" s="60">
        <f t="shared" si="14"/>
        <v>0</v>
      </c>
      <c r="I76" s="38">
        <f t="shared" si="14"/>
        <v>0.11999999999534339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-3275387</v>
      </c>
      <c r="F81" s="60">
        <f>'WE-GL '!D81</f>
        <v>0</v>
      </c>
      <c r="G81" s="38">
        <f>'WE-GL '!E81</f>
        <v>-1675.1400000000003</v>
      </c>
      <c r="H81" s="60">
        <f>F81-D81</f>
        <v>0</v>
      </c>
      <c r="I81" s="38">
        <f>G81-E81</f>
        <v>3273711.86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3781657.8965133359</v>
      </c>
      <c r="F82" s="109">
        <f>F16+F24+F29+F36+F43+F45+F47+F49</f>
        <v>0</v>
      </c>
      <c r="G82" s="110">
        <f>SUM(G72:G81)+G16+G24+G29+G36+G43+G45+G47+G49+G51+G56+G61+G66</f>
        <v>7549883.7180000199</v>
      </c>
      <c r="H82" s="109">
        <f>H16+H24+H29+H36+H43+H45+H47+H49</f>
        <v>0</v>
      </c>
      <c r="I82" s="110">
        <f>SUM(I72:I81)+I16+I24+I29+I36+I43+I45+I47+I49+I51+I56+I61+I66</f>
        <v>3768225.8214866607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3869012</v>
      </c>
      <c r="E11" s="66">
        <f>'DEN-FLSH'!M11</f>
        <v>9074527</v>
      </c>
      <c r="F11" s="60">
        <f>'DEN-GL'!D11</f>
        <v>3815603</v>
      </c>
      <c r="G11" s="38">
        <f>'DEN-GL'!E11</f>
        <v>8920486.2300000004</v>
      </c>
      <c r="H11" s="60">
        <f>F11-D11</f>
        <v>-53409</v>
      </c>
      <c r="I11" s="38">
        <f>G11-E11</f>
        <v>-154040.76999999955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28116.17</v>
      </c>
      <c r="H12" s="60">
        <f>F12-D12</f>
        <v>0</v>
      </c>
      <c r="I12" s="38">
        <f>G12-E12</f>
        <v>28116.17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5301057</v>
      </c>
      <c r="E13" s="66">
        <f>'DEN-FLSH'!M13</f>
        <v>13385646</v>
      </c>
      <c r="F13" s="60">
        <f>'DEN-GL'!D13</f>
        <v>4701913</v>
      </c>
      <c r="G13" s="38">
        <f>'DEN-GL'!E13</f>
        <v>11913215</v>
      </c>
      <c r="H13" s="60">
        <f t="shared" ref="H13:I15" si="0">F13-D13</f>
        <v>-599144</v>
      </c>
      <c r="I13" s="38">
        <f t="shared" si="0"/>
        <v>-1472431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9170069</v>
      </c>
      <c r="E16" s="39">
        <f t="shared" si="1"/>
        <v>22460173</v>
      </c>
      <c r="F16" s="61">
        <f t="shared" si="1"/>
        <v>8517516</v>
      </c>
      <c r="G16" s="39">
        <f t="shared" si="1"/>
        <v>20867949.82</v>
      </c>
      <c r="H16" s="61">
        <f t="shared" si="1"/>
        <v>-652553</v>
      </c>
      <c r="I16" s="39">
        <f t="shared" si="1"/>
        <v>-1592223.1799999997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-5057262</v>
      </c>
      <c r="E19" s="66">
        <f>'DEN-FLSH'!M19</f>
        <v>-11323157</v>
      </c>
      <c r="F19" s="60">
        <f>'DEN-GL'!D19</f>
        <v>-5067730</v>
      </c>
      <c r="G19" s="38">
        <f>'DEN-GL'!E19</f>
        <v>-11113037.819999998</v>
      </c>
      <c r="H19" s="60">
        <f>F19-D19</f>
        <v>-10468</v>
      </c>
      <c r="I19" s="38">
        <f>G19-E19</f>
        <v>210119.18000000156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-188616.18</v>
      </c>
      <c r="H20" s="60">
        <f>F20-D20</f>
        <v>0</v>
      </c>
      <c r="I20" s="38">
        <f>G20-E20</f>
        <v>-188616.18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-4240969</v>
      </c>
      <c r="E21" s="66">
        <f>'DEN-FLSH'!M21</f>
        <v>-10731159</v>
      </c>
      <c r="F21" s="60">
        <f>'DEN-GL'!D21</f>
        <v>-4240969</v>
      </c>
      <c r="G21" s="38">
        <f>'DEN-GL'!E21</f>
        <v>-10731160</v>
      </c>
      <c r="H21" s="60">
        <f t="shared" ref="H21:I23" si="2">F21-D21</f>
        <v>0</v>
      </c>
      <c r="I21" s="38">
        <f t="shared" si="2"/>
        <v>-1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19762</v>
      </c>
      <c r="E23" s="66">
        <f>'DEN-FLSH'!M23</f>
        <v>47965</v>
      </c>
      <c r="F23" s="60">
        <f>'DEN-GL'!D23</f>
        <v>4898</v>
      </c>
      <c r="G23" s="38">
        <f>'DEN-GL'!E23</f>
        <v>11461.32</v>
      </c>
      <c r="H23" s="60">
        <f t="shared" si="2"/>
        <v>-14864</v>
      </c>
      <c r="I23" s="38">
        <f t="shared" si="2"/>
        <v>-36503.68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-9278469</v>
      </c>
      <c r="E24" s="39">
        <f t="shared" si="3"/>
        <v>-22006351</v>
      </c>
      <c r="F24" s="61">
        <f t="shared" si="3"/>
        <v>-9303801</v>
      </c>
      <c r="G24" s="39">
        <f t="shared" si="3"/>
        <v>-22021352.68</v>
      </c>
      <c r="H24" s="61">
        <f t="shared" si="3"/>
        <v>-25332</v>
      </c>
      <c r="I24" s="39">
        <f t="shared" si="3"/>
        <v>-15001.679999998429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-6099</v>
      </c>
      <c r="E32" s="66">
        <f>'DEN-FLSH'!M32</f>
        <v>-15322</v>
      </c>
      <c r="F32" s="60">
        <f>'DEN-GL'!D32</f>
        <v>23346</v>
      </c>
      <c r="G32" s="38">
        <f>'DEN-GL'!E32</f>
        <v>54629.64</v>
      </c>
      <c r="H32" s="60">
        <f>F32-D32</f>
        <v>29445</v>
      </c>
      <c r="I32" s="38">
        <f>G32-E32</f>
        <v>69951.64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-6099</v>
      </c>
      <c r="E36" s="39">
        <f t="shared" si="6"/>
        <v>-15322</v>
      </c>
      <c r="F36" s="61">
        <f t="shared" si="6"/>
        <v>23346</v>
      </c>
      <c r="G36" s="39">
        <f t="shared" si="6"/>
        <v>54629.64</v>
      </c>
      <c r="H36" s="61">
        <f t="shared" si="6"/>
        <v>29445</v>
      </c>
      <c r="I36" s="39">
        <f t="shared" si="6"/>
        <v>69951.64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114499</v>
      </c>
      <c r="E49" s="66">
        <f>'DEN-FLSH'!M49</f>
        <v>267943.52993913629</v>
      </c>
      <c r="F49" s="60">
        <f>'DEN-GL'!D49</f>
        <v>762939</v>
      </c>
      <c r="G49" s="38">
        <f>'DEN-GL'!E49</f>
        <v>1785277.26</v>
      </c>
      <c r="H49" s="60">
        <f>F49-D49</f>
        <v>648440</v>
      </c>
      <c r="I49" s="38">
        <f>G49-E49</f>
        <v>1517333.7300608638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-19762</v>
      </c>
      <c r="E51" s="66">
        <f>'DEN-FLSH'!M51</f>
        <v>-47965</v>
      </c>
      <c r="F51" s="60">
        <f>'DEN-GL'!D51</f>
        <v>-4898</v>
      </c>
      <c r="G51" s="38">
        <f>'DEN-GL'!E51</f>
        <v>-11461.32</v>
      </c>
      <c r="H51" s="60">
        <f>F51-D51</f>
        <v>14864</v>
      </c>
      <c r="I51" s="38">
        <f>G51-E51</f>
        <v>36503.68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-196967.95</v>
      </c>
      <c r="F54" s="60">
        <f>'DEN-GL'!D54</f>
        <v>-11545705</v>
      </c>
      <c r="G54" s="38">
        <f>'DEN-GL'!E54</f>
        <v>-249846.79</v>
      </c>
      <c r="H54" s="60">
        <f>F54-D54</f>
        <v>-11545705</v>
      </c>
      <c r="I54" s="38">
        <f>G54-E54</f>
        <v>-52878.84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-425156.49</v>
      </c>
      <c r="F55" s="60">
        <f>'DEN-GL'!D55</f>
        <v>0</v>
      </c>
      <c r="G55" s="38">
        <f>'DEN-GL'!E55</f>
        <v>-475938.54000000004</v>
      </c>
      <c r="H55" s="60">
        <f>F55-D55</f>
        <v>0</v>
      </c>
      <c r="I55" s="38">
        <f>G55-E55</f>
        <v>-50782.050000000047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-622124.43999999994</v>
      </c>
      <c r="F56" s="61">
        <f t="shared" si="10"/>
        <v>-11545705</v>
      </c>
      <c r="G56" s="39">
        <f t="shared" si="10"/>
        <v>-725785.33000000007</v>
      </c>
      <c r="H56" s="61">
        <f t="shared" si="10"/>
        <v>-11545705</v>
      </c>
      <c r="I56" s="39">
        <f t="shared" si="10"/>
        <v>-103660.89000000004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1275.0399999998044</v>
      </c>
      <c r="F70" s="60">
        <f>'DEN-GL'!D70</f>
        <v>0</v>
      </c>
      <c r="G70" s="38">
        <f>'DEN-GL'!E70</f>
        <v>1275</v>
      </c>
      <c r="H70" s="60">
        <f>F70-D70</f>
        <v>0</v>
      </c>
      <c r="I70" s="38">
        <f>G70-E70</f>
        <v>-3.9999999804422259E-2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-178192</v>
      </c>
      <c r="F71" s="60">
        <f>'DEN-GL'!D71</f>
        <v>0</v>
      </c>
      <c r="G71" s="38">
        <f>'DEN-GL'!E71</f>
        <v>9099</v>
      </c>
      <c r="H71" s="60">
        <f>F71-D71</f>
        <v>0</v>
      </c>
      <c r="I71" s="38">
        <f>G71-E71</f>
        <v>187291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-176916.9600000002</v>
      </c>
      <c r="F72" s="61">
        <f t="shared" si="13"/>
        <v>0</v>
      </c>
      <c r="G72" s="39">
        <f t="shared" si="13"/>
        <v>10374</v>
      </c>
      <c r="H72" s="61">
        <f t="shared" si="13"/>
        <v>0</v>
      </c>
      <c r="I72" s="39">
        <f t="shared" si="13"/>
        <v>187290.9600000002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-26575</v>
      </c>
      <c r="F74" s="60">
        <f>'DEN-GL'!D74</f>
        <v>0</v>
      </c>
      <c r="G74" s="38">
        <f>'DEN-GL'!E74</f>
        <v>45044.78</v>
      </c>
      <c r="H74" s="60">
        <f t="shared" ref="H74:I79" si="14">F74-D74</f>
        <v>0</v>
      </c>
      <c r="I74" s="38">
        <f t="shared" si="14"/>
        <v>71619.78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-642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642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78632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-78632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-89147.870060864603</v>
      </c>
      <c r="F82" s="109">
        <f>F16+F24+F29+F36+F43+F45+F47+F49</f>
        <v>0</v>
      </c>
      <c r="G82" s="110">
        <f>SUM(G72:G81)+G16+G24+G29+G36+G43+G45+G47+G49+G51+G56+G61+G66</f>
        <v>4676.1700000017881</v>
      </c>
      <c r="H82" s="109">
        <f>H16+H24+H29+H36+H43+H45+H47+H49</f>
        <v>0</v>
      </c>
      <c r="I82" s="110">
        <f>SUM(I72:I81)+I16+I24+I29+I36+I43+I45+I47+I49+I51+I56+I61+I66</f>
        <v>93824.040060865605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67">
        <f>+'DEN-FLSH'!L86</f>
        <v>0</v>
      </c>
      <c r="E86" s="223">
        <f>+'DEN-FLSH'!M86</f>
        <v>-274501</v>
      </c>
      <c r="F86" s="67">
        <f>'DEN-GL'!D86</f>
        <v>0</v>
      </c>
      <c r="G86" s="220">
        <f>'DEN-GL'!E86</f>
        <v>-274731.77</v>
      </c>
      <c r="H86" s="220">
        <f t="shared" ref="H86:I88" si="15">F86-D86</f>
        <v>0</v>
      </c>
      <c r="I86" s="145">
        <f t="shared" si="15"/>
        <v>-230.77000000001863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5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-274501</v>
      </c>
      <c r="F89" s="225">
        <f t="shared" si="16"/>
        <v>0</v>
      </c>
      <c r="G89" s="225">
        <f t="shared" si="16"/>
        <v>-274999.77</v>
      </c>
      <c r="H89" s="160">
        <f t="shared" si="16"/>
        <v>0</v>
      </c>
      <c r="I89" s="160">
        <f t="shared" si="16"/>
        <v>-498.77000000001863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I72" sqref="I72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-24967723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24967723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-25485719</v>
      </c>
      <c r="H13" s="60">
        <f t="shared" ref="H13:I15" si="0">F13-D13</f>
        <v>0</v>
      </c>
      <c r="I13" s="38">
        <f t="shared" si="0"/>
        <v>-25485719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-24967723</v>
      </c>
      <c r="F16" s="61">
        <f t="shared" si="1"/>
        <v>0</v>
      </c>
      <c r="G16" s="39">
        <f t="shared" si="1"/>
        <v>-25485719</v>
      </c>
      <c r="H16" s="61">
        <f t="shared" si="1"/>
        <v>0</v>
      </c>
      <c r="I16" s="39">
        <f t="shared" si="1"/>
        <v>-517996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-258666</v>
      </c>
      <c r="H51" s="60">
        <f>F51-D51</f>
        <v>0</v>
      </c>
      <c r="I51" s="38">
        <f>G51-E51</f>
        <v>-258666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450000</v>
      </c>
      <c r="F60" s="60">
        <f>STG_GL!D60</f>
        <v>0</v>
      </c>
      <c r="G60" s="38">
        <f>STG_GL!E60</f>
        <v>496833</v>
      </c>
      <c r="H60" s="60">
        <f>F60-D60</f>
        <v>0</v>
      </c>
      <c r="I60" s="38">
        <f>G60-E60</f>
        <v>46833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450000</v>
      </c>
      <c r="F61" s="69">
        <f t="shared" si="11"/>
        <v>0</v>
      </c>
      <c r="G61" s="70">
        <f t="shared" si="11"/>
        <v>496833</v>
      </c>
      <c r="H61" s="69">
        <f t="shared" si="11"/>
        <v>0</v>
      </c>
      <c r="I61" s="70">
        <f t="shared" si="11"/>
        <v>46833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98380002</v>
      </c>
      <c r="F70" s="60">
        <f>STG_GL!D70</f>
        <v>0</v>
      </c>
      <c r="G70" s="38">
        <f>STG_GL!E70</f>
        <v>116592294</v>
      </c>
      <c r="H70" s="60">
        <f>F70-D70</f>
        <v>0</v>
      </c>
      <c r="I70" s="38">
        <f>G70-E70</f>
        <v>18212292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-72699523</v>
      </c>
      <c r="F71" s="60">
        <f>STG_GL!D71</f>
        <v>0</v>
      </c>
      <c r="G71" s="38">
        <f>STG_GL!E71</f>
        <v>-91335240.049999997</v>
      </c>
      <c r="H71" s="60">
        <f>F71-D71</f>
        <v>0</v>
      </c>
      <c r="I71" s="38">
        <f>G71-E71</f>
        <v>-18635717.049999997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25680479</v>
      </c>
      <c r="F72" s="69">
        <f t="shared" si="13"/>
        <v>0</v>
      </c>
      <c r="G72" s="70">
        <f t="shared" si="13"/>
        <v>25257053.950000003</v>
      </c>
      <c r="H72" s="69">
        <f t="shared" si="13"/>
        <v>0</v>
      </c>
      <c r="I72" s="70">
        <f t="shared" si="13"/>
        <v>-423425.04999999702</v>
      </c>
    </row>
    <row r="73" spans="1:9" x14ac:dyDescent="0.25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-328270</v>
      </c>
      <c r="F73" s="60">
        <f>STG_GL!D73</f>
        <v>0</v>
      </c>
      <c r="G73" s="38">
        <f>STG_GL!E73</f>
        <v>-909291</v>
      </c>
      <c r="H73" s="60">
        <f>F73-D73</f>
        <v>0</v>
      </c>
      <c r="I73" s="38">
        <f>G73-E73</f>
        <v>-581021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3468797</v>
      </c>
      <c r="F74" s="60">
        <f>STG_GL!D74</f>
        <v>0</v>
      </c>
      <c r="G74" s="38">
        <f>STG_GL!E74</f>
        <v>4337687.4800000004</v>
      </c>
      <c r="H74" s="60">
        <f t="shared" ref="H74:I79" si="14">F74-D74</f>
        <v>0</v>
      </c>
      <c r="I74" s="38">
        <f t="shared" si="14"/>
        <v>868890.48000000045</v>
      </c>
    </row>
    <row r="75" spans="1:9" x14ac:dyDescent="0.25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-909291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909291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-2185</v>
      </c>
      <c r="F76" s="60">
        <f>STG_GL!D76</f>
        <v>0</v>
      </c>
      <c r="G76" s="38">
        <f>STG_GL!E76</f>
        <v>-2158</v>
      </c>
      <c r="H76" s="60">
        <f t="shared" si="14"/>
        <v>0</v>
      </c>
      <c r="I76" s="38">
        <f t="shared" si="14"/>
        <v>27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5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5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-103047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13052</v>
      </c>
    </row>
    <row r="80" spans="1:9" x14ac:dyDescent="0.25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88418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-88418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3814751</v>
      </c>
      <c r="F82" s="109">
        <f>F16+F24+F29+F36+F43+F45+F47+F49</f>
        <v>0</v>
      </c>
      <c r="G82" s="110">
        <f>SUM(G72:G81)+G16+G24+G29+G36+G43+G45+G47+G49+G51+G56+G61+G66</f>
        <v>2969162.4300000034</v>
      </c>
      <c r="H82" s="109">
        <f>H16+H24+H29+H36+H43+H45+H47+H49</f>
        <v>0</v>
      </c>
      <c r="I82" s="110">
        <f>SUM(I72:I81)+I16+I24+I29+I36+I43+I45+I47+I49+I51+I56+I61+I66</f>
        <v>-845588.56999999657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47077931</v>
      </c>
      <c r="E11" s="66">
        <f>ONT_FLSH!M11</f>
        <v>130767443</v>
      </c>
      <c r="F11" s="60">
        <f>'ONT_GL '!D11</f>
        <v>47735779</v>
      </c>
      <c r="G11" s="38">
        <f>'ONT_GL '!E11</f>
        <v>121779831.63000001</v>
      </c>
      <c r="H11" s="60">
        <f>F11-D11</f>
        <v>657848</v>
      </c>
      <c r="I11" s="38">
        <f>G11-E11</f>
        <v>-8987611.3699999899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11259097.26</v>
      </c>
      <c r="H12" s="60">
        <f>F12-D12</f>
        <v>0</v>
      </c>
      <c r="I12" s="38">
        <f>G12-E12</f>
        <v>11259097.26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785883</v>
      </c>
      <c r="E13" s="66">
        <f>ONT_FLSH!M13</f>
        <v>2242884</v>
      </c>
      <c r="F13" s="60">
        <f>'ONT_GL '!D13</f>
        <v>785883</v>
      </c>
      <c r="G13" s="38">
        <f>'ONT_GL '!E13</f>
        <v>2242884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-20150</v>
      </c>
      <c r="H15" s="60">
        <f t="shared" si="0"/>
        <v>0</v>
      </c>
      <c r="I15" s="38">
        <f t="shared" si="0"/>
        <v>-20150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47863814</v>
      </c>
      <c r="E16" s="39">
        <f t="shared" si="1"/>
        <v>133010327</v>
      </c>
      <c r="F16" s="61">
        <f t="shared" si="1"/>
        <v>48521662</v>
      </c>
      <c r="G16" s="39">
        <f t="shared" si="1"/>
        <v>135261662.89000002</v>
      </c>
      <c r="H16" s="61">
        <f t="shared" si="1"/>
        <v>657848</v>
      </c>
      <c r="I16" s="39">
        <f t="shared" si="1"/>
        <v>2251335.8900000099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-46375541</v>
      </c>
      <c r="E19" s="66">
        <f>ONT_FLSH!M19</f>
        <v>-128293510</v>
      </c>
      <c r="F19" s="60">
        <f>'ONT_GL '!D19</f>
        <v>-47008926</v>
      </c>
      <c r="G19" s="38">
        <f>'ONT_GL '!E19</f>
        <v>-121270855.08999999</v>
      </c>
      <c r="H19" s="60">
        <f>F19-D19</f>
        <v>-633385</v>
      </c>
      <c r="I19" s="38">
        <f>G19-E19</f>
        <v>7022654.9100000113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-15950612.970000001</v>
      </c>
      <c r="H20" s="60">
        <f>F20-D20</f>
        <v>0</v>
      </c>
      <c r="I20" s="38">
        <f>G20-E20</f>
        <v>-15950612.970000001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-1501647</v>
      </c>
      <c r="E21" s="66">
        <f>ONT_FLSH!M21</f>
        <v>-4294217</v>
      </c>
      <c r="F21" s="60">
        <f>'ONT_GL '!D21</f>
        <v>-1501647</v>
      </c>
      <c r="G21" s="38">
        <f>'ONT_GL '!E21</f>
        <v>-4294218</v>
      </c>
      <c r="H21" s="60">
        <f t="shared" ref="H21:I23" si="2">F21-D21</f>
        <v>0</v>
      </c>
      <c r="I21" s="38">
        <f t="shared" si="2"/>
        <v>-1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-47877188</v>
      </c>
      <c r="E24" s="39">
        <f t="shared" si="3"/>
        <v>-132587727</v>
      </c>
      <c r="F24" s="61">
        <f t="shared" si="3"/>
        <v>-48510573</v>
      </c>
      <c r="G24" s="39">
        <f t="shared" si="3"/>
        <v>-141515686.06</v>
      </c>
      <c r="H24" s="61">
        <f t="shared" si="3"/>
        <v>-633385</v>
      </c>
      <c r="I24" s="39">
        <f t="shared" si="3"/>
        <v>-8927959.0599999893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937196</v>
      </c>
      <c r="G32" s="38">
        <f>'ONT_GL '!E32</f>
        <v>2014931.9200000006</v>
      </c>
      <c r="H32" s="60">
        <f>F32-D32</f>
        <v>937196</v>
      </c>
      <c r="I32" s="38">
        <f>G32-E32</f>
        <v>2014931.9200000006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937196</v>
      </c>
      <c r="G36" s="39">
        <f t="shared" si="6"/>
        <v>2014931.9200000006</v>
      </c>
      <c r="H36" s="61">
        <f t="shared" si="6"/>
        <v>937196</v>
      </c>
      <c r="I36" s="39">
        <f t="shared" si="6"/>
        <v>2014931.9200000006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13374</v>
      </c>
      <c r="E49" s="66">
        <f>ONT_FLSH!M49</f>
        <v>40389.480000000003</v>
      </c>
      <c r="F49" s="60">
        <f>'ONT_GL '!D49</f>
        <v>-678285</v>
      </c>
      <c r="G49" s="38">
        <f>'ONT_GL '!E49</f>
        <v>-2048420.7000000007</v>
      </c>
      <c r="H49" s="60">
        <f>F49-D49</f>
        <v>-691659</v>
      </c>
      <c r="I49" s="38">
        <f>G49-E49</f>
        <v>-2088810.1800000006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-3371</v>
      </c>
      <c r="F54" s="60">
        <f>'ONT_GL '!D54</f>
        <v>0</v>
      </c>
      <c r="G54" s="38">
        <f>'ONT_GL '!E54</f>
        <v>-100623.67</v>
      </c>
      <c r="H54" s="60">
        <f>F54-D54</f>
        <v>0</v>
      </c>
      <c r="I54" s="38">
        <f>G54-E54</f>
        <v>-97252.67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-3371</v>
      </c>
      <c r="F56" s="61">
        <f t="shared" si="10"/>
        <v>0</v>
      </c>
      <c r="G56" s="39">
        <f t="shared" si="10"/>
        <v>-100623.67</v>
      </c>
      <c r="H56" s="61">
        <f t="shared" si="10"/>
        <v>0</v>
      </c>
      <c r="I56" s="39">
        <f t="shared" si="10"/>
        <v>-97252.67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115486.0210982901</v>
      </c>
      <c r="F70" s="60">
        <f>'ONT_GL '!D70</f>
        <v>0</v>
      </c>
      <c r="G70" s="38">
        <f>'ONT_GL '!E70</f>
        <v>1671626.02</v>
      </c>
      <c r="H70" s="60">
        <f>F70-D70</f>
        <v>0</v>
      </c>
      <c r="I70" s="38">
        <f>G70-E70</f>
        <v>1556139.9989017099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-1556140</v>
      </c>
      <c r="F71" s="60">
        <f>'ONT_GL '!D71</f>
        <v>0</v>
      </c>
      <c r="G71" s="38">
        <f>'ONT_GL '!E71</f>
        <v>-3112279.52</v>
      </c>
      <c r="H71" s="60">
        <f>F71-D71</f>
        <v>0</v>
      </c>
      <c r="I71" s="38">
        <f>G71-E71</f>
        <v>-1556139.52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-1440653.9789017099</v>
      </c>
      <c r="F72" s="69">
        <f t="shared" si="13"/>
        <v>0</v>
      </c>
      <c r="G72" s="70">
        <f t="shared" si="13"/>
        <v>-1440653.5</v>
      </c>
      <c r="H72" s="69">
        <f t="shared" si="13"/>
        <v>0</v>
      </c>
      <c r="I72" s="70">
        <f t="shared" si="13"/>
        <v>0.47890170989558101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1134514.5018000002</v>
      </c>
      <c r="F74" s="60">
        <f>'ONT_GL '!D74</f>
        <v>0</v>
      </c>
      <c r="G74" s="38">
        <f>'ONT_GL '!E74</f>
        <v>4422612.8599999994</v>
      </c>
      <c r="H74" s="60">
        <f t="shared" ref="H74:I79" si="14">F74-D74</f>
        <v>0</v>
      </c>
      <c r="I74" s="38">
        <f t="shared" si="14"/>
        <v>3288098.3581999992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-198</v>
      </c>
      <c r="F76" s="60">
        <f>'ONT_GL '!D76</f>
        <v>0</v>
      </c>
      <c r="G76" s="38">
        <f>'ONT_GL '!E76</f>
        <v>-474.79</v>
      </c>
      <c r="H76" s="60">
        <f t="shared" si="14"/>
        <v>0</v>
      </c>
      <c r="I76" s="38">
        <f t="shared" si="14"/>
        <v>-276.79000000000002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-3412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3412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149869.00289828659</v>
      </c>
      <c r="F82" s="109">
        <f>F16+F24+F29+F36+F43+F45+F47+F49</f>
        <v>270000</v>
      </c>
      <c r="G82" s="110">
        <f>SUM(G72:G81)+G16+G24+G29+G36+G43+G45+G47+G49+G51+G56+G61+G66</f>
        <v>-3406651.0499999942</v>
      </c>
      <c r="H82" s="109">
        <f>H16+H24+H29+H36+H43+H45+H47+H49</f>
        <v>270000</v>
      </c>
      <c r="I82" s="110">
        <f>SUM(I72:I81)+I16+I24+I29+I36+I43+I45+I47+I49+I51+I56+I61+I66</f>
        <v>-3556520.0528982701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ONT_FLSH!L86</f>
        <v>0</v>
      </c>
      <c r="E86" s="145">
        <f>ONT_FLSH!M86</f>
        <v>166051</v>
      </c>
      <c r="F86" s="145">
        <f>'ONT_GL '!D86</f>
        <v>0</v>
      </c>
      <c r="G86" s="145">
        <f>'ONT_GL '!E86</f>
        <v>203566.51</v>
      </c>
      <c r="H86" s="145">
        <f t="shared" ref="H86:I88" si="15">F86-D86</f>
        <v>0</v>
      </c>
      <c r="I86" s="145">
        <f t="shared" si="15"/>
        <v>37515.510000000009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-37567</v>
      </c>
      <c r="H87" s="146">
        <f t="shared" si="15"/>
        <v>0</v>
      </c>
      <c r="I87" s="146">
        <f t="shared" si="15"/>
        <v>-37567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166051</v>
      </c>
      <c r="F89" s="160">
        <f t="shared" si="16"/>
        <v>0</v>
      </c>
      <c r="G89" s="160">
        <f t="shared" si="16"/>
        <v>165999.51</v>
      </c>
      <c r="H89" s="160">
        <f t="shared" si="16"/>
        <v>0</v>
      </c>
      <c r="I89" s="160">
        <f t="shared" si="16"/>
        <v>-51.489999999990687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315920.00289828656</v>
      </c>
      <c r="F91" s="160">
        <f t="shared" si="17"/>
        <v>270000</v>
      </c>
      <c r="G91" s="160">
        <f t="shared" si="17"/>
        <v>-3240651.5399999944</v>
      </c>
      <c r="H91" s="160">
        <f t="shared" si="17"/>
        <v>270000</v>
      </c>
      <c r="I91" s="160">
        <f t="shared" si="17"/>
        <v>-3556571.5428982703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0003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14226270</v>
      </c>
      <c r="E11" s="66">
        <f>BUG_FLSH!E11</f>
        <v>31901265</v>
      </c>
      <c r="F11" s="60">
        <f>BUG_GL!D11</f>
        <v>14758347</v>
      </c>
      <c r="G11" s="38">
        <f>BUG_GL!E11</f>
        <v>37732838.689999998</v>
      </c>
      <c r="H11" s="60">
        <f>F11-D11</f>
        <v>532077</v>
      </c>
      <c r="I11" s="38">
        <f>G11-E11</f>
        <v>5831573.6899999976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36325908</v>
      </c>
      <c r="E13" s="66">
        <f>BUG_FLSH!E13</f>
        <v>109577788</v>
      </c>
      <c r="F13" s="60">
        <f>BUG_GL!D13</f>
        <v>36325908</v>
      </c>
      <c r="G13" s="38">
        <f>BUG_GL!E13</f>
        <v>109577788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10479428</v>
      </c>
      <c r="F15" s="60">
        <f>BUG_GL!D15</f>
        <v>0</v>
      </c>
      <c r="G15" s="38">
        <f>BUG_GL!E15</f>
        <v>10445012.469999999</v>
      </c>
      <c r="H15" s="60">
        <f t="shared" si="0"/>
        <v>0</v>
      </c>
      <c r="I15" s="38">
        <f t="shared" si="0"/>
        <v>-34415.530000001192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50552178</v>
      </c>
      <c r="E16" s="39">
        <f t="shared" si="1"/>
        <v>151958481</v>
      </c>
      <c r="F16" s="61">
        <f t="shared" si="1"/>
        <v>51084255</v>
      </c>
      <c r="G16" s="39">
        <f t="shared" si="1"/>
        <v>157755639.16</v>
      </c>
      <c r="H16" s="61">
        <f t="shared" si="1"/>
        <v>532077</v>
      </c>
      <c r="I16" s="39">
        <f t="shared" si="1"/>
        <v>5797158.1599999964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-8013120</v>
      </c>
      <c r="E19" s="66">
        <f>BUG_FLSH!E19</f>
        <v>-19229332</v>
      </c>
      <c r="F19" s="60">
        <f>BUG_GL!D19</f>
        <v>-11065474</v>
      </c>
      <c r="G19" s="38">
        <f>BUG_GL!E19</f>
        <v>-36370373.759999998</v>
      </c>
      <c r="H19" s="60">
        <f>F19-D19</f>
        <v>-3052354</v>
      </c>
      <c r="I19" s="38">
        <f>G19-E19</f>
        <v>-17141041.759999998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11890740.5</v>
      </c>
      <c r="H20" s="60">
        <f>F20-D20</f>
        <v>0</v>
      </c>
      <c r="I20" s="38">
        <f>G20-E20</f>
        <v>11890740.5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-37748857</v>
      </c>
      <c r="E21" s="66">
        <f>BUG_FLSH!E21</f>
        <v>-111127606</v>
      </c>
      <c r="F21" s="60">
        <f>BUG_GL!D21</f>
        <v>-37748857</v>
      </c>
      <c r="G21" s="38">
        <f>BUG_GL!E21</f>
        <v>-111127607</v>
      </c>
      <c r="H21" s="60">
        <f t="shared" ref="H21:I23" si="2">F21-D21</f>
        <v>0</v>
      </c>
      <c r="I21" s="38">
        <f t="shared" si="2"/>
        <v>-1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622881</v>
      </c>
      <c r="E23" s="66">
        <f>BUG_FLSH!E23</f>
        <v>1746429</v>
      </c>
      <c r="F23" s="60">
        <f>BUG_GL!D23</f>
        <v>622895</v>
      </c>
      <c r="G23" s="38">
        <f>BUG_GL!E23</f>
        <v>1637591</v>
      </c>
      <c r="H23" s="60">
        <f t="shared" si="2"/>
        <v>14</v>
      </c>
      <c r="I23" s="38">
        <f t="shared" si="2"/>
        <v>-108838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-45139096</v>
      </c>
      <c r="E24" s="39">
        <f t="shared" si="3"/>
        <v>-128610509</v>
      </c>
      <c r="F24" s="61">
        <f t="shared" si="3"/>
        <v>-48191436</v>
      </c>
      <c r="G24" s="39">
        <f t="shared" si="3"/>
        <v>-133969649.25999999</v>
      </c>
      <c r="H24" s="61">
        <f t="shared" si="3"/>
        <v>-3052340</v>
      </c>
      <c r="I24" s="39">
        <f t="shared" si="3"/>
        <v>-5359140.2599999979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299827</v>
      </c>
      <c r="E39" s="66">
        <f>BUG_FLSH!E39</f>
        <v>879007</v>
      </c>
      <c r="F39" s="60">
        <f>BUG_GL!D39</f>
        <v>240863</v>
      </c>
      <c r="G39" s="38">
        <f>BUG_GL!E39</f>
        <v>646717.16</v>
      </c>
      <c r="H39" s="60">
        <f t="shared" ref="H39:I41" si="7">F39-D39</f>
        <v>-58964</v>
      </c>
      <c r="I39" s="38">
        <f t="shared" si="7"/>
        <v>-232289.83999999997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-5862146</v>
      </c>
      <c r="E40" s="66">
        <f>BUG_FLSH!E40</f>
        <v>-11029269</v>
      </c>
      <c r="F40" s="60">
        <f>BUG_GL!D40</f>
        <v>-2990395</v>
      </c>
      <c r="G40" s="38">
        <f>BUG_GL!E40</f>
        <v>-7334747.5700000003</v>
      </c>
      <c r="H40" s="60">
        <f t="shared" si="7"/>
        <v>2871751</v>
      </c>
      <c r="I40" s="38">
        <f t="shared" si="7"/>
        <v>3694521.4299999997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-5862146</v>
      </c>
      <c r="E42" s="70">
        <f t="shared" si="8"/>
        <v>-11029269</v>
      </c>
      <c r="F42" s="69">
        <f t="shared" si="8"/>
        <v>-2990395</v>
      </c>
      <c r="G42" s="70">
        <f t="shared" si="8"/>
        <v>-7334747.5700000003</v>
      </c>
      <c r="H42" s="69">
        <f t="shared" si="8"/>
        <v>2871751</v>
      </c>
      <c r="I42" s="70">
        <f t="shared" si="8"/>
        <v>3694521.4299999997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-5562319</v>
      </c>
      <c r="E43" s="39">
        <f t="shared" si="9"/>
        <v>-10150262</v>
      </c>
      <c r="F43" s="61">
        <f t="shared" si="9"/>
        <v>-2749532</v>
      </c>
      <c r="G43" s="39">
        <f t="shared" si="9"/>
        <v>-6688030.4100000001</v>
      </c>
      <c r="H43" s="61">
        <f t="shared" si="9"/>
        <v>2812787</v>
      </c>
      <c r="I43" s="39">
        <f t="shared" si="9"/>
        <v>3462231.59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149237</v>
      </c>
      <c r="E49" s="66">
        <f>BUG_FLSH!E49</f>
        <v>392344.07299999997</v>
      </c>
      <c r="F49" s="60">
        <f>BUG_GL!D49</f>
        <v>-143287</v>
      </c>
      <c r="G49" s="38">
        <f>BUG_GL!E49</f>
        <v>-376701.4709999999</v>
      </c>
      <c r="H49" s="60">
        <f>F49-D49</f>
        <v>-292524</v>
      </c>
      <c r="I49" s="38">
        <f>G49-E49</f>
        <v>-769045.54399999988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-622881</v>
      </c>
      <c r="E51" s="66">
        <f>BUG_FLSH!E51</f>
        <v>-1746429</v>
      </c>
      <c r="F51" s="60">
        <f>BUG_GL!D51</f>
        <v>-622895</v>
      </c>
      <c r="G51" s="38">
        <f>BUG_GL!E51</f>
        <v>-1637590.9550000001</v>
      </c>
      <c r="H51" s="60">
        <f>F51-D51</f>
        <v>-14</v>
      </c>
      <c r="I51" s="38">
        <f>G51-E51</f>
        <v>108838.04499999993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-1132053</v>
      </c>
      <c r="F54" s="60">
        <f>BUG_GL!D54</f>
        <v>-22476875</v>
      </c>
      <c r="G54" s="38">
        <f>BUG_GL!E54</f>
        <v>-766856.64999999991</v>
      </c>
      <c r="H54" s="60">
        <f>F54-D54</f>
        <v>-22476875</v>
      </c>
      <c r="I54" s="38">
        <f>G54-E54</f>
        <v>365196.35000000009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-10479428</v>
      </c>
      <c r="F55" s="60">
        <f>BUG_GL!D55</f>
        <v>0</v>
      </c>
      <c r="G55" s="38">
        <f>BUG_GL!E55</f>
        <v>-10503038.139999999</v>
      </c>
      <c r="H55" s="60">
        <f>F55-D55</f>
        <v>0</v>
      </c>
      <c r="I55" s="38">
        <f>G55-E55</f>
        <v>-23610.139999998733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-11611481</v>
      </c>
      <c r="F56" s="61">
        <f t="shared" si="10"/>
        <v>-22476875</v>
      </c>
      <c r="G56" s="39">
        <f t="shared" si="10"/>
        <v>-11269894.789999999</v>
      </c>
      <c r="H56" s="61">
        <f t="shared" si="10"/>
        <v>-22476875</v>
      </c>
      <c r="I56" s="39">
        <f t="shared" si="10"/>
        <v>341586.21000000136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-649880.27089920244</v>
      </c>
      <c r="F70" s="60">
        <f>BUG_GL!D70</f>
        <v>0</v>
      </c>
      <c r="G70" s="38">
        <f>BUG_GL!E70</f>
        <v>-649880.27</v>
      </c>
      <c r="H70" s="60">
        <f>F70-D70</f>
        <v>0</v>
      </c>
      <c r="I70" s="38">
        <f>G70-E70</f>
        <v>8.9920242317020893E-4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2467845</v>
      </c>
      <c r="F71" s="60">
        <f>BUG_GL!D71</f>
        <v>0</v>
      </c>
      <c r="G71" s="38">
        <f>BUG_GL!E71</f>
        <v>2467844.79</v>
      </c>
      <c r="H71" s="60">
        <f>F71-D71</f>
        <v>0</v>
      </c>
      <c r="I71" s="38">
        <f>G71-E71</f>
        <v>-0.2099999999627471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1817964.7291007976</v>
      </c>
      <c r="F72" s="69">
        <f t="shared" si="13"/>
        <v>0</v>
      </c>
      <c r="G72" s="70">
        <f t="shared" si="13"/>
        <v>1817964.52</v>
      </c>
      <c r="H72" s="69">
        <f t="shared" si="13"/>
        <v>0</v>
      </c>
      <c r="I72" s="70">
        <f t="shared" si="13"/>
        <v>-0.20910079753957689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-1773854.5</v>
      </c>
      <c r="F74" s="60">
        <f>BUG_GL!D74</f>
        <v>0</v>
      </c>
      <c r="G74" s="38">
        <f>BUG_GL!E74</f>
        <v>-3806765.99</v>
      </c>
      <c r="H74" s="60">
        <f t="shared" ref="H74:I79" si="14">F74-D74</f>
        <v>0</v>
      </c>
      <c r="I74" s="38">
        <f t="shared" si="14"/>
        <v>-2032911.4900000002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-543798.11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543798.11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-267543.80789919011</v>
      </c>
      <c r="F82" s="109">
        <f>F16+F24+F29+F36+F43+F45+F47+F49</f>
        <v>0</v>
      </c>
      <c r="G82" s="110">
        <f>SUM(G72:G81)+G16+G24+G29+G36+G43+G45+G47+G49+G51+G56+G61+G66</f>
        <v>1824970.804000007</v>
      </c>
      <c r="H82" s="109">
        <f>H16+H24+H29+H36+H43+H45+H47+H49</f>
        <v>0</v>
      </c>
      <c r="I82" s="110">
        <f>SUM(I72:I81)+I16+I24+I29+I36+I43+I45+I47+I49+I51+I56+I61+I66</f>
        <v>2092514.6118992022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L633" workbookViewId="0">
      <selection activeCell="S651" sqref="S651"/>
    </sheetView>
  </sheetViews>
  <sheetFormatPr defaultColWidth="9.109375" defaultRowHeight="13.2" x14ac:dyDescent="0.25"/>
  <cols>
    <col min="1" max="2" width="9.109375" style="33"/>
    <col min="3" max="3" width="7.88671875" style="33" customWidth="1"/>
    <col min="4" max="4" width="25.33203125" style="33" customWidth="1"/>
    <col min="5" max="6" width="13.5546875" style="204" customWidth="1"/>
    <col min="7" max="7" width="12" style="201" customWidth="1"/>
    <col min="8" max="8" width="12.33203125" style="33" customWidth="1"/>
    <col min="9" max="9" width="12.44140625" style="201" customWidth="1"/>
    <col min="10" max="10" width="11.33203125" style="33" customWidth="1"/>
    <col min="11" max="11" width="16.44140625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18" width="9.109375" style="33"/>
    <col min="19" max="19" width="19.88671875" style="33" customWidth="1"/>
    <col min="20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5">
        <v>36586</v>
      </c>
      <c r="F1" s="195"/>
      <c r="G1" s="196">
        <f>+E1+31</f>
        <v>36617</v>
      </c>
      <c r="H1" s="196"/>
      <c r="I1" s="196">
        <f>+G1+30</f>
        <v>36647</v>
      </c>
      <c r="J1" s="196"/>
      <c r="K1" s="190">
        <f>+I1+31</f>
        <v>36678</v>
      </c>
      <c r="L1" s="190"/>
      <c r="M1" s="190">
        <f>+K1+31</f>
        <v>36709</v>
      </c>
      <c r="N1" s="190"/>
      <c r="O1" s="190">
        <f>+M1+30</f>
        <v>36739</v>
      </c>
      <c r="P1" s="190"/>
      <c r="Q1" s="190">
        <f>+O1+31</f>
        <v>36770</v>
      </c>
      <c r="R1" s="190"/>
      <c r="S1" s="190">
        <f>+Q1+31</f>
        <v>36801</v>
      </c>
      <c r="T1" s="190"/>
      <c r="U1" s="190">
        <f>+S1+31</f>
        <v>36832</v>
      </c>
      <c r="V1" s="190"/>
      <c r="W1" s="190">
        <f>+U1+31</f>
        <v>36863</v>
      </c>
      <c r="X1" s="190"/>
      <c r="Y1" s="190">
        <f>+W1+31</f>
        <v>36894</v>
      </c>
      <c r="Z1" s="190"/>
      <c r="AA1" s="190">
        <f>+Y1+31</f>
        <v>36925</v>
      </c>
      <c r="AB1" s="190"/>
      <c r="AC1" s="190">
        <f>+AA1+31</f>
        <v>36956</v>
      </c>
      <c r="AD1" s="190"/>
      <c r="AE1" s="190">
        <f>+AC1+31</f>
        <v>36987</v>
      </c>
      <c r="AF1" s="190"/>
      <c r="AG1" s="190"/>
      <c r="AH1" s="190"/>
    </row>
    <row r="2" spans="1:118" x14ac:dyDescent="0.25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5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217</v>
      </c>
      <c r="F3" s="197" t="s">
        <v>218</v>
      </c>
      <c r="G3" s="203" t="s">
        <v>217</v>
      </c>
      <c r="H3" s="197" t="s">
        <v>218</v>
      </c>
      <c r="I3" s="203" t="s">
        <v>217</v>
      </c>
      <c r="J3" s="197" t="s">
        <v>218</v>
      </c>
      <c r="K3" s="198" t="s">
        <v>217</v>
      </c>
      <c r="L3" s="197" t="s">
        <v>218</v>
      </c>
      <c r="M3" s="198" t="s">
        <v>213</v>
      </c>
      <c r="N3" s="197" t="s">
        <v>214</v>
      </c>
      <c r="O3" s="198" t="s">
        <v>122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5">
      <c r="A4" s="114" t="s">
        <v>123</v>
      </c>
      <c r="B4" s="114" t="s">
        <v>124</v>
      </c>
      <c r="C4" s="115">
        <v>1</v>
      </c>
      <c r="D4" s="114" t="s">
        <v>25</v>
      </c>
      <c r="E4" s="200">
        <v>134382</v>
      </c>
      <c r="F4" s="199">
        <v>352215.22</v>
      </c>
      <c r="G4" s="200">
        <v>694</v>
      </c>
      <c r="H4" s="199">
        <v>1818.98</v>
      </c>
      <c r="I4" s="200">
        <v>0</v>
      </c>
      <c r="J4" s="199">
        <v>0</v>
      </c>
      <c r="K4" s="199">
        <v>0</v>
      </c>
      <c r="L4" s="199">
        <v>0</v>
      </c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5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>
        <v>0</v>
      </c>
      <c r="J5" s="199">
        <v>0</v>
      </c>
      <c r="K5" s="199">
        <v>0</v>
      </c>
      <c r="L5" s="199">
        <v>0</v>
      </c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5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>
        <v>0</v>
      </c>
      <c r="J6" s="199">
        <v>0</v>
      </c>
      <c r="K6" s="199">
        <v>0</v>
      </c>
      <c r="L6" s="199">
        <v>0</v>
      </c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5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>
        <v>0</v>
      </c>
      <c r="J7" s="199">
        <v>0</v>
      </c>
      <c r="K7" s="199">
        <v>0</v>
      </c>
      <c r="L7" s="199">
        <v>0</v>
      </c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5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>
        <v>0</v>
      </c>
      <c r="J8" s="199">
        <v>0</v>
      </c>
      <c r="K8" s="199">
        <v>0</v>
      </c>
      <c r="L8" s="199">
        <v>0</v>
      </c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5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>
        <v>0</v>
      </c>
      <c r="J9" s="199">
        <v>0</v>
      </c>
      <c r="K9" s="199">
        <v>0</v>
      </c>
      <c r="L9" s="199">
        <v>0</v>
      </c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5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>
        <v>0</v>
      </c>
      <c r="J10" s="199">
        <v>0</v>
      </c>
      <c r="K10" s="199">
        <v>0</v>
      </c>
      <c r="L10" s="199">
        <v>0</v>
      </c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5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>
        <v>0</v>
      </c>
      <c r="J11" s="199">
        <v>0</v>
      </c>
      <c r="K11" s="199">
        <v>0</v>
      </c>
      <c r="L11" s="199">
        <v>0</v>
      </c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5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>
        <v>0</v>
      </c>
      <c r="J12" s="199">
        <v>0</v>
      </c>
      <c r="K12" s="199">
        <v>0</v>
      </c>
      <c r="L12" s="199">
        <v>0</v>
      </c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5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>
        <v>0</v>
      </c>
      <c r="J13" s="199">
        <v>0</v>
      </c>
      <c r="K13" s="199">
        <v>0</v>
      </c>
      <c r="L13" s="199">
        <v>0</v>
      </c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5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>
        <v>0</v>
      </c>
      <c r="J14" s="199">
        <v>0</v>
      </c>
      <c r="K14" s="199">
        <v>0</v>
      </c>
      <c r="L14" s="199">
        <v>0</v>
      </c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5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-134382</v>
      </c>
      <c r="F15" s="199">
        <v>-349393.2</v>
      </c>
      <c r="G15" s="200">
        <v>-694</v>
      </c>
      <c r="H15" s="199">
        <v>-1804.4</v>
      </c>
      <c r="I15" s="200">
        <v>0</v>
      </c>
      <c r="J15" s="199">
        <v>0</v>
      </c>
      <c r="K15" s="199">
        <v>0</v>
      </c>
      <c r="L15" s="199">
        <v>0</v>
      </c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5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>
        <v>0</v>
      </c>
      <c r="J16" s="199">
        <v>0</v>
      </c>
      <c r="K16" s="199">
        <v>0</v>
      </c>
      <c r="L16" s="199">
        <v>0</v>
      </c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5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>
        <v>0</v>
      </c>
      <c r="J17" s="199">
        <v>0</v>
      </c>
      <c r="K17" s="199">
        <v>0</v>
      </c>
      <c r="L17" s="199">
        <v>0</v>
      </c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5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>
        <v>0</v>
      </c>
      <c r="J18" s="199">
        <v>0</v>
      </c>
      <c r="K18" s="199">
        <v>0</v>
      </c>
      <c r="L18" s="199">
        <v>0</v>
      </c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5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>
        <v>0</v>
      </c>
      <c r="J19" s="199">
        <v>0</v>
      </c>
      <c r="K19" s="199">
        <v>0</v>
      </c>
      <c r="L19" s="199">
        <v>0</v>
      </c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5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>
        <v>0</v>
      </c>
      <c r="J20" s="199">
        <v>0</v>
      </c>
      <c r="K20" s="199">
        <v>0</v>
      </c>
      <c r="L20" s="199">
        <v>0</v>
      </c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5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>
        <v>0</v>
      </c>
      <c r="J21" s="199">
        <v>0</v>
      </c>
      <c r="K21" s="199">
        <v>0</v>
      </c>
      <c r="L21" s="199">
        <v>0</v>
      </c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5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>
        <v>0</v>
      </c>
      <c r="J22" s="199">
        <v>0</v>
      </c>
      <c r="K22" s="199">
        <v>0</v>
      </c>
      <c r="L22" s="199">
        <v>0</v>
      </c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5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>
        <v>0</v>
      </c>
      <c r="J23" s="199">
        <v>0</v>
      </c>
      <c r="K23" s="199">
        <v>0</v>
      </c>
      <c r="L23" s="199">
        <v>0</v>
      </c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5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>
        <v>0</v>
      </c>
      <c r="J24" s="199">
        <v>25064.6</v>
      </c>
      <c r="K24" s="199">
        <v>0</v>
      </c>
      <c r="L24" s="199">
        <v>0</v>
      </c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5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>
        <v>0</v>
      </c>
      <c r="J25" s="199">
        <v>0</v>
      </c>
      <c r="K25" s="199">
        <v>0</v>
      </c>
      <c r="L25" s="199">
        <v>0</v>
      </c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5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>
        <v>0</v>
      </c>
      <c r="J26" s="199">
        <v>0</v>
      </c>
      <c r="K26" s="199">
        <v>0</v>
      </c>
      <c r="L26" s="199">
        <v>0</v>
      </c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5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>
        <v>0</v>
      </c>
      <c r="J27" s="199">
        <v>0</v>
      </c>
      <c r="K27" s="199">
        <v>0</v>
      </c>
      <c r="L27" s="199">
        <v>0</v>
      </c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5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>
        <v>0</v>
      </c>
      <c r="J28" s="199">
        <v>0</v>
      </c>
      <c r="K28" s="199">
        <v>0</v>
      </c>
      <c r="L28" s="199">
        <v>0</v>
      </c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5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>
        <v>0</v>
      </c>
      <c r="J29" s="199">
        <v>0</v>
      </c>
      <c r="K29" s="199">
        <v>0</v>
      </c>
      <c r="L29" s="199">
        <v>0</v>
      </c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5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>
        <v>0</v>
      </c>
      <c r="J30" s="199">
        <v>0</v>
      </c>
      <c r="K30" s="199">
        <v>0</v>
      </c>
      <c r="L30" s="199">
        <v>0</v>
      </c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5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>
        <v>0</v>
      </c>
      <c r="J31" s="199">
        <v>0</v>
      </c>
      <c r="K31" s="199">
        <v>0</v>
      </c>
      <c r="L31" s="199">
        <v>0</v>
      </c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5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>
        <v>0</v>
      </c>
      <c r="J32" s="199">
        <v>0</v>
      </c>
      <c r="K32" s="199">
        <v>0</v>
      </c>
      <c r="L32" s="199">
        <v>0</v>
      </c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5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>
        <v>0</v>
      </c>
      <c r="J33" s="199">
        <v>0</v>
      </c>
      <c r="K33" s="199">
        <v>0</v>
      </c>
      <c r="L33" s="199">
        <v>0</v>
      </c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5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>
        <v>0</v>
      </c>
      <c r="J34" s="199">
        <v>0</v>
      </c>
      <c r="K34" s="199">
        <v>0</v>
      </c>
      <c r="L34" s="199">
        <v>0</v>
      </c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5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>
        <v>0</v>
      </c>
      <c r="J35" s="199">
        <v>0</v>
      </c>
      <c r="K35" s="199">
        <v>0</v>
      </c>
      <c r="L35" s="199">
        <v>0</v>
      </c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5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>
        <v>0</v>
      </c>
      <c r="J36" s="199">
        <v>0</v>
      </c>
      <c r="K36" s="199">
        <v>0</v>
      </c>
      <c r="L36" s="199">
        <v>0</v>
      </c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5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>
        <v>0</v>
      </c>
      <c r="J37" s="199">
        <v>0</v>
      </c>
      <c r="K37" s="199">
        <v>0</v>
      </c>
      <c r="L37" s="199">
        <v>0</v>
      </c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5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>
        <v>0</v>
      </c>
      <c r="J38" s="199">
        <v>0</v>
      </c>
      <c r="K38" s="199">
        <v>0</v>
      </c>
      <c r="L38" s="199">
        <v>0</v>
      </c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5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>
        <v>0</v>
      </c>
      <c r="J39" s="199">
        <v>0</v>
      </c>
      <c r="K39" s="199">
        <v>0</v>
      </c>
      <c r="L39" s="199">
        <v>0</v>
      </c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5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>
        <v>0</v>
      </c>
      <c r="J40" s="199">
        <v>0</v>
      </c>
      <c r="K40" s="199">
        <v>0</v>
      </c>
      <c r="L40" s="199">
        <v>0</v>
      </c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5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>
        <v>0</v>
      </c>
      <c r="J41" s="199">
        <v>0</v>
      </c>
      <c r="K41" s="199">
        <v>0</v>
      </c>
      <c r="L41" s="199">
        <v>0</v>
      </c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5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>
        <v>0</v>
      </c>
      <c r="J42" s="199">
        <v>0</v>
      </c>
      <c r="K42" s="199">
        <v>0</v>
      </c>
      <c r="L42" s="199">
        <v>0</v>
      </c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5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>
        <v>0</v>
      </c>
      <c r="J43" s="199">
        <v>0</v>
      </c>
      <c r="K43" s="199">
        <v>0</v>
      </c>
      <c r="L43" s="199">
        <v>0</v>
      </c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5">
      <c r="A44" s="33" t="s">
        <v>138</v>
      </c>
      <c r="B44" s="33" t="s">
        <v>150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-19778.919999999998</v>
      </c>
      <c r="I44" s="200">
        <v>0</v>
      </c>
      <c r="J44" s="199">
        <v>0</v>
      </c>
      <c r="K44" s="199">
        <v>0</v>
      </c>
      <c r="L44" s="199">
        <v>0</v>
      </c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5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>
        <v>0</v>
      </c>
      <c r="J45" s="199">
        <v>0</v>
      </c>
      <c r="K45" s="199">
        <v>0</v>
      </c>
      <c r="L45" s="199">
        <v>0</v>
      </c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5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>
        <v>0</v>
      </c>
      <c r="J46" s="199">
        <v>0</v>
      </c>
      <c r="K46" s="199">
        <v>0</v>
      </c>
      <c r="L46" s="199">
        <v>0</v>
      </c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5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>
        <v>0</v>
      </c>
      <c r="J47" s="199">
        <v>0</v>
      </c>
      <c r="K47" s="199">
        <v>0</v>
      </c>
      <c r="L47" s="199">
        <v>0</v>
      </c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5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>
        <v>0</v>
      </c>
      <c r="J48" s="199">
        <v>0</v>
      </c>
      <c r="K48" s="199">
        <v>0</v>
      </c>
      <c r="L48" s="199">
        <v>0</v>
      </c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5">
      <c r="A49" s="33" t="s">
        <v>138</v>
      </c>
      <c r="B49" s="33" t="s">
        <v>150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>
        <v>0</v>
      </c>
      <c r="J49" s="199">
        <v>0</v>
      </c>
      <c r="K49" s="199">
        <v>0</v>
      </c>
      <c r="L49" s="199">
        <v>0</v>
      </c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5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>
        <v>0</v>
      </c>
      <c r="J50" s="199">
        <v>0</v>
      </c>
      <c r="K50" s="199">
        <v>0</v>
      </c>
      <c r="L50" s="199">
        <v>0</v>
      </c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5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>
        <v>0</v>
      </c>
      <c r="J51" s="199">
        <v>0</v>
      </c>
      <c r="K51" s="199">
        <v>0</v>
      </c>
      <c r="L51" s="199">
        <v>0</v>
      </c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5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>
        <v>0</v>
      </c>
      <c r="J52" s="199">
        <v>0</v>
      </c>
      <c r="K52" s="199">
        <v>0</v>
      </c>
      <c r="L52" s="199">
        <v>0</v>
      </c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5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>
        <v>0</v>
      </c>
      <c r="J53" s="199">
        <v>0</v>
      </c>
      <c r="K53" s="199">
        <v>0</v>
      </c>
      <c r="L53" s="199">
        <v>0</v>
      </c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5">
      <c r="A54" s="33" t="s">
        <v>138</v>
      </c>
      <c r="B54" s="33" t="s">
        <v>150</v>
      </c>
      <c r="C54" s="33">
        <v>11</v>
      </c>
      <c r="D54" s="33" t="s">
        <v>35</v>
      </c>
      <c r="E54" s="200">
        <v>0</v>
      </c>
      <c r="F54" s="199">
        <v>0</v>
      </c>
      <c r="G54" s="200">
        <v>0</v>
      </c>
      <c r="H54" s="199">
        <v>0</v>
      </c>
      <c r="I54" s="200">
        <v>0</v>
      </c>
      <c r="J54" s="199">
        <v>0</v>
      </c>
      <c r="K54" s="199">
        <v>0</v>
      </c>
      <c r="L54" s="199">
        <v>0</v>
      </c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5">
      <c r="A55" s="33" t="s">
        <v>138</v>
      </c>
      <c r="B55" s="33" t="s">
        <v>150</v>
      </c>
      <c r="C55" s="33">
        <v>12</v>
      </c>
      <c r="D55" s="33" t="s">
        <v>36</v>
      </c>
      <c r="E55" s="200">
        <v>0</v>
      </c>
      <c r="F55" s="199">
        <v>0</v>
      </c>
      <c r="G55" s="200">
        <v>0</v>
      </c>
      <c r="H55" s="199">
        <v>0</v>
      </c>
      <c r="I55" s="200">
        <v>0</v>
      </c>
      <c r="J55" s="199">
        <v>0</v>
      </c>
      <c r="K55" s="199">
        <v>0</v>
      </c>
      <c r="L55" s="199">
        <v>0</v>
      </c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5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0</v>
      </c>
      <c r="H56" s="199">
        <v>0</v>
      </c>
      <c r="I56" s="200">
        <v>0</v>
      </c>
      <c r="J56" s="199">
        <v>0</v>
      </c>
      <c r="K56" s="199">
        <v>0</v>
      </c>
      <c r="L56" s="199">
        <v>0</v>
      </c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5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>
        <v>0</v>
      </c>
      <c r="J57" s="199">
        <v>0</v>
      </c>
      <c r="K57" s="199">
        <v>0</v>
      </c>
      <c r="L57" s="199">
        <v>0</v>
      </c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5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>
        <v>0</v>
      </c>
      <c r="J58" s="199">
        <v>0</v>
      </c>
      <c r="K58" s="199">
        <v>0</v>
      </c>
      <c r="L58" s="199">
        <v>0</v>
      </c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5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>
        <v>0</v>
      </c>
      <c r="J59" s="199">
        <v>0</v>
      </c>
      <c r="K59" s="199">
        <v>0</v>
      </c>
      <c r="L59" s="199">
        <v>0</v>
      </c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5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0</v>
      </c>
      <c r="H60" s="199">
        <v>0</v>
      </c>
      <c r="I60" s="200">
        <v>0</v>
      </c>
      <c r="J60" s="199">
        <v>0</v>
      </c>
      <c r="K60" s="199">
        <v>0</v>
      </c>
      <c r="L60" s="199">
        <v>0</v>
      </c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5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0</v>
      </c>
      <c r="H61" s="199">
        <v>0</v>
      </c>
      <c r="I61" s="200">
        <v>0</v>
      </c>
      <c r="J61" s="199">
        <v>0</v>
      </c>
      <c r="K61" s="199">
        <v>0</v>
      </c>
      <c r="L61" s="199">
        <v>0</v>
      </c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5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>
        <v>0</v>
      </c>
      <c r="J62" s="199">
        <v>0</v>
      </c>
      <c r="K62" s="199">
        <v>0</v>
      </c>
      <c r="L62" s="199">
        <v>0</v>
      </c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5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0</v>
      </c>
      <c r="H63" s="199">
        <v>0</v>
      </c>
      <c r="I63" s="200">
        <v>0</v>
      </c>
      <c r="J63" s="199">
        <v>0</v>
      </c>
      <c r="K63" s="199">
        <v>0</v>
      </c>
      <c r="L63" s="199">
        <v>0</v>
      </c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5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>
        <v>0</v>
      </c>
      <c r="J64" s="199">
        <v>0</v>
      </c>
      <c r="K64" s="199">
        <v>0</v>
      </c>
      <c r="L64" s="199">
        <v>0</v>
      </c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5">
      <c r="A65" s="33" t="s">
        <v>138</v>
      </c>
      <c r="B65" s="33" t="s">
        <v>150</v>
      </c>
      <c r="C65" s="33">
        <v>22</v>
      </c>
      <c r="D65" s="33" t="s">
        <v>130</v>
      </c>
      <c r="E65" s="200">
        <v>0</v>
      </c>
      <c r="F65" s="199">
        <v>0</v>
      </c>
      <c r="G65" s="200">
        <v>0</v>
      </c>
      <c r="H65" s="199">
        <v>0</v>
      </c>
      <c r="I65" s="200">
        <v>0</v>
      </c>
      <c r="J65" s="199">
        <v>0</v>
      </c>
      <c r="K65" s="199">
        <v>0</v>
      </c>
      <c r="L65" s="199">
        <v>0</v>
      </c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5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0</v>
      </c>
      <c r="H66" s="199">
        <v>0</v>
      </c>
      <c r="I66" s="200">
        <v>0</v>
      </c>
      <c r="J66" s="199">
        <v>0</v>
      </c>
      <c r="K66" s="199">
        <v>0</v>
      </c>
      <c r="L66" s="199">
        <v>0</v>
      </c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5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>
        <v>0</v>
      </c>
      <c r="J67" s="199">
        <v>0</v>
      </c>
      <c r="K67" s="199">
        <v>0</v>
      </c>
      <c r="L67" s="199">
        <v>0</v>
      </c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5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>
        <v>0</v>
      </c>
      <c r="J68" s="199">
        <v>0</v>
      </c>
      <c r="K68" s="199">
        <v>0</v>
      </c>
      <c r="L68" s="199">
        <v>0</v>
      </c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5">
      <c r="A69" s="33" t="s">
        <v>138</v>
      </c>
      <c r="B69" s="33" t="s">
        <v>150</v>
      </c>
      <c r="C69" s="33">
        <v>26</v>
      </c>
      <c r="D69" s="33" t="s">
        <v>132</v>
      </c>
      <c r="E69" s="200">
        <v>0</v>
      </c>
      <c r="F69" s="199">
        <v>0</v>
      </c>
      <c r="G69" s="200">
        <v>0</v>
      </c>
      <c r="H69" s="199">
        <v>0</v>
      </c>
      <c r="I69" s="200">
        <v>0</v>
      </c>
      <c r="J69" s="199">
        <v>0</v>
      </c>
      <c r="K69" s="199">
        <v>0</v>
      </c>
      <c r="L69" s="199">
        <v>0</v>
      </c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5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>
        <v>0</v>
      </c>
      <c r="J70" s="199">
        <v>0</v>
      </c>
      <c r="K70" s="199">
        <v>0</v>
      </c>
      <c r="L70" s="199">
        <v>0</v>
      </c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5">
      <c r="A71" s="33" t="s">
        <v>138</v>
      </c>
      <c r="B71" s="33" t="s">
        <v>150</v>
      </c>
      <c r="C71" s="33">
        <v>28</v>
      </c>
      <c r="D71" s="33" t="s">
        <v>134</v>
      </c>
      <c r="E71" s="200">
        <v>0</v>
      </c>
      <c r="F71" s="199">
        <v>0</v>
      </c>
      <c r="G71" s="200">
        <v>0</v>
      </c>
      <c r="H71" s="199">
        <v>0</v>
      </c>
      <c r="I71" s="200">
        <v>0</v>
      </c>
      <c r="J71" s="199">
        <v>0</v>
      </c>
      <c r="K71" s="199">
        <v>0</v>
      </c>
      <c r="L71" s="199">
        <v>0</v>
      </c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5">
      <c r="A72" s="33" t="s">
        <v>138</v>
      </c>
      <c r="B72" s="33" t="s">
        <v>150</v>
      </c>
      <c r="C72" s="33">
        <v>29</v>
      </c>
      <c r="D72" s="33" t="s">
        <v>135</v>
      </c>
      <c r="E72" s="200">
        <v>0</v>
      </c>
      <c r="F72" s="199">
        <v>0</v>
      </c>
      <c r="G72" s="200">
        <v>0</v>
      </c>
      <c r="H72" s="199">
        <v>0</v>
      </c>
      <c r="I72" s="200">
        <v>0</v>
      </c>
      <c r="J72" s="199">
        <v>0</v>
      </c>
      <c r="K72" s="199">
        <v>0</v>
      </c>
      <c r="L72" s="199">
        <v>0</v>
      </c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5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>
        <v>0</v>
      </c>
      <c r="J73" s="199">
        <v>0</v>
      </c>
      <c r="K73" s="199">
        <v>0</v>
      </c>
      <c r="L73" s="199">
        <v>0</v>
      </c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5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>
        <v>0</v>
      </c>
      <c r="J74" s="199">
        <v>0</v>
      </c>
      <c r="K74" s="199">
        <v>0</v>
      </c>
      <c r="L74" s="199">
        <v>0</v>
      </c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5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>
        <v>0</v>
      </c>
      <c r="J75" s="199">
        <v>0</v>
      </c>
      <c r="K75" s="199">
        <v>0</v>
      </c>
      <c r="L75" s="199">
        <v>0</v>
      </c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5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>
        <v>0</v>
      </c>
      <c r="J76" s="199">
        <v>0</v>
      </c>
      <c r="K76" s="199">
        <v>0</v>
      </c>
      <c r="L76" s="199">
        <v>0</v>
      </c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5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>
        <v>0</v>
      </c>
      <c r="J77" s="199">
        <v>0</v>
      </c>
      <c r="K77" s="199">
        <v>0</v>
      </c>
      <c r="L77" s="199">
        <v>0</v>
      </c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5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>
        <v>0</v>
      </c>
      <c r="J78" s="199">
        <v>0</v>
      </c>
      <c r="K78" s="199">
        <v>0</v>
      </c>
      <c r="L78" s="199">
        <v>0</v>
      </c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5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>
        <v>0</v>
      </c>
      <c r="J79" s="199">
        <v>0</v>
      </c>
      <c r="K79" s="199">
        <v>0</v>
      </c>
      <c r="L79" s="199">
        <v>0</v>
      </c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5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>
        <v>0</v>
      </c>
      <c r="J80" s="199">
        <v>0</v>
      </c>
      <c r="K80" s="199">
        <v>0</v>
      </c>
      <c r="L80" s="199">
        <v>0</v>
      </c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5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>
        <v>0</v>
      </c>
      <c r="J81" s="199">
        <v>0</v>
      </c>
      <c r="K81" s="199">
        <v>0</v>
      </c>
      <c r="L81" s="199">
        <v>0</v>
      </c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5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>
        <v>0</v>
      </c>
      <c r="J82" s="199">
        <v>0</v>
      </c>
      <c r="K82" s="199">
        <v>0</v>
      </c>
      <c r="L82" s="199">
        <v>0</v>
      </c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5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>
        <v>0</v>
      </c>
      <c r="J83" s="199">
        <v>0</v>
      </c>
      <c r="K83" s="199">
        <v>0</v>
      </c>
      <c r="L83" s="199">
        <v>0</v>
      </c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5">
      <c r="A84" s="33" t="s">
        <v>140</v>
      </c>
      <c r="B84" s="33" t="s">
        <v>203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>
        <v>0</v>
      </c>
      <c r="J84" s="199">
        <v>0</v>
      </c>
      <c r="K84" s="199">
        <v>0</v>
      </c>
      <c r="L84" s="199">
        <v>0</v>
      </c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5">
      <c r="A85" s="33" t="s">
        <v>140</v>
      </c>
      <c r="B85" s="33" t="s">
        <v>203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>
        <v>0</v>
      </c>
      <c r="J85" s="199">
        <v>0</v>
      </c>
      <c r="K85" s="199">
        <v>0</v>
      </c>
      <c r="L85" s="199">
        <v>0</v>
      </c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5">
      <c r="A86" s="33" t="s">
        <v>140</v>
      </c>
      <c r="B86" s="33" t="s">
        <v>203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>
        <v>0</v>
      </c>
      <c r="J86" s="199">
        <v>0</v>
      </c>
      <c r="K86" s="199">
        <v>0</v>
      </c>
      <c r="L86" s="199">
        <v>0</v>
      </c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5">
      <c r="A87" s="33" t="s">
        <v>140</v>
      </c>
      <c r="B87" s="33" t="s">
        <v>203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>
        <v>0</v>
      </c>
      <c r="J87" s="199">
        <v>0</v>
      </c>
      <c r="K87" s="199">
        <v>0</v>
      </c>
      <c r="L87" s="199">
        <v>0</v>
      </c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5">
      <c r="A88" s="33" t="s">
        <v>140</v>
      </c>
      <c r="B88" s="33" t="s">
        <v>203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>
        <v>0</v>
      </c>
      <c r="J88" s="199">
        <v>0</v>
      </c>
      <c r="K88" s="199">
        <v>0</v>
      </c>
      <c r="L88" s="199">
        <v>0</v>
      </c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5">
      <c r="A89" s="33" t="s">
        <v>140</v>
      </c>
      <c r="B89" s="33" t="s">
        <v>203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>
        <v>0</v>
      </c>
      <c r="J89" s="199">
        <v>0</v>
      </c>
      <c r="K89" s="199">
        <v>0</v>
      </c>
      <c r="L89" s="199">
        <v>0</v>
      </c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5">
      <c r="A90" s="33" t="s">
        <v>140</v>
      </c>
      <c r="B90" s="33" t="s">
        <v>203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>
        <v>0</v>
      </c>
      <c r="J90" s="199">
        <v>0</v>
      </c>
      <c r="K90" s="199">
        <v>0</v>
      </c>
      <c r="L90" s="199">
        <v>0</v>
      </c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5">
      <c r="A91" s="33" t="s">
        <v>140</v>
      </c>
      <c r="B91" s="33" t="s">
        <v>203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>
        <v>0</v>
      </c>
      <c r="J91" s="199">
        <v>0</v>
      </c>
      <c r="K91" s="199">
        <v>0</v>
      </c>
      <c r="L91" s="199">
        <v>0</v>
      </c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5">
      <c r="A92" s="33" t="s">
        <v>140</v>
      </c>
      <c r="B92" s="33" t="s">
        <v>203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>
        <v>0</v>
      </c>
      <c r="J92" s="199">
        <v>0</v>
      </c>
      <c r="K92" s="199">
        <v>0</v>
      </c>
      <c r="L92" s="199">
        <v>0</v>
      </c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5">
      <c r="A93" s="33" t="s">
        <v>140</v>
      </c>
      <c r="B93" s="33" t="s">
        <v>203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>
        <v>0</v>
      </c>
      <c r="J93" s="199">
        <v>0</v>
      </c>
      <c r="K93" s="199">
        <v>0</v>
      </c>
      <c r="L93" s="199">
        <v>0</v>
      </c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5">
      <c r="A94" s="33" t="s">
        <v>140</v>
      </c>
      <c r="B94" s="33" t="s">
        <v>203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>
        <v>0</v>
      </c>
      <c r="J94" s="199">
        <v>0</v>
      </c>
      <c r="K94" s="199">
        <v>0</v>
      </c>
      <c r="L94" s="199">
        <v>0</v>
      </c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5">
      <c r="A95" s="33" t="s">
        <v>140</v>
      </c>
      <c r="B95" s="33" t="s">
        <v>203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>
        <v>0</v>
      </c>
      <c r="J95" s="199">
        <v>0</v>
      </c>
      <c r="K95" s="199">
        <v>0</v>
      </c>
      <c r="L95" s="199">
        <v>0</v>
      </c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5">
      <c r="A96" s="33" t="s">
        <v>140</v>
      </c>
      <c r="B96" s="33" t="s">
        <v>203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>
        <v>0</v>
      </c>
      <c r="J96" s="199">
        <v>0</v>
      </c>
      <c r="K96" s="199">
        <v>0</v>
      </c>
      <c r="L96" s="199">
        <v>0</v>
      </c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5">
      <c r="A97" s="33" t="s">
        <v>140</v>
      </c>
      <c r="B97" s="33" t="s">
        <v>203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>
        <v>0</v>
      </c>
      <c r="J97" s="199">
        <v>0</v>
      </c>
      <c r="K97" s="199">
        <v>0</v>
      </c>
      <c r="L97" s="199">
        <v>0</v>
      </c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5">
      <c r="A98" s="33" t="s">
        <v>140</v>
      </c>
      <c r="B98" s="33" t="s">
        <v>203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>
        <v>0</v>
      </c>
      <c r="J98" s="199">
        <v>0</v>
      </c>
      <c r="K98" s="199">
        <v>0</v>
      </c>
      <c r="L98" s="199">
        <v>0</v>
      </c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5">
      <c r="A99" s="33" t="s">
        <v>140</v>
      </c>
      <c r="B99" s="33" t="s">
        <v>203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>
        <v>0</v>
      </c>
      <c r="J99" s="199">
        <v>0</v>
      </c>
      <c r="K99" s="199">
        <v>0</v>
      </c>
      <c r="L99" s="199">
        <v>0</v>
      </c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5">
      <c r="A100" s="33" t="s">
        <v>140</v>
      </c>
      <c r="B100" s="33" t="s">
        <v>203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>
        <v>0</v>
      </c>
      <c r="J100" s="199">
        <v>0</v>
      </c>
      <c r="K100" s="199">
        <v>0</v>
      </c>
      <c r="L100" s="199">
        <v>0</v>
      </c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5">
      <c r="A101" s="33" t="s">
        <v>140</v>
      </c>
      <c r="B101" s="33" t="s">
        <v>203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>
        <v>0</v>
      </c>
      <c r="J101" s="199">
        <v>0</v>
      </c>
      <c r="K101" s="199">
        <v>0</v>
      </c>
      <c r="L101" s="199">
        <v>0</v>
      </c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5">
      <c r="A102" s="33" t="s">
        <v>140</v>
      </c>
      <c r="B102" s="33" t="s">
        <v>203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>
        <v>0</v>
      </c>
      <c r="J102" s="199">
        <v>0</v>
      </c>
      <c r="K102" s="199">
        <v>0</v>
      </c>
      <c r="L102" s="199">
        <v>0</v>
      </c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5">
      <c r="A103" s="33" t="s">
        <v>140</v>
      </c>
      <c r="B103" s="33" t="s">
        <v>203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>
        <v>0</v>
      </c>
      <c r="J103" s="199">
        <v>0</v>
      </c>
      <c r="K103" s="199">
        <v>0</v>
      </c>
      <c r="L103" s="199">
        <v>0</v>
      </c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5">
      <c r="A104" s="33" t="s">
        <v>140</v>
      </c>
      <c r="B104" s="33" t="s">
        <v>203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>
        <v>0</v>
      </c>
      <c r="J104" s="199">
        <v>0</v>
      </c>
      <c r="K104" s="199">
        <v>0</v>
      </c>
      <c r="L104" s="199">
        <v>0</v>
      </c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5">
      <c r="A105" s="33" t="s">
        <v>140</v>
      </c>
      <c r="B105" s="33" t="s">
        <v>203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>
        <v>0</v>
      </c>
      <c r="J105" s="199">
        <v>0</v>
      </c>
      <c r="K105" s="199">
        <v>0</v>
      </c>
      <c r="L105" s="199">
        <v>0</v>
      </c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5">
      <c r="A106" s="33" t="s">
        <v>140</v>
      </c>
      <c r="B106" s="33" t="s">
        <v>203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>
        <v>0</v>
      </c>
      <c r="J106" s="199">
        <v>0</v>
      </c>
      <c r="K106" s="199">
        <v>0</v>
      </c>
      <c r="L106" s="199">
        <v>0</v>
      </c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5">
      <c r="A107" s="33" t="s">
        <v>140</v>
      </c>
      <c r="B107" s="33" t="s">
        <v>203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>
        <v>0</v>
      </c>
      <c r="J107" s="199">
        <v>0</v>
      </c>
      <c r="K107" s="199">
        <v>0</v>
      </c>
      <c r="L107" s="199">
        <v>0</v>
      </c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5">
      <c r="A108" s="33" t="s">
        <v>140</v>
      </c>
      <c r="B108" s="33" t="s">
        <v>203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>
        <v>0</v>
      </c>
      <c r="J108" s="199">
        <v>0</v>
      </c>
      <c r="K108" s="199">
        <v>0</v>
      </c>
      <c r="L108" s="199">
        <v>0</v>
      </c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5">
      <c r="A109" s="33" t="s">
        <v>140</v>
      </c>
      <c r="B109" s="33" t="s">
        <v>203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>
        <v>0</v>
      </c>
      <c r="J109" s="199">
        <v>0</v>
      </c>
      <c r="K109" s="199">
        <v>0</v>
      </c>
      <c r="L109" s="199">
        <v>0</v>
      </c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5">
      <c r="A110" s="33" t="s">
        <v>140</v>
      </c>
      <c r="B110" s="33" t="s">
        <v>203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>
        <v>0</v>
      </c>
      <c r="J110" s="199">
        <v>0</v>
      </c>
      <c r="K110" s="199">
        <v>0</v>
      </c>
      <c r="L110" s="199">
        <v>0</v>
      </c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5">
      <c r="A111" s="33" t="s">
        <v>140</v>
      </c>
      <c r="B111" s="33" t="s">
        <v>203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>
        <v>0</v>
      </c>
      <c r="J111" s="199">
        <v>0</v>
      </c>
      <c r="K111" s="199">
        <v>0</v>
      </c>
      <c r="L111" s="199">
        <v>0</v>
      </c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5">
      <c r="A112" s="33" t="s">
        <v>140</v>
      </c>
      <c r="B112" s="33" t="s">
        <v>203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>
        <v>0</v>
      </c>
      <c r="J112" s="199">
        <v>0</v>
      </c>
      <c r="K112" s="199">
        <v>0</v>
      </c>
      <c r="L112" s="199">
        <v>0</v>
      </c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5">
      <c r="A113" s="33" t="s">
        <v>140</v>
      </c>
      <c r="B113" s="33" t="s">
        <v>203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>
        <v>0</v>
      </c>
      <c r="J113" s="199">
        <v>0</v>
      </c>
      <c r="K113" s="199">
        <v>0</v>
      </c>
      <c r="L113" s="199">
        <v>0</v>
      </c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5">
      <c r="A114" s="33" t="s">
        <v>140</v>
      </c>
      <c r="B114" s="33" t="s">
        <v>203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>
        <v>0</v>
      </c>
      <c r="J114" s="199">
        <v>0</v>
      </c>
      <c r="K114" s="199">
        <v>0</v>
      </c>
      <c r="L114" s="199">
        <v>0</v>
      </c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5">
      <c r="A115" s="33" t="s">
        <v>140</v>
      </c>
      <c r="B115" s="33" t="s">
        <v>203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>
        <v>0</v>
      </c>
      <c r="J115" s="199">
        <v>0</v>
      </c>
      <c r="K115" s="199">
        <v>0</v>
      </c>
      <c r="L115" s="199">
        <v>0</v>
      </c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5">
      <c r="A116" s="33" t="s">
        <v>140</v>
      </c>
      <c r="B116" s="33" t="s">
        <v>203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>
        <v>0</v>
      </c>
      <c r="J116" s="199">
        <v>0</v>
      </c>
      <c r="K116" s="199">
        <v>0</v>
      </c>
      <c r="L116" s="199">
        <v>0</v>
      </c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5">
      <c r="A117" s="33" t="s">
        <v>140</v>
      </c>
      <c r="B117" s="33" t="s">
        <v>203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>
        <v>0</v>
      </c>
      <c r="J117" s="199">
        <v>0</v>
      </c>
      <c r="K117" s="199">
        <v>0</v>
      </c>
      <c r="L117" s="199">
        <v>0</v>
      </c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5">
      <c r="A118" s="33" t="s">
        <v>140</v>
      </c>
      <c r="B118" s="33" t="s">
        <v>203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>
        <v>0</v>
      </c>
      <c r="J118" s="199">
        <v>0</v>
      </c>
      <c r="K118" s="199">
        <v>0</v>
      </c>
      <c r="L118" s="199">
        <v>0</v>
      </c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5">
      <c r="A119" s="33" t="s">
        <v>140</v>
      </c>
      <c r="B119" s="33" t="s">
        <v>203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>
        <v>0</v>
      </c>
      <c r="J119" s="199">
        <v>0</v>
      </c>
      <c r="K119" s="199">
        <v>0</v>
      </c>
      <c r="L119" s="199">
        <v>0</v>
      </c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5">
      <c r="A120" s="33" t="s">
        <v>140</v>
      </c>
      <c r="B120" s="33" t="s">
        <v>203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>
        <v>0</v>
      </c>
      <c r="J120" s="199">
        <v>0</v>
      </c>
      <c r="K120" s="199">
        <v>0</v>
      </c>
      <c r="L120" s="199">
        <v>0</v>
      </c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5">
      <c r="A121" s="33" t="s">
        <v>140</v>
      </c>
      <c r="B121" s="33" t="s">
        <v>203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>
        <v>0</v>
      </c>
      <c r="J121" s="199">
        <v>0</v>
      </c>
      <c r="K121" s="199">
        <v>0</v>
      </c>
      <c r="L121" s="199">
        <v>0</v>
      </c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5">
      <c r="A122" s="33" t="s">
        <v>140</v>
      </c>
      <c r="B122" s="33" t="s">
        <v>203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>
        <v>0</v>
      </c>
      <c r="J122" s="199">
        <v>0</v>
      </c>
      <c r="K122" s="199">
        <v>0</v>
      </c>
      <c r="L122" s="199">
        <v>0</v>
      </c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5">
      <c r="A123" s="33" t="s">
        <v>140</v>
      </c>
      <c r="B123" s="33" t="s">
        <v>203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>
        <v>0</v>
      </c>
      <c r="J123" s="199">
        <v>0</v>
      </c>
      <c r="K123" s="199">
        <v>0</v>
      </c>
      <c r="L123" s="199">
        <v>0</v>
      </c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5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14183416</v>
      </c>
      <c r="F124" s="199">
        <v>31782879.629999999</v>
      </c>
      <c r="G124" s="200">
        <v>147168</v>
      </c>
      <c r="H124" s="199">
        <v>-10051086.77</v>
      </c>
      <c r="I124" s="200">
        <v>424540</v>
      </c>
      <c r="J124" s="199">
        <v>13362.53</v>
      </c>
      <c r="K124" s="199">
        <v>0</v>
      </c>
      <c r="L124" s="199">
        <v>-25457.09</v>
      </c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5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>
        <v>0</v>
      </c>
      <c r="J125" s="199">
        <v>0</v>
      </c>
      <c r="K125" s="199">
        <v>0</v>
      </c>
      <c r="L125" s="199">
        <v>0</v>
      </c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5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12273916</v>
      </c>
      <c r="F126" s="199">
        <v>35782782</v>
      </c>
      <c r="G126" s="200">
        <v>527</v>
      </c>
      <c r="H126" s="199">
        <v>1599</v>
      </c>
      <c r="I126" s="200">
        <v>0</v>
      </c>
      <c r="J126" s="199">
        <v>0</v>
      </c>
      <c r="K126" s="199">
        <v>24051465</v>
      </c>
      <c r="L126" s="199">
        <v>73793407</v>
      </c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5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>
        <v>0</v>
      </c>
      <c r="J127" s="199">
        <v>0</v>
      </c>
      <c r="K127" s="199">
        <v>0</v>
      </c>
      <c r="L127" s="199">
        <v>0</v>
      </c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5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14576704.869999999</v>
      </c>
      <c r="G128" s="200">
        <v>0</v>
      </c>
      <c r="H128" s="199">
        <v>-51403.01</v>
      </c>
      <c r="I128" s="200">
        <v>0</v>
      </c>
      <c r="J128" s="199">
        <v>59714.11</v>
      </c>
      <c r="K128" s="199">
        <v>0</v>
      </c>
      <c r="L128" s="199">
        <v>-135975.5</v>
      </c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5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-8013120</v>
      </c>
      <c r="F129" s="199">
        <v>-22676094.77</v>
      </c>
      <c r="G129" s="200">
        <v>681</v>
      </c>
      <c r="H129" s="199">
        <v>-1685616.45</v>
      </c>
      <c r="I129" s="200">
        <v>-3049185</v>
      </c>
      <c r="J129" s="199">
        <v>-0.04</v>
      </c>
      <c r="K129" s="199">
        <v>-3850</v>
      </c>
      <c r="L129" s="199">
        <v>-8662.5</v>
      </c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5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>
        <v>0</v>
      </c>
      <c r="J130" s="199">
        <v>0</v>
      </c>
      <c r="K130" s="199">
        <v>0</v>
      </c>
      <c r="L130" s="199">
        <v>0</v>
      </c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5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-13718344</v>
      </c>
      <c r="F131" s="199">
        <v>-37394509</v>
      </c>
      <c r="G131" s="200">
        <v>-44741</v>
      </c>
      <c r="H131" s="199">
        <v>-134671</v>
      </c>
      <c r="I131" s="200">
        <v>0</v>
      </c>
      <c r="J131" s="199">
        <v>0</v>
      </c>
      <c r="K131" s="199">
        <v>-23985772</v>
      </c>
      <c r="L131" s="199">
        <v>-73598427</v>
      </c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5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>
        <v>0</v>
      </c>
      <c r="J132" s="199">
        <v>0</v>
      </c>
      <c r="K132" s="199">
        <v>0</v>
      </c>
      <c r="L132" s="199">
        <v>0</v>
      </c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5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>
        <v>0</v>
      </c>
      <c r="J133" s="199">
        <v>0</v>
      </c>
      <c r="K133" s="199">
        <v>0</v>
      </c>
      <c r="L133" s="199">
        <v>0</v>
      </c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5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>
        <v>0</v>
      </c>
      <c r="J134" s="199">
        <v>0</v>
      </c>
      <c r="K134" s="199">
        <v>0</v>
      </c>
      <c r="L134" s="199">
        <v>0</v>
      </c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5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>
        <v>0</v>
      </c>
      <c r="J135" s="199">
        <v>0</v>
      </c>
      <c r="K135" s="199">
        <v>0</v>
      </c>
      <c r="L135" s="199">
        <v>0</v>
      </c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5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>
        <v>0</v>
      </c>
      <c r="J136" s="199">
        <v>0</v>
      </c>
      <c r="K136" s="199">
        <v>0</v>
      </c>
      <c r="L136" s="199">
        <v>0</v>
      </c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5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>
        <v>0</v>
      </c>
      <c r="J137" s="199">
        <v>0</v>
      </c>
      <c r="K137" s="199">
        <v>0</v>
      </c>
      <c r="L137" s="199">
        <v>0</v>
      </c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5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>
        <v>0</v>
      </c>
      <c r="J138" s="199">
        <v>0</v>
      </c>
      <c r="K138" s="199">
        <v>0</v>
      </c>
      <c r="L138" s="199">
        <v>0</v>
      </c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5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>
        <v>0</v>
      </c>
      <c r="J139" s="199">
        <v>0</v>
      </c>
      <c r="K139" s="199">
        <v>0</v>
      </c>
      <c r="L139" s="199">
        <v>0</v>
      </c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5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240863</v>
      </c>
      <c r="F140" s="199">
        <v>646717.16</v>
      </c>
      <c r="G140" s="200">
        <v>0</v>
      </c>
      <c r="H140" s="199">
        <v>0</v>
      </c>
      <c r="I140" s="200">
        <v>0</v>
      </c>
      <c r="J140" s="199">
        <v>0</v>
      </c>
      <c r="K140" s="199">
        <v>0</v>
      </c>
      <c r="L140" s="199">
        <v>0</v>
      </c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5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-4404868</v>
      </c>
      <c r="F141" s="199">
        <v>-10990143.939999999</v>
      </c>
      <c r="G141" s="200">
        <v>-572066</v>
      </c>
      <c r="H141" s="199">
        <v>-1603635.06</v>
      </c>
      <c r="I141" s="200">
        <v>1986539</v>
      </c>
      <c r="J141" s="199">
        <v>5259031.43</v>
      </c>
      <c r="K141" s="199">
        <v>0</v>
      </c>
      <c r="L141" s="199">
        <v>0</v>
      </c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5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>
        <v>0</v>
      </c>
      <c r="J142" s="199">
        <v>0</v>
      </c>
      <c r="K142" s="199">
        <v>0</v>
      </c>
      <c r="L142" s="199">
        <v>0</v>
      </c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5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>
        <v>0</v>
      </c>
      <c r="J143" s="199">
        <v>0</v>
      </c>
      <c r="K143" s="199">
        <v>0</v>
      </c>
      <c r="L143" s="199">
        <v>0</v>
      </c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5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>
        <v>0</v>
      </c>
      <c r="J144" s="199">
        <v>0</v>
      </c>
      <c r="K144" s="199">
        <v>0</v>
      </c>
      <c r="L144" s="199">
        <v>0</v>
      </c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5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-561863</v>
      </c>
      <c r="F145" s="199">
        <v>-1477137.827</v>
      </c>
      <c r="G145" s="200">
        <v>468431</v>
      </c>
      <c r="H145" s="199">
        <v>1231505.0989999999</v>
      </c>
      <c r="I145" s="200">
        <v>638106</v>
      </c>
      <c r="J145" s="199">
        <v>1677580.6740000001</v>
      </c>
      <c r="K145" s="199">
        <v>-61843</v>
      </c>
      <c r="L145" s="199">
        <v>-162585.247</v>
      </c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5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>
        <v>-622895</v>
      </c>
      <c r="J146" s="199">
        <v>-1637590.9550000001</v>
      </c>
      <c r="K146" s="199">
        <v>0</v>
      </c>
      <c r="L146" s="199">
        <v>0</v>
      </c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5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-22051979</v>
      </c>
      <c r="F147" s="199">
        <v>-780054.11</v>
      </c>
      <c r="G147" s="200">
        <v>-383447</v>
      </c>
      <c r="H147" s="199">
        <v>-12515.63</v>
      </c>
      <c r="I147" s="200">
        <v>-35624</v>
      </c>
      <c r="J147" s="199">
        <v>-2980.6</v>
      </c>
      <c r="K147" s="199">
        <v>0</v>
      </c>
      <c r="L147" s="199">
        <v>0.34</v>
      </c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5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-10518008.109999999</v>
      </c>
      <c r="G148" s="200">
        <v>0</v>
      </c>
      <c r="H148" s="199">
        <v>49816.97</v>
      </c>
      <c r="I148" s="200">
        <v>0</v>
      </c>
      <c r="J148" s="199">
        <v>0</v>
      </c>
      <c r="K148" s="199">
        <v>0</v>
      </c>
      <c r="L148" s="199">
        <v>0</v>
      </c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5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>
        <v>0</v>
      </c>
      <c r="J149" s="199">
        <v>0</v>
      </c>
      <c r="K149" s="199">
        <v>0</v>
      </c>
      <c r="L149" s="199">
        <v>0</v>
      </c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5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>
        <v>0</v>
      </c>
      <c r="J150" s="199">
        <v>0</v>
      </c>
      <c r="K150" s="199">
        <v>0</v>
      </c>
      <c r="L150" s="199">
        <v>0</v>
      </c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5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>
        <v>0</v>
      </c>
      <c r="J151" s="199">
        <v>0</v>
      </c>
      <c r="K151" s="199">
        <v>0</v>
      </c>
      <c r="L151" s="199">
        <v>0</v>
      </c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5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>
        <v>0</v>
      </c>
      <c r="J152" s="199">
        <v>0</v>
      </c>
      <c r="K152" s="199">
        <v>0</v>
      </c>
      <c r="L152" s="199">
        <v>0</v>
      </c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5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>
        <v>0</v>
      </c>
      <c r="J153" s="199">
        <v>0</v>
      </c>
      <c r="K153" s="199">
        <v>0</v>
      </c>
      <c r="L153" s="199">
        <v>0</v>
      </c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5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>
        <v>0</v>
      </c>
      <c r="J154" s="199">
        <v>0</v>
      </c>
      <c r="K154" s="199">
        <v>0</v>
      </c>
      <c r="L154" s="199">
        <v>0</v>
      </c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5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>
        <v>0</v>
      </c>
      <c r="J155" s="199">
        <v>0</v>
      </c>
      <c r="K155" s="199">
        <v>0</v>
      </c>
      <c r="L155" s="199">
        <v>0</v>
      </c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5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>
        <v>0</v>
      </c>
      <c r="J156" s="199">
        <v>0</v>
      </c>
      <c r="K156" s="199">
        <v>0</v>
      </c>
      <c r="L156" s="199">
        <v>0</v>
      </c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5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>
        <v>0</v>
      </c>
      <c r="J157" s="199">
        <v>0</v>
      </c>
      <c r="K157" s="199">
        <v>0</v>
      </c>
      <c r="L157" s="199">
        <v>0</v>
      </c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5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>
        <v>0</v>
      </c>
      <c r="J158" s="199">
        <v>0</v>
      </c>
      <c r="K158" s="199">
        <v>0</v>
      </c>
      <c r="L158" s="199">
        <v>0</v>
      </c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5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>
        <v>0</v>
      </c>
      <c r="J159" s="199">
        <v>0</v>
      </c>
      <c r="K159" s="199">
        <v>0</v>
      </c>
      <c r="L159" s="199">
        <v>0</v>
      </c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5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>
        <v>0</v>
      </c>
      <c r="J160" s="199">
        <v>0</v>
      </c>
      <c r="K160" s="199">
        <v>0</v>
      </c>
      <c r="L160" s="199">
        <v>0</v>
      </c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5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>
        <v>0</v>
      </c>
      <c r="J161" s="199">
        <v>0</v>
      </c>
      <c r="K161" s="199">
        <v>0</v>
      </c>
      <c r="L161" s="199">
        <v>0</v>
      </c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5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>
        <v>0</v>
      </c>
      <c r="J162" s="199">
        <v>0</v>
      </c>
      <c r="K162" s="199">
        <v>0</v>
      </c>
      <c r="L162" s="199">
        <v>0</v>
      </c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5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>
        <v>0</v>
      </c>
      <c r="J163" s="199">
        <v>0</v>
      </c>
      <c r="K163" s="199">
        <v>0</v>
      </c>
      <c r="L163" s="199">
        <v>0</v>
      </c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5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115460182</v>
      </c>
      <c r="F164" s="199">
        <v>304250263.52000004</v>
      </c>
      <c r="G164" s="200">
        <v>454127</v>
      </c>
      <c r="H164" s="199">
        <v>532425.02</v>
      </c>
      <c r="I164" s="200">
        <v>-186888</v>
      </c>
      <c r="J164" s="199">
        <v>-516434.51</v>
      </c>
      <c r="K164" s="199">
        <v>0</v>
      </c>
      <c r="L164" s="199">
        <v>-765565.86</v>
      </c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5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>
        <v>0</v>
      </c>
      <c r="J165" s="199">
        <v>0</v>
      </c>
      <c r="K165" s="199">
        <v>0</v>
      </c>
      <c r="L165" s="199">
        <v>0</v>
      </c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5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5177720</v>
      </c>
      <c r="F166" s="199">
        <v>13861560</v>
      </c>
      <c r="G166" s="200">
        <v>97955</v>
      </c>
      <c r="H166" s="199">
        <v>258474</v>
      </c>
      <c r="I166" s="200">
        <v>0</v>
      </c>
      <c r="J166" s="199">
        <v>0</v>
      </c>
      <c r="K166" s="199">
        <v>56232764</v>
      </c>
      <c r="L166" s="199">
        <v>152573063</v>
      </c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5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>
        <v>0</v>
      </c>
      <c r="J167" s="199">
        <v>0</v>
      </c>
      <c r="K167" s="199">
        <v>0</v>
      </c>
      <c r="L167" s="199">
        <v>0</v>
      </c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5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1247995.51</v>
      </c>
      <c r="G168" s="200">
        <v>0</v>
      </c>
      <c r="H168" s="199">
        <v>1587645</v>
      </c>
      <c r="I168" s="200">
        <v>0</v>
      </c>
      <c r="J168" s="199">
        <v>12972</v>
      </c>
      <c r="K168" s="199">
        <v>0</v>
      </c>
      <c r="L168" s="199">
        <v>0</v>
      </c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5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-128008312</v>
      </c>
      <c r="F169" s="199">
        <v>-334791168.93000001</v>
      </c>
      <c r="G169" s="200">
        <v>-1452098</v>
      </c>
      <c r="H169" s="199">
        <v>-4430968.21</v>
      </c>
      <c r="I169" s="200">
        <v>841245</v>
      </c>
      <c r="J169" s="199">
        <v>2028998.07</v>
      </c>
      <c r="K169" s="199">
        <v>-322064</v>
      </c>
      <c r="L169" s="199">
        <v>-844318.06</v>
      </c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5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>
        <v>0</v>
      </c>
      <c r="J170" s="199">
        <v>0</v>
      </c>
      <c r="K170" s="199">
        <v>0</v>
      </c>
      <c r="L170" s="199">
        <v>0</v>
      </c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5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-3077725</v>
      </c>
      <c r="F171" s="199">
        <v>-8291680</v>
      </c>
      <c r="G171" s="200">
        <v>-74784</v>
      </c>
      <c r="H171" s="199">
        <v>-220811</v>
      </c>
      <c r="I171" s="200">
        <v>0</v>
      </c>
      <c r="J171" s="199">
        <v>0</v>
      </c>
      <c r="K171" s="199">
        <v>-46150416</v>
      </c>
      <c r="L171" s="199">
        <v>-126787277</v>
      </c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5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>
        <v>0</v>
      </c>
      <c r="J172" s="199">
        <v>0</v>
      </c>
      <c r="K172" s="199">
        <v>0</v>
      </c>
      <c r="L172" s="199">
        <v>0</v>
      </c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5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807961</v>
      </c>
      <c r="F173" s="199">
        <v>2111202.0929999999</v>
      </c>
      <c r="G173" s="200">
        <v>-22668</v>
      </c>
      <c r="H173" s="199">
        <v>-59231.483999999997</v>
      </c>
      <c r="I173" s="200">
        <v>-279890</v>
      </c>
      <c r="J173" s="199">
        <v>-731352.57</v>
      </c>
      <c r="K173" s="199">
        <v>1305</v>
      </c>
      <c r="L173" s="199">
        <v>3409.9650000000001</v>
      </c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5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620978</v>
      </c>
      <c r="F174" s="199">
        <v>1689839.42</v>
      </c>
      <c r="G174" s="200">
        <v>80366</v>
      </c>
      <c r="H174" s="199">
        <v>224469.19</v>
      </c>
      <c r="I174" s="200">
        <v>-80366</v>
      </c>
      <c r="J174" s="199">
        <v>-224469.19</v>
      </c>
      <c r="K174" s="199">
        <v>0</v>
      </c>
      <c r="L174" s="199">
        <v>0</v>
      </c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5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0</v>
      </c>
      <c r="F175" s="199">
        <v>0</v>
      </c>
      <c r="G175" s="200">
        <v>0</v>
      </c>
      <c r="H175" s="199">
        <v>0</v>
      </c>
      <c r="I175" s="200">
        <v>0</v>
      </c>
      <c r="J175" s="199">
        <v>0</v>
      </c>
      <c r="K175" s="199">
        <v>0</v>
      </c>
      <c r="L175" s="199">
        <v>0</v>
      </c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5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-706880</v>
      </c>
      <c r="F176" s="199">
        <v>-1847077.44</v>
      </c>
      <c r="G176" s="200">
        <v>561564</v>
      </c>
      <c r="H176" s="199">
        <v>1467366.7320000001</v>
      </c>
      <c r="I176" s="200">
        <v>161992</v>
      </c>
      <c r="J176" s="199">
        <v>423285.09600000002</v>
      </c>
      <c r="K176" s="199">
        <v>253</v>
      </c>
      <c r="L176" s="199">
        <v>661.08900000000006</v>
      </c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5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-22553</v>
      </c>
      <c r="H177" s="199">
        <v>-195.82</v>
      </c>
      <c r="I177" s="200">
        <v>-10056</v>
      </c>
      <c r="J177" s="199">
        <v>-27476.29</v>
      </c>
      <c r="K177" s="199">
        <v>-7996</v>
      </c>
      <c r="L177" s="199">
        <v>-20774.96</v>
      </c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5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690</v>
      </c>
      <c r="H178" s="199">
        <v>0</v>
      </c>
      <c r="I178" s="200">
        <v>724</v>
      </c>
      <c r="J178" s="199">
        <v>1934.38</v>
      </c>
      <c r="K178" s="199">
        <v>14389</v>
      </c>
      <c r="L178" s="199">
        <v>37323.629999999997</v>
      </c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5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>
        <v>0</v>
      </c>
      <c r="J179" s="199">
        <v>0</v>
      </c>
      <c r="K179" s="199">
        <v>0</v>
      </c>
      <c r="L179" s="199">
        <v>0</v>
      </c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5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552019</v>
      </c>
      <c r="F180" s="199">
        <v>1442425.65</v>
      </c>
      <c r="G180" s="200">
        <v>60439</v>
      </c>
      <c r="H180" s="199">
        <v>157927.10999999999</v>
      </c>
      <c r="I180" s="200">
        <v>0</v>
      </c>
      <c r="J180" s="199">
        <v>0</v>
      </c>
      <c r="K180" s="199">
        <v>0</v>
      </c>
      <c r="L180" s="199">
        <v>0</v>
      </c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5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-392942</v>
      </c>
      <c r="F181" s="199">
        <v>-860316.56</v>
      </c>
      <c r="G181" s="200">
        <v>6067</v>
      </c>
      <c r="H181" s="199">
        <v>18379.3</v>
      </c>
      <c r="I181" s="200">
        <v>0</v>
      </c>
      <c r="J181" s="199">
        <v>0</v>
      </c>
      <c r="K181" s="199">
        <v>0</v>
      </c>
      <c r="L181" s="199">
        <v>0</v>
      </c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5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>
        <v>0</v>
      </c>
      <c r="J182" s="199">
        <v>0</v>
      </c>
      <c r="K182" s="199">
        <v>0</v>
      </c>
      <c r="L182" s="199">
        <v>0</v>
      </c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5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>
        <v>0</v>
      </c>
      <c r="J183" s="199">
        <v>0</v>
      </c>
      <c r="K183" s="199">
        <v>0</v>
      </c>
      <c r="L183" s="199">
        <v>0</v>
      </c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5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>
        <v>0</v>
      </c>
      <c r="J184" s="199">
        <v>0</v>
      </c>
      <c r="K184" s="199">
        <v>0</v>
      </c>
      <c r="L184" s="199">
        <v>0</v>
      </c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5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9566999</v>
      </c>
      <c r="F185" s="199">
        <v>24998568.386999998</v>
      </c>
      <c r="G185" s="200">
        <v>310895</v>
      </c>
      <c r="H185" s="199">
        <v>812368.63500000164</v>
      </c>
      <c r="I185" s="200">
        <v>-446761</v>
      </c>
      <c r="J185" s="199">
        <v>-1167386.493</v>
      </c>
      <c r="K185" s="199">
        <v>-9768235</v>
      </c>
      <c r="L185" s="199">
        <v>-25524398.055</v>
      </c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5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-807961</v>
      </c>
      <c r="F186" s="199">
        <v>-2111202.0929999999</v>
      </c>
      <c r="G186" s="200">
        <v>22668</v>
      </c>
      <c r="H186" s="199">
        <v>59231.483999999997</v>
      </c>
      <c r="I186" s="200">
        <v>279890</v>
      </c>
      <c r="J186" s="199">
        <v>731352.57</v>
      </c>
      <c r="K186" s="199">
        <v>-1305</v>
      </c>
      <c r="L186" s="199">
        <v>-3409.9650000000001</v>
      </c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5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-76869037</v>
      </c>
      <c r="F187" s="199">
        <v>-564998.48</v>
      </c>
      <c r="G187" s="200">
        <v>-1844583</v>
      </c>
      <c r="H187" s="199">
        <v>56831.97</v>
      </c>
      <c r="I187" s="200">
        <v>-879030</v>
      </c>
      <c r="J187" s="199">
        <v>7960.26</v>
      </c>
      <c r="K187" s="199">
        <v>-5358</v>
      </c>
      <c r="L187" s="199">
        <v>757381.21</v>
      </c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5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-2791251.81</v>
      </c>
      <c r="G188" s="200">
        <v>0</v>
      </c>
      <c r="H188" s="199">
        <v>650200.41</v>
      </c>
      <c r="I188" s="200">
        <v>0</v>
      </c>
      <c r="J188" s="199">
        <v>-20747.060000000001</v>
      </c>
      <c r="K188" s="199">
        <v>0</v>
      </c>
      <c r="L188" s="199">
        <v>-1006.06</v>
      </c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5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>
        <v>0</v>
      </c>
      <c r="J189" s="199">
        <v>0</v>
      </c>
      <c r="K189" s="199">
        <v>0</v>
      </c>
      <c r="L189" s="199">
        <v>0</v>
      </c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5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>
        <v>0</v>
      </c>
      <c r="J190" s="199">
        <v>0</v>
      </c>
      <c r="K190" s="199">
        <v>0</v>
      </c>
      <c r="L190" s="199">
        <v>0</v>
      </c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5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>
        <v>0</v>
      </c>
      <c r="J191" s="199">
        <v>0</v>
      </c>
      <c r="K191" s="199">
        <v>0</v>
      </c>
      <c r="L191" s="199">
        <v>0</v>
      </c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5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>
        <v>0</v>
      </c>
      <c r="J192" s="199">
        <v>0</v>
      </c>
      <c r="K192" s="199">
        <v>0</v>
      </c>
      <c r="L192" s="199">
        <v>0</v>
      </c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5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>
        <v>0</v>
      </c>
      <c r="J193" s="199">
        <v>0</v>
      </c>
      <c r="K193" s="199">
        <v>0</v>
      </c>
      <c r="L193" s="199">
        <v>0</v>
      </c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5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>
        <v>0</v>
      </c>
      <c r="J194" s="199">
        <v>0</v>
      </c>
      <c r="K194" s="199">
        <v>0</v>
      </c>
      <c r="L194" s="199">
        <v>0</v>
      </c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5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>
        <v>0</v>
      </c>
      <c r="J195" s="199">
        <v>0</v>
      </c>
      <c r="K195" s="199">
        <v>0</v>
      </c>
      <c r="L195" s="199">
        <v>0</v>
      </c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5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>
        <v>0</v>
      </c>
      <c r="J196" s="199">
        <v>0</v>
      </c>
      <c r="K196" s="199">
        <v>0</v>
      </c>
      <c r="L196" s="199">
        <v>0</v>
      </c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5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>
        <v>0</v>
      </c>
      <c r="J197" s="199">
        <v>0</v>
      </c>
      <c r="K197" s="199">
        <v>0</v>
      </c>
      <c r="L197" s="199">
        <v>0</v>
      </c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5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-4361.28</v>
      </c>
      <c r="G198" s="200">
        <v>0</v>
      </c>
      <c r="H198" s="199">
        <v>-5670.51</v>
      </c>
      <c r="I198" s="200">
        <v>0</v>
      </c>
      <c r="J198" s="199">
        <v>298.64999999999998</v>
      </c>
      <c r="K198" s="199">
        <v>0</v>
      </c>
      <c r="L198" s="199">
        <v>-309.11</v>
      </c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5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>
        <v>0</v>
      </c>
      <c r="J199" s="199">
        <v>0</v>
      </c>
      <c r="K199" s="199">
        <v>0</v>
      </c>
      <c r="L199" s="199">
        <v>0</v>
      </c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5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>
        <v>0</v>
      </c>
      <c r="J200" s="199">
        <v>0</v>
      </c>
      <c r="K200" s="199">
        <v>0</v>
      </c>
      <c r="L200" s="199">
        <v>0</v>
      </c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5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>
        <v>0</v>
      </c>
      <c r="J201" s="199">
        <v>0</v>
      </c>
      <c r="K201" s="199">
        <v>0</v>
      </c>
      <c r="L201" s="199">
        <v>0</v>
      </c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5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>
        <v>0</v>
      </c>
      <c r="J202" s="199">
        <v>0</v>
      </c>
      <c r="K202" s="199">
        <v>0</v>
      </c>
      <c r="L202" s="199">
        <v>0</v>
      </c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5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>
        <v>0</v>
      </c>
      <c r="J203" s="199">
        <v>0</v>
      </c>
      <c r="K203" s="199">
        <v>0</v>
      </c>
      <c r="L203" s="199">
        <v>0</v>
      </c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5">
      <c r="A204" s="33" t="s">
        <v>140</v>
      </c>
      <c r="B204" s="33" t="s">
        <v>201</v>
      </c>
      <c r="C204" s="33">
        <v>1</v>
      </c>
      <c r="D204" s="33" t="s">
        <v>25</v>
      </c>
      <c r="E204" s="200">
        <v>3838346</v>
      </c>
      <c r="F204" s="199">
        <v>8965830.7699999996</v>
      </c>
      <c r="G204" s="200">
        <v>-18713</v>
      </c>
      <c r="H204" s="199">
        <v>-35573.589999999997</v>
      </c>
      <c r="I204" s="200">
        <v>-2997</v>
      </c>
      <c r="J204" s="199">
        <v>-7472.53</v>
      </c>
      <c r="K204" s="199">
        <v>0</v>
      </c>
      <c r="L204" s="199">
        <v>0</v>
      </c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5">
      <c r="A205" s="33" t="s">
        <v>140</v>
      </c>
      <c r="B205" s="33" t="s">
        <v>201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>
        <v>0</v>
      </c>
      <c r="J205" s="199">
        <v>0</v>
      </c>
      <c r="K205" s="199">
        <v>0</v>
      </c>
      <c r="L205" s="199">
        <v>0</v>
      </c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5">
      <c r="A206" s="33" t="s">
        <v>140</v>
      </c>
      <c r="B206" s="33" t="s">
        <v>201</v>
      </c>
      <c r="C206" s="33">
        <v>3</v>
      </c>
      <c r="D206" s="33" t="s">
        <v>27</v>
      </c>
      <c r="E206" s="200">
        <v>461027</v>
      </c>
      <c r="F206" s="199">
        <v>1182269</v>
      </c>
      <c r="G206" s="200">
        <v>-1379</v>
      </c>
      <c r="H206" s="199">
        <v>-3710</v>
      </c>
      <c r="I206" s="200">
        <v>0</v>
      </c>
      <c r="J206" s="199">
        <v>0</v>
      </c>
      <c r="K206" s="199">
        <v>4242265</v>
      </c>
      <c r="L206" s="199">
        <v>10734656</v>
      </c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5">
      <c r="A207" s="33" t="s">
        <v>140</v>
      </c>
      <c r="B207" s="33" t="s">
        <v>201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>
        <v>0</v>
      </c>
      <c r="J207" s="199">
        <v>0</v>
      </c>
      <c r="K207" s="199">
        <v>0</v>
      </c>
      <c r="L207" s="199">
        <v>0</v>
      </c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5">
      <c r="A208" s="33" t="s">
        <v>140</v>
      </c>
      <c r="B208" s="33" t="s">
        <v>201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>
        <v>0</v>
      </c>
      <c r="J208" s="199">
        <v>0</v>
      </c>
      <c r="K208" s="199">
        <v>0</v>
      </c>
      <c r="L208" s="199">
        <v>0</v>
      </c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5">
      <c r="A209" s="33" t="s">
        <v>140</v>
      </c>
      <c r="B209" s="33" t="s">
        <v>201</v>
      </c>
      <c r="C209" s="33">
        <v>6</v>
      </c>
      <c r="D209" s="33" t="s">
        <v>25</v>
      </c>
      <c r="E209" s="200">
        <v>-5133341</v>
      </c>
      <c r="F209" s="199">
        <v>-11134074.34</v>
      </c>
      <c r="G209" s="200">
        <v>62496</v>
      </c>
      <c r="H209" s="199">
        <v>7173.55</v>
      </c>
      <c r="I209" s="200">
        <v>0</v>
      </c>
      <c r="J209" s="199">
        <v>0</v>
      </c>
      <c r="K209" s="199">
        <v>0</v>
      </c>
      <c r="L209" s="199">
        <v>-368.53</v>
      </c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5">
      <c r="A210" s="33" t="s">
        <v>140</v>
      </c>
      <c r="B210" s="33" t="s">
        <v>201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>
        <v>0</v>
      </c>
      <c r="J210" s="199">
        <v>0</v>
      </c>
      <c r="K210" s="199">
        <v>0</v>
      </c>
      <c r="L210" s="199">
        <v>0</v>
      </c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5">
      <c r="A211" s="33" t="s">
        <v>140</v>
      </c>
      <c r="B211" s="33" t="s">
        <v>201</v>
      </c>
      <c r="C211" s="33">
        <v>8</v>
      </c>
      <c r="D211" s="33" t="s">
        <v>27</v>
      </c>
      <c r="E211" s="200">
        <v>-93</v>
      </c>
      <c r="F211" s="199">
        <v>-241</v>
      </c>
      <c r="G211" s="200">
        <v>0</v>
      </c>
      <c r="H211" s="199">
        <v>0</v>
      </c>
      <c r="I211" s="200">
        <v>0</v>
      </c>
      <c r="J211" s="199">
        <v>0</v>
      </c>
      <c r="K211" s="199">
        <v>-4240876</v>
      </c>
      <c r="L211" s="199">
        <v>-10730919</v>
      </c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5">
      <c r="A212" s="33" t="s">
        <v>140</v>
      </c>
      <c r="B212" s="33" t="s">
        <v>201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>
        <v>0</v>
      </c>
      <c r="J212" s="199">
        <v>0</v>
      </c>
      <c r="K212" s="199">
        <v>0</v>
      </c>
      <c r="L212" s="199">
        <v>0</v>
      </c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5">
      <c r="A213" s="33" t="s">
        <v>140</v>
      </c>
      <c r="B213" s="33" t="s">
        <v>201</v>
      </c>
      <c r="C213" s="33">
        <v>10</v>
      </c>
      <c r="D213" s="33" t="s">
        <v>32</v>
      </c>
      <c r="E213" s="200">
        <v>4898</v>
      </c>
      <c r="F213" s="199">
        <v>11461.32</v>
      </c>
      <c r="G213" s="200">
        <v>0</v>
      </c>
      <c r="H213" s="199">
        <v>0</v>
      </c>
      <c r="I213" s="200">
        <v>0</v>
      </c>
      <c r="J213" s="199">
        <v>0</v>
      </c>
      <c r="K213" s="199">
        <v>0</v>
      </c>
      <c r="L213" s="199">
        <v>0</v>
      </c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5">
      <c r="A214" s="33" t="s">
        <v>140</v>
      </c>
      <c r="B214" s="33" t="s">
        <v>201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>
        <v>0</v>
      </c>
      <c r="J214" s="199">
        <v>0</v>
      </c>
      <c r="K214" s="199">
        <v>0</v>
      </c>
      <c r="L214" s="199">
        <v>0</v>
      </c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5">
      <c r="A215" s="33" t="s">
        <v>140</v>
      </c>
      <c r="B215" s="33" t="s">
        <v>201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>
        <v>0</v>
      </c>
      <c r="J215" s="199">
        <v>0</v>
      </c>
      <c r="K215" s="199">
        <v>0</v>
      </c>
      <c r="L215" s="199">
        <v>0</v>
      </c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5">
      <c r="A216" s="33" t="s">
        <v>140</v>
      </c>
      <c r="B216" s="33" t="s">
        <v>201</v>
      </c>
      <c r="C216" s="33">
        <v>13</v>
      </c>
      <c r="D216" s="33" t="s">
        <v>39</v>
      </c>
      <c r="E216" s="200">
        <v>17827</v>
      </c>
      <c r="F216" s="199">
        <v>41715.18</v>
      </c>
      <c r="G216" s="200">
        <v>5519</v>
      </c>
      <c r="H216" s="199">
        <v>12914.46</v>
      </c>
      <c r="I216" s="200">
        <v>0</v>
      </c>
      <c r="J216" s="199">
        <v>0</v>
      </c>
      <c r="K216" s="199">
        <v>0</v>
      </c>
      <c r="L216" s="199">
        <v>0</v>
      </c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5">
      <c r="A217" s="33" t="s">
        <v>140</v>
      </c>
      <c r="B217" s="33" t="s">
        <v>201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>
        <v>0</v>
      </c>
      <c r="J217" s="199">
        <v>0</v>
      </c>
      <c r="K217" s="199">
        <v>0</v>
      </c>
      <c r="L217" s="199">
        <v>0</v>
      </c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5">
      <c r="A218" s="33" t="s">
        <v>140</v>
      </c>
      <c r="B218" s="33" t="s">
        <v>201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>
        <v>0</v>
      </c>
      <c r="J218" s="199">
        <v>0</v>
      </c>
      <c r="K218" s="199">
        <v>0</v>
      </c>
      <c r="L218" s="199">
        <v>0</v>
      </c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5">
      <c r="A219" s="33" t="s">
        <v>140</v>
      </c>
      <c r="B219" s="33" t="s">
        <v>201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>
        <v>0</v>
      </c>
      <c r="J219" s="199">
        <v>0</v>
      </c>
      <c r="K219" s="199">
        <v>0</v>
      </c>
      <c r="L219" s="199">
        <v>0</v>
      </c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5">
      <c r="A220" s="33" t="s">
        <v>140</v>
      </c>
      <c r="B220" s="33" t="s">
        <v>201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>
        <v>0</v>
      </c>
      <c r="J220" s="199">
        <v>0</v>
      </c>
      <c r="K220" s="199">
        <v>0</v>
      </c>
      <c r="L220" s="199">
        <v>0</v>
      </c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5">
      <c r="A221" s="33" t="s">
        <v>140</v>
      </c>
      <c r="B221" s="33" t="s">
        <v>201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>
        <v>0</v>
      </c>
      <c r="J221" s="199">
        <v>0</v>
      </c>
      <c r="K221" s="199">
        <v>0</v>
      </c>
      <c r="L221" s="199">
        <v>0</v>
      </c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5">
      <c r="A222" s="33" t="s">
        <v>140</v>
      </c>
      <c r="B222" s="33" t="s">
        <v>201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>
        <v>0</v>
      </c>
      <c r="J222" s="199">
        <v>0</v>
      </c>
      <c r="K222" s="199">
        <v>0</v>
      </c>
      <c r="L222" s="199">
        <v>0</v>
      </c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5">
      <c r="A223" s="33" t="s">
        <v>140</v>
      </c>
      <c r="B223" s="33" t="s">
        <v>201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>
        <v>0</v>
      </c>
      <c r="J223" s="199">
        <v>0</v>
      </c>
      <c r="K223" s="199">
        <v>0</v>
      </c>
      <c r="L223" s="199">
        <v>0</v>
      </c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5">
      <c r="A224" s="33" t="s">
        <v>140</v>
      </c>
      <c r="B224" s="33" t="s">
        <v>201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>
        <v>0</v>
      </c>
      <c r="J224" s="199">
        <v>0</v>
      </c>
      <c r="K224" s="199">
        <v>0</v>
      </c>
      <c r="L224" s="199">
        <v>0</v>
      </c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5">
      <c r="A225" s="33" t="s">
        <v>140</v>
      </c>
      <c r="B225" s="33" t="s">
        <v>201</v>
      </c>
      <c r="C225" s="33">
        <v>22</v>
      </c>
      <c r="D225" s="33" t="s">
        <v>130</v>
      </c>
      <c r="E225" s="200">
        <v>811336</v>
      </c>
      <c r="F225" s="199">
        <v>1898526.24</v>
      </c>
      <c r="G225" s="200">
        <v>-47923</v>
      </c>
      <c r="H225" s="199">
        <v>-112139.82</v>
      </c>
      <c r="I225" s="200">
        <v>2997</v>
      </c>
      <c r="J225" s="199">
        <v>7012.98</v>
      </c>
      <c r="K225" s="199">
        <v>-1389</v>
      </c>
      <c r="L225" s="199">
        <v>-3250.26</v>
      </c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5">
      <c r="A226" s="33" t="s">
        <v>140</v>
      </c>
      <c r="B226" s="33" t="s">
        <v>201</v>
      </c>
      <c r="C226" s="33">
        <v>23</v>
      </c>
      <c r="D226" s="33" t="s">
        <v>131</v>
      </c>
      <c r="E226" s="200">
        <v>-4898</v>
      </c>
      <c r="F226" s="199">
        <v>-11461.32</v>
      </c>
      <c r="G226" s="200">
        <v>0</v>
      </c>
      <c r="H226" s="199">
        <v>0</v>
      </c>
      <c r="I226" s="200">
        <v>0</v>
      </c>
      <c r="J226" s="199">
        <v>0</v>
      </c>
      <c r="K226" s="199">
        <v>0</v>
      </c>
      <c r="L226" s="199">
        <v>0</v>
      </c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5">
      <c r="A227" s="33" t="s">
        <v>140</v>
      </c>
      <c r="B227" s="33" t="s">
        <v>201</v>
      </c>
      <c r="C227" s="33">
        <v>24</v>
      </c>
      <c r="D227" s="33" t="s">
        <v>55</v>
      </c>
      <c r="E227" s="200">
        <v>-11660092</v>
      </c>
      <c r="F227" s="199">
        <v>-245536.4</v>
      </c>
      <c r="G227" s="200">
        <v>113863</v>
      </c>
      <c r="H227" s="199">
        <v>4878.5200000000004</v>
      </c>
      <c r="I227" s="200">
        <v>2997</v>
      </c>
      <c r="J227" s="199">
        <v>0.01</v>
      </c>
      <c r="K227" s="199">
        <v>0</v>
      </c>
      <c r="L227" s="199">
        <v>368.53</v>
      </c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5">
      <c r="A228" s="33" t="s">
        <v>140</v>
      </c>
      <c r="B228" s="33" t="s">
        <v>201</v>
      </c>
      <c r="C228" s="33">
        <v>25</v>
      </c>
      <c r="D228" s="33" t="s">
        <v>56</v>
      </c>
      <c r="E228" s="200">
        <v>0</v>
      </c>
      <c r="F228" s="199">
        <v>-735080.54</v>
      </c>
      <c r="G228" s="200">
        <v>0</v>
      </c>
      <c r="H228" s="199">
        <v>-13445</v>
      </c>
      <c r="I228" s="200">
        <v>0</v>
      </c>
      <c r="J228" s="199">
        <v>13445</v>
      </c>
      <c r="K228" s="199">
        <v>0</v>
      </c>
      <c r="L228" s="199">
        <v>-6205.2</v>
      </c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5">
      <c r="A229" s="33" t="s">
        <v>140</v>
      </c>
      <c r="B229" s="33" t="s">
        <v>201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>
        <v>0</v>
      </c>
      <c r="J229" s="199">
        <v>0</v>
      </c>
      <c r="K229" s="199">
        <v>0</v>
      </c>
      <c r="L229" s="199">
        <v>0</v>
      </c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5">
      <c r="A230" s="33" t="s">
        <v>140</v>
      </c>
      <c r="B230" s="33" t="s">
        <v>201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>
        <v>0</v>
      </c>
      <c r="J230" s="199">
        <v>0</v>
      </c>
      <c r="K230" s="199">
        <v>0</v>
      </c>
      <c r="L230" s="199">
        <v>0</v>
      </c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5">
      <c r="A231" s="33" t="s">
        <v>140</v>
      </c>
      <c r="B231" s="33" t="s">
        <v>201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>
        <v>0</v>
      </c>
      <c r="J231" s="199">
        <v>0</v>
      </c>
      <c r="K231" s="199">
        <v>0</v>
      </c>
      <c r="L231" s="199">
        <v>0</v>
      </c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5">
      <c r="A232" s="33" t="s">
        <v>140</v>
      </c>
      <c r="B232" s="33" t="s">
        <v>201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>
        <v>0</v>
      </c>
      <c r="J232" s="199">
        <v>0</v>
      </c>
      <c r="K232" s="199">
        <v>0</v>
      </c>
      <c r="L232" s="199">
        <v>0</v>
      </c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5">
      <c r="A233" s="33" t="s">
        <v>140</v>
      </c>
      <c r="B233" s="33" t="s">
        <v>201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>
        <v>0</v>
      </c>
      <c r="J233" s="199">
        <v>0</v>
      </c>
      <c r="K233" s="199">
        <v>0</v>
      </c>
      <c r="L233" s="199">
        <v>0</v>
      </c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5">
      <c r="A234" s="33" t="s">
        <v>140</v>
      </c>
      <c r="B234" s="33" t="s">
        <v>201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>
        <v>0</v>
      </c>
      <c r="J234" s="199">
        <v>0</v>
      </c>
      <c r="K234" s="199">
        <v>0</v>
      </c>
      <c r="L234" s="199">
        <v>0</v>
      </c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5">
      <c r="A235" s="33" t="s">
        <v>140</v>
      </c>
      <c r="B235" s="33" t="s">
        <v>201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>
        <v>0</v>
      </c>
      <c r="J235" s="199">
        <v>0</v>
      </c>
      <c r="K235" s="199">
        <v>0</v>
      </c>
      <c r="L235" s="199">
        <v>0</v>
      </c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5">
      <c r="A236" s="33" t="s">
        <v>140</v>
      </c>
      <c r="B236" s="33" t="s">
        <v>201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>
        <v>0</v>
      </c>
      <c r="J236" s="199">
        <v>0</v>
      </c>
      <c r="K236" s="199">
        <v>0</v>
      </c>
      <c r="L236" s="199">
        <v>0</v>
      </c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5">
      <c r="A237" s="33" t="s">
        <v>140</v>
      </c>
      <c r="B237" s="33" t="s">
        <v>201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>
        <v>0</v>
      </c>
      <c r="J237" s="199">
        <v>0</v>
      </c>
      <c r="K237" s="199">
        <v>0</v>
      </c>
      <c r="L237" s="199">
        <v>0</v>
      </c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5">
      <c r="A238" s="33" t="s">
        <v>140</v>
      </c>
      <c r="B238" s="33" t="s">
        <v>201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>
        <v>0</v>
      </c>
      <c r="J238" s="199">
        <v>0</v>
      </c>
      <c r="K238" s="199">
        <v>0</v>
      </c>
      <c r="L238" s="199">
        <v>0</v>
      </c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5">
      <c r="A239" s="33" t="s">
        <v>140</v>
      </c>
      <c r="B239" s="33" t="s">
        <v>201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>
        <v>0</v>
      </c>
      <c r="J239" s="199">
        <v>0</v>
      </c>
      <c r="K239" s="199">
        <v>0</v>
      </c>
      <c r="L239" s="199">
        <v>0</v>
      </c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5">
      <c r="A240" s="33" t="s">
        <v>140</v>
      </c>
      <c r="B240" s="33" t="s">
        <v>201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>
        <v>0</v>
      </c>
      <c r="J240" s="199">
        <v>0</v>
      </c>
      <c r="K240" s="199">
        <v>0</v>
      </c>
      <c r="L240" s="199">
        <v>0</v>
      </c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5">
      <c r="A241" s="33" t="s">
        <v>140</v>
      </c>
      <c r="B241" s="33" t="s">
        <v>201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>
        <v>0</v>
      </c>
      <c r="J241" s="199">
        <v>0</v>
      </c>
      <c r="K241" s="199">
        <v>0</v>
      </c>
      <c r="L241" s="199">
        <v>0</v>
      </c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5">
      <c r="A242" s="33" t="s">
        <v>140</v>
      </c>
      <c r="B242" s="33" t="s">
        <v>201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>
        <v>0</v>
      </c>
      <c r="J242" s="199">
        <v>0</v>
      </c>
      <c r="K242" s="199">
        <v>0</v>
      </c>
      <c r="L242" s="199">
        <v>0</v>
      </c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5">
      <c r="A243" s="33" t="s">
        <v>140</v>
      </c>
      <c r="B243" s="33" t="s">
        <v>201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>
        <v>0</v>
      </c>
      <c r="J243" s="199">
        <v>0</v>
      </c>
      <c r="K243" s="199">
        <v>0</v>
      </c>
      <c r="L243" s="199">
        <v>0</v>
      </c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5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197305664</v>
      </c>
      <c r="F244" s="199">
        <v>536010571.90999997</v>
      </c>
      <c r="G244" s="200">
        <v>2704985</v>
      </c>
      <c r="H244" s="199">
        <v>8315082.4099999992</v>
      </c>
      <c r="I244" s="200">
        <v>-1093251</v>
      </c>
      <c r="J244" s="199">
        <v>-2887771.47</v>
      </c>
      <c r="K244" s="199">
        <v>1643737</v>
      </c>
      <c r="L244" s="199">
        <v>5001041.95</v>
      </c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5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>
        <v>0</v>
      </c>
      <c r="J245" s="199">
        <v>0</v>
      </c>
      <c r="K245" s="199">
        <v>0</v>
      </c>
      <c r="L245" s="199">
        <v>0</v>
      </c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5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14505729</v>
      </c>
      <c r="F246" s="199">
        <v>39605175</v>
      </c>
      <c r="G246" s="200">
        <v>44423</v>
      </c>
      <c r="H246" s="199">
        <v>134252</v>
      </c>
      <c r="I246" s="200">
        <v>0</v>
      </c>
      <c r="J246" s="199">
        <v>0</v>
      </c>
      <c r="K246" s="199">
        <v>81478324</v>
      </c>
      <c r="L246" s="199">
        <v>229544045</v>
      </c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5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>
        <v>0</v>
      </c>
      <c r="J247" s="199">
        <v>0</v>
      </c>
      <c r="K247" s="199">
        <v>0</v>
      </c>
      <c r="L247" s="199">
        <v>0</v>
      </c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5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3704959.57</v>
      </c>
      <c r="G248" s="200">
        <v>0</v>
      </c>
      <c r="H248" s="199">
        <v>291832.76</v>
      </c>
      <c r="I248" s="200">
        <v>0</v>
      </c>
      <c r="J248" s="199">
        <v>2532346</v>
      </c>
      <c r="K248" s="199">
        <v>0</v>
      </c>
      <c r="L248" s="199">
        <v>2629223</v>
      </c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5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-197512953</v>
      </c>
      <c r="F249" s="199">
        <v>-529355597.60000002</v>
      </c>
      <c r="G249" s="200">
        <v>-2048513</v>
      </c>
      <c r="H249" s="199">
        <v>-3122048.52</v>
      </c>
      <c r="I249" s="200">
        <v>608641</v>
      </c>
      <c r="J249" s="199">
        <v>-4579074.58</v>
      </c>
      <c r="K249" s="199">
        <v>-2521988</v>
      </c>
      <c r="L249" s="199">
        <v>-6917588.1299999999</v>
      </c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5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>
        <v>0</v>
      </c>
      <c r="J250" s="199">
        <v>0</v>
      </c>
      <c r="K250" s="199">
        <v>0</v>
      </c>
      <c r="L250" s="199">
        <v>0</v>
      </c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5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-14226249</v>
      </c>
      <c r="F251" s="199">
        <v>-41084728</v>
      </c>
      <c r="G251" s="200">
        <v>-85855</v>
      </c>
      <c r="H251" s="199">
        <v>-224401</v>
      </c>
      <c r="I251" s="200">
        <v>0</v>
      </c>
      <c r="J251" s="199">
        <v>0</v>
      </c>
      <c r="K251" s="199">
        <v>-81325578</v>
      </c>
      <c r="L251" s="199">
        <v>-229079355</v>
      </c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5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>
        <v>0</v>
      </c>
      <c r="J252" s="199">
        <v>0</v>
      </c>
      <c r="K252" s="199">
        <v>0</v>
      </c>
      <c r="L252" s="199">
        <v>0</v>
      </c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5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1361359</v>
      </c>
      <c r="F253" s="199">
        <v>3579012.8110000002</v>
      </c>
      <c r="G253" s="200">
        <v>6719</v>
      </c>
      <c r="H253" s="199">
        <v>17664.251</v>
      </c>
      <c r="I253" s="200">
        <v>-25900</v>
      </c>
      <c r="J253" s="199">
        <v>-68091.100000000006</v>
      </c>
      <c r="K253" s="199">
        <v>-222417</v>
      </c>
      <c r="L253" s="199">
        <v>-584734.29299999995</v>
      </c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5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778143</v>
      </c>
      <c r="F254" s="199">
        <v>2116022</v>
      </c>
      <c r="G254" s="200">
        <v>3358</v>
      </c>
      <c r="H254" s="199">
        <v>9690.02</v>
      </c>
      <c r="I254" s="200">
        <v>0</v>
      </c>
      <c r="J254" s="199">
        <v>0</v>
      </c>
      <c r="K254" s="199">
        <v>0</v>
      </c>
      <c r="L254" s="199">
        <v>0</v>
      </c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5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-493423</v>
      </c>
      <c r="F255" s="199">
        <v>-1312703.19</v>
      </c>
      <c r="G255" s="200">
        <v>1441</v>
      </c>
      <c r="H255" s="199">
        <v>3940.42</v>
      </c>
      <c r="I255" s="200">
        <v>0</v>
      </c>
      <c r="J255" s="199">
        <v>0</v>
      </c>
      <c r="K255" s="199">
        <v>0</v>
      </c>
      <c r="L255" s="199">
        <v>-24.64</v>
      </c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5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84069</v>
      </c>
      <c r="F256" s="199">
        <v>221017.40100000001</v>
      </c>
      <c r="G256" s="200">
        <v>-570714</v>
      </c>
      <c r="H256" s="199">
        <v>-1500407.1059999999</v>
      </c>
      <c r="I256" s="200">
        <v>1596744</v>
      </c>
      <c r="J256" s="199">
        <v>4197839.9759999998</v>
      </c>
      <c r="K256" s="199">
        <v>1097516</v>
      </c>
      <c r="L256" s="199">
        <v>2885369.5639999998</v>
      </c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5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-397497</v>
      </c>
      <c r="H257" s="199">
        <v>-1085638.6100000001</v>
      </c>
      <c r="I257" s="200">
        <v>-193276</v>
      </c>
      <c r="J257" s="199">
        <v>-487267.43</v>
      </c>
      <c r="K257" s="199">
        <v>-167645</v>
      </c>
      <c r="L257" s="199">
        <v>-483822.69</v>
      </c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5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162357</v>
      </c>
      <c r="H258" s="199">
        <v>401370.06</v>
      </c>
      <c r="I258" s="200">
        <v>26308</v>
      </c>
      <c r="J258" s="199">
        <v>73233.23</v>
      </c>
      <c r="K258" s="199">
        <v>21618</v>
      </c>
      <c r="L258" s="199">
        <v>59611.34</v>
      </c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5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>
        <v>0</v>
      </c>
      <c r="J259" s="199">
        <v>0</v>
      </c>
      <c r="K259" s="199">
        <v>0</v>
      </c>
      <c r="L259" s="199">
        <v>0</v>
      </c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5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86490</v>
      </c>
      <c r="F260" s="199">
        <v>227382.21</v>
      </c>
      <c r="G260" s="200">
        <v>-86451</v>
      </c>
      <c r="H260" s="199">
        <v>-227279.68</v>
      </c>
      <c r="I260" s="200">
        <v>0</v>
      </c>
      <c r="J260" s="199">
        <v>0</v>
      </c>
      <c r="K260" s="199">
        <v>3</v>
      </c>
      <c r="L260" s="199">
        <v>0.01</v>
      </c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5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-1466369</v>
      </c>
      <c r="F261" s="199">
        <v>-2695450.25</v>
      </c>
      <c r="G261" s="200">
        <v>-176985</v>
      </c>
      <c r="H261" s="199">
        <v>-435547.12</v>
      </c>
      <c r="I261" s="200">
        <v>0</v>
      </c>
      <c r="J261" s="199">
        <v>0</v>
      </c>
      <c r="K261" s="199">
        <v>-169</v>
      </c>
      <c r="L261" s="199">
        <v>-453.85</v>
      </c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5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>
        <v>0</v>
      </c>
      <c r="J262" s="199">
        <v>0</v>
      </c>
      <c r="K262" s="199">
        <v>0</v>
      </c>
      <c r="L262" s="199">
        <v>0</v>
      </c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5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>
        <v>0</v>
      </c>
      <c r="J263" s="199">
        <v>0</v>
      </c>
      <c r="K263" s="199">
        <v>0</v>
      </c>
      <c r="L263" s="199">
        <v>0</v>
      </c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5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>
        <v>0</v>
      </c>
      <c r="J264" s="199">
        <v>0</v>
      </c>
      <c r="K264" s="199">
        <v>0</v>
      </c>
      <c r="L264" s="199">
        <v>0</v>
      </c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5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-422460</v>
      </c>
      <c r="F265" s="199">
        <v>-1110647.3400000001</v>
      </c>
      <c r="G265" s="200">
        <v>442732</v>
      </c>
      <c r="H265" s="199">
        <v>1163942.4280000001</v>
      </c>
      <c r="I265" s="200">
        <v>-919266</v>
      </c>
      <c r="J265" s="199">
        <v>-2416750.3139999998</v>
      </c>
      <c r="K265" s="199">
        <v>-3401</v>
      </c>
      <c r="L265" s="199">
        <v>-8941.2289999999994</v>
      </c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5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-1361359</v>
      </c>
      <c r="F266" s="199">
        <v>-3579012.8110000002</v>
      </c>
      <c r="G266" s="200">
        <v>-6719</v>
      </c>
      <c r="H266" s="199">
        <v>-17664.251</v>
      </c>
      <c r="I266" s="200">
        <v>648795</v>
      </c>
      <c r="J266" s="199">
        <v>1705682.0549999999</v>
      </c>
      <c r="K266" s="199">
        <v>222417</v>
      </c>
      <c r="L266" s="199">
        <v>584734.29299999995</v>
      </c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5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-156628547</v>
      </c>
      <c r="F267" s="199">
        <v>-2152001.3199999998</v>
      </c>
      <c r="G267" s="200">
        <v>21908879</v>
      </c>
      <c r="H267" s="199">
        <v>-158391.46</v>
      </c>
      <c r="I267" s="200">
        <v>-6356985</v>
      </c>
      <c r="J267" s="199">
        <v>-44680.35</v>
      </c>
      <c r="K267" s="199">
        <v>379530</v>
      </c>
      <c r="L267" s="199">
        <v>542546.55000000005</v>
      </c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5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-7995911.4199999999</v>
      </c>
      <c r="G268" s="200">
        <v>0</v>
      </c>
      <c r="H268" s="199">
        <v>-66720.37</v>
      </c>
      <c r="I268" s="200">
        <v>0</v>
      </c>
      <c r="J268" s="199">
        <v>-14166.89</v>
      </c>
      <c r="K268" s="199">
        <v>0</v>
      </c>
      <c r="L268" s="199">
        <v>-100</v>
      </c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5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86158.06</v>
      </c>
      <c r="G269" s="200">
        <v>0</v>
      </c>
      <c r="H269" s="199">
        <v>-21516.69</v>
      </c>
      <c r="I269" s="200">
        <v>0</v>
      </c>
      <c r="J269" s="199">
        <v>868</v>
      </c>
      <c r="K269" s="199">
        <v>0</v>
      </c>
      <c r="L269" s="199">
        <v>0</v>
      </c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5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>
        <v>0</v>
      </c>
      <c r="J270" s="199">
        <v>0</v>
      </c>
      <c r="K270" s="199">
        <v>0</v>
      </c>
      <c r="L270" s="199">
        <v>0</v>
      </c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5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>
        <v>0</v>
      </c>
      <c r="J271" s="199">
        <v>0</v>
      </c>
      <c r="K271" s="199">
        <v>0</v>
      </c>
      <c r="L271" s="199">
        <v>0</v>
      </c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5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>
        <v>0</v>
      </c>
      <c r="J272" s="199">
        <v>0</v>
      </c>
      <c r="K272" s="199">
        <v>0</v>
      </c>
      <c r="L272" s="199">
        <v>0</v>
      </c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5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>
        <v>0</v>
      </c>
      <c r="J273" s="199">
        <v>0</v>
      </c>
      <c r="K273" s="199">
        <v>0</v>
      </c>
      <c r="L273" s="199">
        <v>0</v>
      </c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5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>
        <v>0</v>
      </c>
      <c r="J274" s="199">
        <v>0</v>
      </c>
      <c r="K274" s="199">
        <v>0</v>
      </c>
      <c r="L274" s="199">
        <v>0</v>
      </c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5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>
        <v>0</v>
      </c>
      <c r="J275" s="199">
        <v>0</v>
      </c>
      <c r="K275" s="199">
        <v>0</v>
      </c>
      <c r="L275" s="199">
        <v>0</v>
      </c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5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>
        <v>0</v>
      </c>
      <c r="J276" s="199">
        <v>0</v>
      </c>
      <c r="K276" s="199">
        <v>0</v>
      </c>
      <c r="L276" s="199">
        <v>0</v>
      </c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5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>
        <v>0</v>
      </c>
      <c r="J277" s="199">
        <v>0</v>
      </c>
      <c r="K277" s="199">
        <v>0</v>
      </c>
      <c r="L277" s="199">
        <v>0</v>
      </c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5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-8316.2099999999991</v>
      </c>
      <c r="G278" s="200">
        <v>0</v>
      </c>
      <c r="H278" s="199">
        <v>85046.63</v>
      </c>
      <c r="I278" s="200">
        <v>0</v>
      </c>
      <c r="J278" s="199">
        <v>35285.449999999997</v>
      </c>
      <c r="K278" s="199">
        <v>0</v>
      </c>
      <c r="L278" s="199">
        <v>82.05</v>
      </c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5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>
        <v>0</v>
      </c>
      <c r="J279" s="199">
        <v>0</v>
      </c>
      <c r="K279" s="199">
        <v>0</v>
      </c>
      <c r="L279" s="199">
        <v>0</v>
      </c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5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>
        <v>0</v>
      </c>
      <c r="J280" s="199">
        <v>0</v>
      </c>
      <c r="K280" s="199">
        <v>0</v>
      </c>
      <c r="L280" s="199">
        <v>0</v>
      </c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5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>
        <v>0</v>
      </c>
      <c r="J281" s="199">
        <v>0</v>
      </c>
      <c r="K281" s="199">
        <v>0</v>
      </c>
      <c r="L281" s="199">
        <v>0</v>
      </c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5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>
        <v>0</v>
      </c>
      <c r="J282" s="199">
        <v>0</v>
      </c>
      <c r="K282" s="199">
        <v>0</v>
      </c>
      <c r="L282" s="199">
        <v>0</v>
      </c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5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228262.05</v>
      </c>
      <c r="G283" s="200">
        <v>0</v>
      </c>
      <c r="H283" s="199">
        <v>223543.27</v>
      </c>
      <c r="I283" s="200">
        <v>0</v>
      </c>
      <c r="J283" s="199">
        <v>-197425.28</v>
      </c>
      <c r="K283" s="199">
        <v>0</v>
      </c>
      <c r="L283" s="199">
        <v>0</v>
      </c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5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45571314</v>
      </c>
      <c r="F284" s="199">
        <v>113356518.03000002</v>
      </c>
      <c r="G284" s="200">
        <v>2277703</v>
      </c>
      <c r="H284" s="199">
        <v>5852188.5999999996</v>
      </c>
      <c r="I284" s="200">
        <v>-113100</v>
      </c>
      <c r="J284" s="199">
        <v>-343212</v>
      </c>
      <c r="K284" s="199">
        <v>0</v>
      </c>
      <c r="L284" s="199">
        <v>0</v>
      </c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5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>
        <v>0</v>
      </c>
      <c r="J285" s="199">
        <v>0</v>
      </c>
      <c r="K285" s="199">
        <v>0</v>
      </c>
      <c r="L285" s="199">
        <v>0</v>
      </c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5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225056</v>
      </c>
      <c r="F286" s="199">
        <v>676534</v>
      </c>
      <c r="G286" s="200">
        <v>27226</v>
      </c>
      <c r="H286" s="199">
        <v>81106</v>
      </c>
      <c r="I286" s="200">
        <v>0</v>
      </c>
      <c r="J286" s="199">
        <v>0</v>
      </c>
      <c r="K286" s="199">
        <v>533601</v>
      </c>
      <c r="L286" s="199">
        <v>1485244</v>
      </c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5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>
        <v>0</v>
      </c>
      <c r="J287" s="199">
        <v>0</v>
      </c>
      <c r="K287" s="199">
        <v>0</v>
      </c>
      <c r="L287" s="199">
        <v>0</v>
      </c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5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-64775</v>
      </c>
      <c r="G288" s="200">
        <v>0</v>
      </c>
      <c r="H288" s="199">
        <v>0</v>
      </c>
      <c r="I288" s="200">
        <v>0</v>
      </c>
      <c r="J288" s="199">
        <v>0</v>
      </c>
      <c r="K288" s="199">
        <v>0</v>
      </c>
      <c r="L288" s="199">
        <v>0</v>
      </c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5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-44865488</v>
      </c>
      <c r="F289" s="199">
        <v>-116714515.70999999</v>
      </c>
      <c r="G289" s="200">
        <v>-2163172</v>
      </c>
      <c r="H289" s="199">
        <v>-1881069.61</v>
      </c>
      <c r="I289" s="200">
        <v>19596</v>
      </c>
      <c r="J289" s="199">
        <v>212082.23</v>
      </c>
      <c r="K289" s="199">
        <v>0</v>
      </c>
      <c r="L289" s="199">
        <v>0</v>
      </c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5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>
        <v>0</v>
      </c>
      <c r="J290" s="199">
        <v>0</v>
      </c>
      <c r="K290" s="199">
        <v>0</v>
      </c>
      <c r="L290" s="199">
        <v>0</v>
      </c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5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-712812</v>
      </c>
      <c r="F291" s="199">
        <v>-2102014</v>
      </c>
      <c r="G291" s="200">
        <v>0</v>
      </c>
      <c r="H291" s="199">
        <v>0</v>
      </c>
      <c r="I291" s="200">
        <v>0</v>
      </c>
      <c r="J291" s="199">
        <v>0</v>
      </c>
      <c r="K291" s="199">
        <v>-788835</v>
      </c>
      <c r="L291" s="199">
        <v>-2192204</v>
      </c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5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>
        <v>0</v>
      </c>
      <c r="J292" s="199">
        <v>0</v>
      </c>
      <c r="K292" s="199">
        <v>0</v>
      </c>
      <c r="L292" s="199">
        <v>0</v>
      </c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5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2308</v>
      </c>
      <c r="F293" s="199">
        <v>6970.16</v>
      </c>
      <c r="G293" s="200">
        <v>69240</v>
      </c>
      <c r="H293" s="199">
        <v>209104.8</v>
      </c>
      <c r="I293" s="200">
        <v>0</v>
      </c>
      <c r="J293" s="199">
        <v>0</v>
      </c>
      <c r="K293" s="199">
        <v>0</v>
      </c>
      <c r="L293" s="199">
        <v>0</v>
      </c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5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>
        <v>0</v>
      </c>
      <c r="J294" s="199">
        <v>0</v>
      </c>
      <c r="K294" s="199">
        <v>0</v>
      </c>
      <c r="L294" s="199">
        <v>0</v>
      </c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5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>
        <v>0</v>
      </c>
      <c r="J295" s="199">
        <v>0</v>
      </c>
      <c r="K295" s="199">
        <v>0</v>
      </c>
      <c r="L295" s="199">
        <v>0</v>
      </c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5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88462</v>
      </c>
      <c r="F296" s="199">
        <v>267155.24</v>
      </c>
      <c r="G296" s="200">
        <v>741358</v>
      </c>
      <c r="H296" s="199">
        <v>2238901.16</v>
      </c>
      <c r="I296" s="200">
        <v>-24489</v>
      </c>
      <c r="J296" s="199">
        <v>-73956.78</v>
      </c>
      <c r="K296" s="199">
        <v>-133135</v>
      </c>
      <c r="L296" s="199">
        <v>-402067.7</v>
      </c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5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>
        <v>0</v>
      </c>
      <c r="J297" s="199">
        <v>0</v>
      </c>
      <c r="K297" s="199">
        <v>0</v>
      </c>
      <c r="L297" s="199">
        <v>0</v>
      </c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5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>
        <v>0</v>
      </c>
      <c r="J298" s="199">
        <v>0</v>
      </c>
      <c r="K298" s="199">
        <v>0</v>
      </c>
      <c r="L298" s="199">
        <v>0</v>
      </c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5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>
        <v>0</v>
      </c>
      <c r="J299" s="199">
        <v>0</v>
      </c>
      <c r="K299" s="199">
        <v>0</v>
      </c>
      <c r="L299" s="199">
        <v>0</v>
      </c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5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>
        <v>0</v>
      </c>
      <c r="J300" s="199">
        <v>0</v>
      </c>
      <c r="K300" s="199">
        <v>0</v>
      </c>
      <c r="L300" s="199">
        <v>0</v>
      </c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5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>
        <v>0</v>
      </c>
      <c r="J301" s="199">
        <v>0</v>
      </c>
      <c r="K301" s="199">
        <v>0</v>
      </c>
      <c r="L301" s="199">
        <v>0</v>
      </c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5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>
        <v>0</v>
      </c>
      <c r="J302" s="199">
        <v>0</v>
      </c>
      <c r="K302" s="199">
        <v>0</v>
      </c>
      <c r="L302" s="199">
        <v>0</v>
      </c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5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>
        <v>0</v>
      </c>
      <c r="J303" s="199">
        <v>0</v>
      </c>
      <c r="K303" s="199">
        <v>0</v>
      </c>
      <c r="L303" s="199">
        <v>0</v>
      </c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5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>
        <v>0</v>
      </c>
      <c r="J304" s="199">
        <v>0</v>
      </c>
      <c r="K304" s="199">
        <v>0</v>
      </c>
      <c r="L304" s="199">
        <v>0</v>
      </c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5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-308840</v>
      </c>
      <c r="F305" s="199">
        <v>-932696.8</v>
      </c>
      <c r="G305" s="200">
        <v>-952355</v>
      </c>
      <c r="H305" s="199">
        <v>-2876112.1</v>
      </c>
      <c r="I305" s="200">
        <v>117993</v>
      </c>
      <c r="J305" s="199">
        <v>356338.86</v>
      </c>
      <c r="K305" s="199">
        <v>388369</v>
      </c>
      <c r="L305" s="199">
        <v>1172874.3799999999</v>
      </c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5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-2308</v>
      </c>
      <c r="F306" s="199">
        <v>-6970.16</v>
      </c>
      <c r="G306" s="200">
        <v>-69240</v>
      </c>
      <c r="H306" s="199">
        <v>-209104.8</v>
      </c>
      <c r="I306" s="200">
        <v>0</v>
      </c>
      <c r="J306" s="199">
        <v>0</v>
      </c>
      <c r="K306" s="199">
        <v>0</v>
      </c>
      <c r="L306" s="199">
        <v>0</v>
      </c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5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-100623.67</v>
      </c>
      <c r="I307" s="200">
        <v>0</v>
      </c>
      <c r="J307" s="199">
        <v>0</v>
      </c>
      <c r="K307" s="199">
        <v>0</v>
      </c>
      <c r="L307" s="199">
        <v>0</v>
      </c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5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>
        <v>0</v>
      </c>
      <c r="J308" s="199">
        <v>0</v>
      </c>
      <c r="K308" s="199">
        <v>0</v>
      </c>
      <c r="L308" s="199">
        <v>0</v>
      </c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5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>
        <v>0</v>
      </c>
      <c r="J309" s="199">
        <v>0</v>
      </c>
      <c r="K309" s="199">
        <v>0</v>
      </c>
      <c r="L309" s="199">
        <v>0</v>
      </c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5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>
        <v>0</v>
      </c>
      <c r="J310" s="199">
        <v>0</v>
      </c>
      <c r="K310" s="199">
        <v>0</v>
      </c>
      <c r="L310" s="199">
        <v>0</v>
      </c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5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>
        <v>0</v>
      </c>
      <c r="J311" s="199">
        <v>0</v>
      </c>
      <c r="K311" s="199">
        <v>0</v>
      </c>
      <c r="L311" s="199">
        <v>0</v>
      </c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5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>
        <v>0</v>
      </c>
      <c r="J312" s="199">
        <v>0</v>
      </c>
      <c r="K312" s="199">
        <v>0</v>
      </c>
      <c r="L312" s="199">
        <v>0</v>
      </c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5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>
        <v>0</v>
      </c>
      <c r="J313" s="199">
        <v>0</v>
      </c>
      <c r="K313" s="199">
        <v>0</v>
      </c>
      <c r="L313" s="199">
        <v>0</v>
      </c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5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>
        <v>0</v>
      </c>
      <c r="J314" s="199">
        <v>0</v>
      </c>
      <c r="K314" s="199">
        <v>0</v>
      </c>
      <c r="L314" s="199">
        <v>0</v>
      </c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5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>
        <v>0</v>
      </c>
      <c r="J315" s="199">
        <v>0</v>
      </c>
      <c r="K315" s="199">
        <v>0</v>
      </c>
      <c r="L315" s="199">
        <v>0</v>
      </c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5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>
        <v>0</v>
      </c>
      <c r="J316" s="199">
        <v>0</v>
      </c>
      <c r="K316" s="199">
        <v>0</v>
      </c>
      <c r="L316" s="199">
        <v>0</v>
      </c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5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>
        <v>0</v>
      </c>
      <c r="J317" s="199">
        <v>0</v>
      </c>
      <c r="K317" s="199">
        <v>0</v>
      </c>
      <c r="L317" s="199">
        <v>0</v>
      </c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5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-198.24</v>
      </c>
      <c r="G318" s="200">
        <v>0</v>
      </c>
      <c r="H318" s="199">
        <v>-276.55</v>
      </c>
      <c r="I318" s="200">
        <v>0</v>
      </c>
      <c r="J318" s="199">
        <v>0</v>
      </c>
      <c r="K318" s="199">
        <v>0</v>
      </c>
      <c r="L318" s="199">
        <v>0</v>
      </c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5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>
        <v>0</v>
      </c>
      <c r="J319" s="199">
        <v>0</v>
      </c>
      <c r="K319" s="199">
        <v>0</v>
      </c>
      <c r="L319" s="199">
        <v>0</v>
      </c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5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>
        <v>0</v>
      </c>
      <c r="J320" s="199">
        <v>0</v>
      </c>
      <c r="K320" s="199">
        <v>0</v>
      </c>
      <c r="L320" s="199">
        <v>0</v>
      </c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5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>
        <v>0</v>
      </c>
      <c r="J321" s="199">
        <v>0</v>
      </c>
      <c r="K321" s="199">
        <v>0</v>
      </c>
      <c r="L321" s="199">
        <v>0</v>
      </c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5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>
        <v>0</v>
      </c>
      <c r="J322" s="199">
        <v>0</v>
      </c>
      <c r="K322" s="199">
        <v>0</v>
      </c>
      <c r="L322" s="199">
        <v>0</v>
      </c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5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>
        <v>0</v>
      </c>
      <c r="J323" s="199">
        <v>0</v>
      </c>
      <c r="K323" s="199">
        <v>0</v>
      </c>
      <c r="L323" s="199">
        <v>0</v>
      </c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5">
      <c r="A324" s="33" t="s">
        <v>140</v>
      </c>
      <c r="B324" s="33" t="s">
        <v>204</v>
      </c>
      <c r="C324" s="33">
        <v>1</v>
      </c>
      <c r="D324" s="33" t="s">
        <v>25</v>
      </c>
      <c r="E324" s="200">
        <v>15578321</v>
      </c>
      <c r="F324" s="199">
        <v>41308896.420000002</v>
      </c>
      <c r="G324" s="200">
        <v>14056</v>
      </c>
      <c r="H324" s="199">
        <v>175151.02</v>
      </c>
      <c r="I324" s="200">
        <v>-14056</v>
      </c>
      <c r="J324" s="199">
        <v>-36651.019999999997</v>
      </c>
      <c r="K324" s="199">
        <v>0</v>
      </c>
      <c r="L324" s="199">
        <v>0</v>
      </c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5">
      <c r="A325" s="33" t="s">
        <v>140</v>
      </c>
      <c r="B325" s="33" t="s">
        <v>204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>
        <v>0</v>
      </c>
      <c r="J325" s="199">
        <v>0</v>
      </c>
      <c r="K325" s="199">
        <v>0</v>
      </c>
      <c r="L325" s="199">
        <v>0</v>
      </c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5">
      <c r="A326" s="33" t="s">
        <v>140</v>
      </c>
      <c r="B326" s="33" t="s">
        <v>204</v>
      </c>
      <c r="C326" s="33">
        <v>3</v>
      </c>
      <c r="D326" s="33" t="s">
        <v>27</v>
      </c>
      <c r="E326" s="200">
        <v>625768</v>
      </c>
      <c r="F326" s="199">
        <v>1777308</v>
      </c>
      <c r="G326" s="200">
        <v>65854</v>
      </c>
      <c r="H326" s="199">
        <v>194599</v>
      </c>
      <c r="I326" s="200">
        <v>0</v>
      </c>
      <c r="J326" s="199">
        <v>0</v>
      </c>
      <c r="K326" s="199">
        <v>24902933</v>
      </c>
      <c r="L326" s="199">
        <v>69562826</v>
      </c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5">
      <c r="A327" s="33" t="s">
        <v>140</v>
      </c>
      <c r="B327" s="33" t="s">
        <v>204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>
        <v>0</v>
      </c>
      <c r="J327" s="199">
        <v>0</v>
      </c>
      <c r="K327" s="199">
        <v>0</v>
      </c>
      <c r="L327" s="199">
        <v>0</v>
      </c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5">
      <c r="A328" s="33" t="s">
        <v>140</v>
      </c>
      <c r="B328" s="33" t="s">
        <v>204</v>
      </c>
      <c r="C328" s="33">
        <v>5</v>
      </c>
      <c r="D328" s="33" t="s">
        <v>125</v>
      </c>
      <c r="E328" s="200">
        <v>0</v>
      </c>
      <c r="F328" s="199">
        <v>3000223</v>
      </c>
      <c r="G328" s="200">
        <v>0</v>
      </c>
      <c r="H328" s="199">
        <v>58000</v>
      </c>
      <c r="I328" s="200">
        <v>0</v>
      </c>
      <c r="J328" s="199">
        <v>0</v>
      </c>
      <c r="K328" s="199">
        <v>0</v>
      </c>
      <c r="L328" s="199">
        <v>0</v>
      </c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5">
      <c r="A329" s="33" t="s">
        <v>140</v>
      </c>
      <c r="B329" s="33" t="s">
        <v>204</v>
      </c>
      <c r="C329" s="33">
        <v>6</v>
      </c>
      <c r="D329" s="33" t="s">
        <v>25</v>
      </c>
      <c r="E329" s="200">
        <v>-9905968</v>
      </c>
      <c r="F329" s="199">
        <v>-25985875.810000002</v>
      </c>
      <c r="G329" s="200">
        <v>-20</v>
      </c>
      <c r="H329" s="199">
        <v>0.01</v>
      </c>
      <c r="I329" s="200">
        <v>0</v>
      </c>
      <c r="J329" s="199">
        <v>0</v>
      </c>
      <c r="K329" s="199">
        <v>0</v>
      </c>
      <c r="L329" s="199">
        <v>0</v>
      </c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5">
      <c r="A330" s="33" t="s">
        <v>140</v>
      </c>
      <c r="B330" s="33" t="s">
        <v>204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>
        <v>0</v>
      </c>
      <c r="J330" s="199">
        <v>0</v>
      </c>
      <c r="K330" s="199">
        <v>0</v>
      </c>
      <c r="L330" s="199">
        <v>0</v>
      </c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5">
      <c r="A331" s="33" t="s">
        <v>140</v>
      </c>
      <c r="B331" s="33" t="s">
        <v>204</v>
      </c>
      <c r="C331" s="33">
        <v>8</v>
      </c>
      <c r="D331" s="33" t="s">
        <v>27</v>
      </c>
      <c r="E331" s="200">
        <v>-55556</v>
      </c>
      <c r="F331" s="199">
        <v>-155961</v>
      </c>
      <c r="G331" s="200">
        <v>0</v>
      </c>
      <c r="H331" s="199">
        <v>0</v>
      </c>
      <c r="I331" s="200">
        <v>0</v>
      </c>
      <c r="J331" s="199">
        <v>0</v>
      </c>
      <c r="K331" s="199">
        <v>-31431869</v>
      </c>
      <c r="L331" s="199">
        <v>-86376461</v>
      </c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5">
      <c r="A332" s="33" t="s">
        <v>140</v>
      </c>
      <c r="B332" s="33" t="s">
        <v>204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>
        <v>0</v>
      </c>
      <c r="J332" s="199">
        <v>0</v>
      </c>
      <c r="K332" s="199">
        <v>0</v>
      </c>
      <c r="L332" s="199">
        <v>0</v>
      </c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5">
      <c r="A333" s="33" t="s">
        <v>140</v>
      </c>
      <c r="B333" s="33" t="s">
        <v>204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>
        <v>276158</v>
      </c>
      <c r="J333" s="199">
        <v>720081.98499999999</v>
      </c>
      <c r="K333" s="199">
        <v>0</v>
      </c>
      <c r="L333" s="199">
        <v>0</v>
      </c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5">
      <c r="A334" s="33" t="s">
        <v>140</v>
      </c>
      <c r="B334" s="33" t="s">
        <v>204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>
        <v>0</v>
      </c>
      <c r="J334" s="199">
        <v>0</v>
      </c>
      <c r="K334" s="199">
        <v>0</v>
      </c>
      <c r="L334" s="199">
        <v>0</v>
      </c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5">
      <c r="A335" s="33" t="s">
        <v>140</v>
      </c>
      <c r="B335" s="33" t="s">
        <v>204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>
        <v>0</v>
      </c>
      <c r="J335" s="199">
        <v>0</v>
      </c>
      <c r="K335" s="199">
        <v>0</v>
      </c>
      <c r="L335" s="199">
        <v>0</v>
      </c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5">
      <c r="A336" s="33" t="s">
        <v>140</v>
      </c>
      <c r="B336" s="33" t="s">
        <v>204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>
        <v>0</v>
      </c>
      <c r="J336" s="199">
        <v>0</v>
      </c>
      <c r="K336" s="199">
        <v>0</v>
      </c>
      <c r="L336" s="199">
        <v>0</v>
      </c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5">
      <c r="A337" s="33" t="s">
        <v>140</v>
      </c>
      <c r="B337" s="33" t="s">
        <v>204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>
        <v>0</v>
      </c>
      <c r="J337" s="199">
        <v>0</v>
      </c>
      <c r="K337" s="199">
        <v>0</v>
      </c>
      <c r="L337" s="199">
        <v>0</v>
      </c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5">
      <c r="A338" s="33" t="s">
        <v>140</v>
      </c>
      <c r="B338" s="33" t="s">
        <v>204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>
        <v>0</v>
      </c>
      <c r="J338" s="199">
        <v>0</v>
      </c>
      <c r="K338" s="199">
        <v>0</v>
      </c>
      <c r="L338" s="199">
        <v>0</v>
      </c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5">
      <c r="A339" s="33" t="s">
        <v>140</v>
      </c>
      <c r="B339" s="33" t="s">
        <v>204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>
        <v>0</v>
      </c>
      <c r="J339" s="199">
        <v>0</v>
      </c>
      <c r="K339" s="199">
        <v>0</v>
      </c>
      <c r="L339" s="199">
        <v>0</v>
      </c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5">
      <c r="A340" s="33" t="s">
        <v>140</v>
      </c>
      <c r="B340" s="33" t="s">
        <v>204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>
        <v>0</v>
      </c>
      <c r="J340" s="199">
        <v>0</v>
      </c>
      <c r="K340" s="199">
        <v>0</v>
      </c>
      <c r="L340" s="199">
        <v>0</v>
      </c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5">
      <c r="A341" s="201" t="s">
        <v>140</v>
      </c>
      <c r="B341" s="201" t="s">
        <v>204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>
        <v>0</v>
      </c>
      <c r="J341" s="200">
        <v>0</v>
      </c>
      <c r="K341" s="200">
        <v>0</v>
      </c>
      <c r="L341" s="200">
        <v>0</v>
      </c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5">
      <c r="A342" s="33" t="s">
        <v>140</v>
      </c>
      <c r="B342" s="33" t="s">
        <v>204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>
        <v>0</v>
      </c>
      <c r="J342" s="199">
        <v>0</v>
      </c>
      <c r="K342" s="199">
        <v>0</v>
      </c>
      <c r="L342" s="199">
        <v>0</v>
      </c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5">
      <c r="A343" s="33" t="s">
        <v>140</v>
      </c>
      <c r="B343" s="33" t="s">
        <v>204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>
        <v>0</v>
      </c>
      <c r="J343" s="199">
        <v>0</v>
      </c>
      <c r="K343" s="199">
        <v>0</v>
      </c>
      <c r="L343" s="199">
        <v>0</v>
      </c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5">
      <c r="A344" s="33" t="s">
        <v>140</v>
      </c>
      <c r="B344" s="33" t="s">
        <v>204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>
        <v>0</v>
      </c>
      <c r="J344" s="199">
        <v>0</v>
      </c>
      <c r="K344" s="199">
        <v>0</v>
      </c>
      <c r="L344" s="199">
        <v>0</v>
      </c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5">
      <c r="A345" s="33" t="s">
        <v>140</v>
      </c>
      <c r="B345" s="33" t="s">
        <v>204</v>
      </c>
      <c r="C345" s="33">
        <v>22</v>
      </c>
      <c r="D345" s="33" t="s">
        <v>130</v>
      </c>
      <c r="E345" s="200">
        <v>-6242565</v>
      </c>
      <c r="F345" s="199">
        <v>-16277488.237500001</v>
      </c>
      <c r="G345" s="200">
        <v>-79890</v>
      </c>
      <c r="H345" s="199">
        <v>-208313.17499999888</v>
      </c>
      <c r="I345" s="200">
        <v>-262102</v>
      </c>
      <c r="J345" s="199">
        <v>-683430.96499999997</v>
      </c>
      <c r="K345" s="199">
        <v>6528936</v>
      </c>
      <c r="L345" s="199">
        <v>17024200.620000001</v>
      </c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5">
      <c r="A346" s="33" t="s">
        <v>140</v>
      </c>
      <c r="B346" s="33" t="s">
        <v>204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>
        <v>-276158</v>
      </c>
      <c r="J346" s="199">
        <v>-720081.98499999999</v>
      </c>
      <c r="K346" s="199">
        <v>0</v>
      </c>
      <c r="L346" s="199">
        <v>0</v>
      </c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5">
      <c r="A347" s="33" t="s">
        <v>140</v>
      </c>
      <c r="B347" s="33" t="s">
        <v>204</v>
      </c>
      <c r="C347" s="33">
        <v>24</v>
      </c>
      <c r="D347" s="33" t="s">
        <v>55</v>
      </c>
      <c r="E347" s="200">
        <v>-7488946</v>
      </c>
      <c r="F347" s="199">
        <v>-129077.94</v>
      </c>
      <c r="G347" s="200">
        <v>2</v>
      </c>
      <c r="H347" s="199">
        <v>0.01</v>
      </c>
      <c r="I347" s="200">
        <v>0</v>
      </c>
      <c r="J347" s="199">
        <v>0</v>
      </c>
      <c r="K347" s="199">
        <v>0</v>
      </c>
      <c r="L347" s="199">
        <v>0</v>
      </c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5">
      <c r="A348" s="33" t="s">
        <v>140</v>
      </c>
      <c r="B348" s="33" t="s">
        <v>204</v>
      </c>
      <c r="C348" s="33">
        <v>25</v>
      </c>
      <c r="D348" s="33" t="s">
        <v>56</v>
      </c>
      <c r="E348" s="200">
        <v>0</v>
      </c>
      <c r="F348" s="199">
        <v>-3029587.8</v>
      </c>
      <c r="G348" s="200">
        <v>0</v>
      </c>
      <c r="H348" s="199">
        <v>-547088.74</v>
      </c>
      <c r="I348" s="200">
        <v>0</v>
      </c>
      <c r="J348" s="199">
        <v>0</v>
      </c>
      <c r="K348" s="199">
        <v>0</v>
      </c>
      <c r="L348" s="199">
        <v>0</v>
      </c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5">
      <c r="A349" s="33" t="s">
        <v>140</v>
      </c>
      <c r="B349" s="33" t="s">
        <v>204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>
        <v>0</v>
      </c>
      <c r="J349" s="199">
        <v>0</v>
      </c>
      <c r="K349" s="199">
        <v>0</v>
      </c>
      <c r="L349" s="199">
        <v>0</v>
      </c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5">
      <c r="A350" s="33" t="s">
        <v>140</v>
      </c>
      <c r="B350" s="33" t="s">
        <v>204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>
        <v>0</v>
      </c>
      <c r="J350" s="199">
        <v>0</v>
      </c>
      <c r="K350" s="199">
        <v>0</v>
      </c>
      <c r="L350" s="199">
        <v>0</v>
      </c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5">
      <c r="A351" s="33" t="s">
        <v>140</v>
      </c>
      <c r="B351" s="33" t="s">
        <v>204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v>0</v>
      </c>
      <c r="J351" s="206">
        <v>0</v>
      </c>
      <c r="K351" s="206">
        <v>0</v>
      </c>
      <c r="L351" s="199">
        <v>0</v>
      </c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5">
      <c r="A352" s="33" t="s">
        <v>140</v>
      </c>
      <c r="B352" s="33" t="s">
        <v>204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>
        <v>0</v>
      </c>
      <c r="J352" s="199">
        <v>0</v>
      </c>
      <c r="K352" s="199">
        <v>0</v>
      </c>
      <c r="L352" s="199">
        <v>0</v>
      </c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5">
      <c r="A353" s="33" t="s">
        <v>140</v>
      </c>
      <c r="B353" s="33" t="s">
        <v>204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>
        <v>0</v>
      </c>
      <c r="J353" s="199">
        <v>0</v>
      </c>
      <c r="K353" s="199">
        <v>0</v>
      </c>
      <c r="L353" s="199">
        <v>0</v>
      </c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5">
      <c r="A354" s="33" t="s">
        <v>140</v>
      </c>
      <c r="B354" s="33" t="s">
        <v>204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>
        <v>0</v>
      </c>
      <c r="J354" s="199">
        <v>0</v>
      </c>
      <c r="K354" s="199">
        <v>0</v>
      </c>
      <c r="L354" s="199">
        <v>0</v>
      </c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5">
      <c r="A355" s="33" t="s">
        <v>140</v>
      </c>
      <c r="B355" s="33" t="s">
        <v>204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>
        <v>0</v>
      </c>
      <c r="J355" s="199">
        <v>0</v>
      </c>
      <c r="K355" s="199">
        <v>0</v>
      </c>
      <c r="L355" s="199">
        <v>0</v>
      </c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5">
      <c r="A356" s="33" t="s">
        <v>140</v>
      </c>
      <c r="B356" s="33" t="s">
        <v>204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>
        <v>0</v>
      </c>
      <c r="J356" s="199">
        <v>0</v>
      </c>
      <c r="K356" s="199">
        <v>0</v>
      </c>
      <c r="L356" s="199">
        <v>0</v>
      </c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5">
      <c r="A357" s="33" t="s">
        <v>140</v>
      </c>
      <c r="B357" s="33" t="s">
        <v>204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>
        <v>0</v>
      </c>
      <c r="J357" s="199">
        <v>0</v>
      </c>
      <c r="K357" s="199">
        <v>0</v>
      </c>
      <c r="L357" s="199">
        <v>0</v>
      </c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5">
      <c r="A358" s="33" t="s">
        <v>140</v>
      </c>
      <c r="B358" s="33" t="s">
        <v>204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>
        <v>0</v>
      </c>
      <c r="J358" s="199">
        <v>0</v>
      </c>
      <c r="K358" s="199">
        <v>0</v>
      </c>
      <c r="L358" s="199">
        <v>0</v>
      </c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5">
      <c r="A359" s="33" t="s">
        <v>140</v>
      </c>
      <c r="B359" s="33" t="s">
        <v>204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>
        <v>0</v>
      </c>
      <c r="J359" s="199">
        <v>0</v>
      </c>
      <c r="K359" s="199">
        <v>0</v>
      </c>
      <c r="L359" s="199">
        <v>0</v>
      </c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5">
      <c r="A360" s="33" t="s">
        <v>140</v>
      </c>
      <c r="B360" s="33" t="s">
        <v>204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>
        <v>0</v>
      </c>
      <c r="J360" s="199">
        <v>0</v>
      </c>
      <c r="K360" s="199">
        <v>0</v>
      </c>
      <c r="L360" s="199">
        <v>0</v>
      </c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5">
      <c r="A361" s="33" t="s">
        <v>140</v>
      </c>
      <c r="B361" s="33" t="s">
        <v>204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>
        <v>0</v>
      </c>
      <c r="J361" s="199">
        <v>0</v>
      </c>
      <c r="K361" s="199">
        <v>0</v>
      </c>
      <c r="L361" s="199">
        <v>0</v>
      </c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5">
      <c r="A362" s="33" t="s">
        <v>140</v>
      </c>
      <c r="B362" s="33" t="s">
        <v>204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>
        <v>0</v>
      </c>
      <c r="J362" s="199">
        <v>0</v>
      </c>
      <c r="K362" s="199">
        <v>0</v>
      </c>
      <c r="L362" s="199">
        <v>0</v>
      </c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5">
      <c r="A363" s="33" t="s">
        <v>140</v>
      </c>
      <c r="B363" s="33" t="s">
        <v>204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>
        <v>0</v>
      </c>
      <c r="J363" s="199">
        <v>0</v>
      </c>
      <c r="K363" s="199">
        <v>0</v>
      </c>
      <c r="L363" s="199">
        <v>0</v>
      </c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5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>
        <v>0</v>
      </c>
      <c r="J364" s="199">
        <v>0</v>
      </c>
      <c r="K364" s="199">
        <v>0</v>
      </c>
      <c r="L364" s="199">
        <v>0</v>
      </c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5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>
        <v>0</v>
      </c>
      <c r="J365" s="199">
        <v>0</v>
      </c>
      <c r="K365" s="199">
        <v>0</v>
      </c>
      <c r="L365" s="199">
        <v>0</v>
      </c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5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>
        <v>0</v>
      </c>
      <c r="J366" s="199">
        <v>0</v>
      </c>
      <c r="K366" s="199">
        <v>0</v>
      </c>
      <c r="L366" s="199">
        <v>0</v>
      </c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5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>
        <v>0</v>
      </c>
      <c r="J367" s="199">
        <v>0</v>
      </c>
      <c r="K367" s="199">
        <v>0</v>
      </c>
      <c r="L367" s="199">
        <v>0</v>
      </c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5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>
        <v>0</v>
      </c>
      <c r="J368" s="199">
        <v>0</v>
      </c>
      <c r="K368" s="199">
        <v>0</v>
      </c>
      <c r="L368" s="199">
        <v>0</v>
      </c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5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>
        <v>0</v>
      </c>
      <c r="J369" s="199">
        <v>0</v>
      </c>
      <c r="K369" s="199">
        <v>0</v>
      </c>
      <c r="L369" s="199">
        <v>0</v>
      </c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5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>
        <v>0</v>
      </c>
      <c r="J370" s="199">
        <v>0</v>
      </c>
      <c r="K370" s="199">
        <v>0</v>
      </c>
      <c r="L370" s="199">
        <v>0</v>
      </c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5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>
        <v>0</v>
      </c>
      <c r="J371" s="199">
        <v>0</v>
      </c>
      <c r="K371" s="199">
        <v>0</v>
      </c>
      <c r="L371" s="199">
        <v>0</v>
      </c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5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>
        <v>0</v>
      </c>
      <c r="J372" s="199">
        <v>0</v>
      </c>
      <c r="K372" s="199">
        <v>0</v>
      </c>
      <c r="L372" s="199">
        <v>0</v>
      </c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5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>
        <v>0</v>
      </c>
      <c r="J373" s="199">
        <v>0</v>
      </c>
      <c r="K373" s="199">
        <v>0</v>
      </c>
      <c r="L373" s="199">
        <v>0</v>
      </c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5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>
        <v>0</v>
      </c>
      <c r="J374" s="199">
        <v>0</v>
      </c>
      <c r="K374" s="199">
        <v>0</v>
      </c>
      <c r="L374" s="199">
        <v>0</v>
      </c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5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>
        <v>0</v>
      </c>
      <c r="J375" s="199">
        <v>0</v>
      </c>
      <c r="K375" s="199">
        <v>0</v>
      </c>
      <c r="L375" s="199">
        <v>0</v>
      </c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5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>
        <v>0</v>
      </c>
      <c r="J376" s="199">
        <v>0</v>
      </c>
      <c r="K376" s="199">
        <v>0</v>
      </c>
      <c r="L376" s="199">
        <v>0</v>
      </c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5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>
        <v>0</v>
      </c>
      <c r="J377" s="199">
        <v>0</v>
      </c>
      <c r="K377" s="199">
        <v>0</v>
      </c>
      <c r="L377" s="199">
        <v>0</v>
      </c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5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>
        <v>0</v>
      </c>
      <c r="J378" s="199">
        <v>0</v>
      </c>
      <c r="K378" s="199">
        <v>0</v>
      </c>
      <c r="L378" s="199">
        <v>0</v>
      </c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5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>
        <v>0</v>
      </c>
      <c r="J379" s="199">
        <v>0</v>
      </c>
      <c r="K379" s="199">
        <v>0</v>
      </c>
      <c r="L379" s="199">
        <v>0</v>
      </c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5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>
        <v>0</v>
      </c>
      <c r="J380" s="199">
        <v>0</v>
      </c>
      <c r="K380" s="199">
        <v>0</v>
      </c>
      <c r="L380" s="199">
        <v>0</v>
      </c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5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>
        <v>0</v>
      </c>
      <c r="J381" s="199">
        <v>0</v>
      </c>
      <c r="K381" s="199">
        <v>0</v>
      </c>
      <c r="L381" s="199">
        <v>0</v>
      </c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5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>
        <v>0</v>
      </c>
      <c r="J382" s="199">
        <v>0</v>
      </c>
      <c r="K382" s="199">
        <v>0</v>
      </c>
      <c r="L382" s="199">
        <v>0</v>
      </c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5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>
        <v>0</v>
      </c>
      <c r="J383" s="199">
        <v>0</v>
      </c>
      <c r="K383" s="199">
        <v>0</v>
      </c>
      <c r="L383" s="199">
        <v>0</v>
      </c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5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>
        <v>0</v>
      </c>
      <c r="J384" s="199">
        <v>0</v>
      </c>
      <c r="K384" s="199">
        <v>0</v>
      </c>
      <c r="L384" s="199">
        <v>0</v>
      </c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5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>
        <v>0</v>
      </c>
      <c r="J385" s="199">
        <v>0</v>
      </c>
      <c r="K385" s="199">
        <v>0</v>
      </c>
      <c r="L385" s="199">
        <v>0</v>
      </c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5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>
        <v>0</v>
      </c>
      <c r="J386" s="199">
        <v>0</v>
      </c>
      <c r="K386" s="199">
        <v>0</v>
      </c>
      <c r="L386" s="199">
        <v>0</v>
      </c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5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>
        <v>0</v>
      </c>
      <c r="J387" s="199">
        <v>0</v>
      </c>
      <c r="K387" s="199">
        <v>0</v>
      </c>
      <c r="L387" s="199">
        <v>0</v>
      </c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5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>
        <v>0</v>
      </c>
      <c r="J388" s="199">
        <v>0</v>
      </c>
      <c r="K388" s="199">
        <v>0</v>
      </c>
      <c r="L388" s="199">
        <v>0</v>
      </c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5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>
        <v>0</v>
      </c>
      <c r="J389" s="199">
        <v>0</v>
      </c>
      <c r="K389" s="199">
        <v>0</v>
      </c>
      <c r="L389" s="199">
        <v>0</v>
      </c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5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>
        <v>0</v>
      </c>
      <c r="J390" s="199">
        <v>0</v>
      </c>
      <c r="K390" s="199">
        <v>0</v>
      </c>
      <c r="L390" s="199">
        <v>0</v>
      </c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5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>
        <v>0</v>
      </c>
      <c r="J391" s="199">
        <v>0</v>
      </c>
      <c r="K391" s="199">
        <v>0</v>
      </c>
      <c r="L391" s="199">
        <v>0</v>
      </c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5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>
        <v>0</v>
      </c>
      <c r="J392" s="199">
        <v>0</v>
      </c>
      <c r="K392" s="199">
        <v>0</v>
      </c>
      <c r="L392" s="199">
        <v>0</v>
      </c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5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>
        <v>0</v>
      </c>
      <c r="J393" s="199">
        <v>0</v>
      </c>
      <c r="K393" s="199">
        <v>0</v>
      </c>
      <c r="L393" s="199">
        <v>0</v>
      </c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5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>
        <v>0</v>
      </c>
      <c r="J394" s="199">
        <v>0</v>
      </c>
      <c r="K394" s="199">
        <v>0</v>
      </c>
      <c r="L394" s="199">
        <v>0</v>
      </c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5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>
        <v>0</v>
      </c>
      <c r="J395" s="199">
        <v>0</v>
      </c>
      <c r="K395" s="199">
        <v>0</v>
      </c>
      <c r="L395" s="199">
        <v>0</v>
      </c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5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>
        <v>0</v>
      </c>
      <c r="J396" s="199">
        <v>0</v>
      </c>
      <c r="K396" s="199">
        <v>0</v>
      </c>
      <c r="L396" s="199">
        <v>0</v>
      </c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5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>
        <v>0</v>
      </c>
      <c r="J397" s="199">
        <v>0</v>
      </c>
      <c r="K397" s="199">
        <v>0</v>
      </c>
      <c r="L397" s="199">
        <v>0</v>
      </c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5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>
        <v>0</v>
      </c>
      <c r="J398" s="199">
        <v>0</v>
      </c>
      <c r="K398" s="199">
        <v>0</v>
      </c>
      <c r="L398" s="199">
        <v>0</v>
      </c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5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>
        <v>0</v>
      </c>
      <c r="J399" s="199">
        <v>0</v>
      </c>
      <c r="K399" s="199">
        <v>0</v>
      </c>
      <c r="L399" s="199">
        <v>0</v>
      </c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5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>
        <v>0</v>
      </c>
      <c r="J400" s="199">
        <v>0</v>
      </c>
      <c r="K400" s="199">
        <v>0</v>
      </c>
      <c r="L400" s="199">
        <v>0</v>
      </c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5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>
        <v>0</v>
      </c>
      <c r="J401" s="199">
        <v>0</v>
      </c>
      <c r="K401" s="199">
        <v>0</v>
      </c>
      <c r="L401" s="199">
        <v>0</v>
      </c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5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>
        <v>0</v>
      </c>
      <c r="J402" s="199">
        <v>0</v>
      </c>
      <c r="K402" s="199">
        <v>0</v>
      </c>
      <c r="L402" s="199">
        <v>0</v>
      </c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5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>
        <v>0</v>
      </c>
      <c r="J403" s="199">
        <v>0</v>
      </c>
      <c r="K403" s="199">
        <v>0</v>
      </c>
      <c r="L403" s="199">
        <v>0</v>
      </c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5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5736195</v>
      </c>
      <c r="F404" s="199">
        <v>19935115.699999999</v>
      </c>
      <c r="G404" s="200">
        <v>-7</v>
      </c>
      <c r="H404" s="199">
        <v>-3939142.19</v>
      </c>
      <c r="I404" s="200">
        <v>0</v>
      </c>
      <c r="J404" s="199">
        <v>0</v>
      </c>
      <c r="K404" s="199">
        <v>0</v>
      </c>
      <c r="L404" s="199">
        <v>311203.49</v>
      </c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5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>
        <v>0</v>
      </c>
      <c r="J405" s="199">
        <v>0</v>
      </c>
      <c r="K405" s="199">
        <v>0</v>
      </c>
      <c r="L405" s="199">
        <v>0</v>
      </c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5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304676</v>
      </c>
      <c r="F406" s="199">
        <v>873663</v>
      </c>
      <c r="G406" s="200">
        <v>0</v>
      </c>
      <c r="H406" s="199">
        <v>0</v>
      </c>
      <c r="I406" s="200">
        <v>0</v>
      </c>
      <c r="J406" s="199">
        <v>0</v>
      </c>
      <c r="K406" s="199">
        <v>4928500</v>
      </c>
      <c r="L406" s="199">
        <v>14002504</v>
      </c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5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>
        <v>0</v>
      </c>
      <c r="J407" s="199">
        <v>0</v>
      </c>
      <c r="K407" s="199">
        <v>0</v>
      </c>
      <c r="L407" s="199">
        <v>0</v>
      </c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5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>
        <v>0</v>
      </c>
      <c r="J408" s="199">
        <v>47411</v>
      </c>
      <c r="K408" s="199">
        <v>0</v>
      </c>
      <c r="L408" s="199">
        <v>0</v>
      </c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5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-900825</v>
      </c>
      <c r="F409" s="199">
        <v>-2577650.23</v>
      </c>
      <c r="G409" s="200">
        <v>0</v>
      </c>
      <c r="H409" s="199">
        <v>-194794.04</v>
      </c>
      <c r="I409" s="200">
        <v>0</v>
      </c>
      <c r="J409" s="199">
        <v>0</v>
      </c>
      <c r="K409" s="199">
        <v>0</v>
      </c>
      <c r="L409" s="199">
        <v>663089.96</v>
      </c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5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>
        <v>0</v>
      </c>
      <c r="J410" s="199">
        <v>0</v>
      </c>
      <c r="K410" s="199">
        <v>0</v>
      </c>
      <c r="L410" s="199">
        <v>0</v>
      </c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5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-2193345</v>
      </c>
      <c r="F411" s="199">
        <v>-5837374</v>
      </c>
      <c r="G411" s="200">
        <v>-27226</v>
      </c>
      <c r="H411" s="199">
        <v>-81106</v>
      </c>
      <c r="I411" s="200">
        <v>0</v>
      </c>
      <c r="J411" s="199">
        <v>0</v>
      </c>
      <c r="K411" s="199">
        <v>-7927467</v>
      </c>
      <c r="L411" s="199">
        <v>-21483418</v>
      </c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5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>
        <v>0</v>
      </c>
      <c r="J412" s="199">
        <v>0</v>
      </c>
      <c r="K412" s="199">
        <v>0</v>
      </c>
      <c r="L412" s="199">
        <v>0</v>
      </c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5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>
        <v>0</v>
      </c>
      <c r="J413" s="199">
        <v>0</v>
      </c>
      <c r="K413" s="199">
        <v>0</v>
      </c>
      <c r="L413" s="199">
        <v>0</v>
      </c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5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>
        <v>0</v>
      </c>
      <c r="J414" s="199">
        <v>0</v>
      </c>
      <c r="K414" s="199">
        <v>0</v>
      </c>
      <c r="L414" s="199">
        <v>0</v>
      </c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5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>
        <v>0</v>
      </c>
      <c r="J415" s="199">
        <v>0</v>
      </c>
      <c r="K415" s="199">
        <v>0</v>
      </c>
      <c r="L415" s="199">
        <v>0</v>
      </c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5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>
        <v>0</v>
      </c>
      <c r="J416" s="199">
        <v>0</v>
      </c>
      <c r="K416" s="199">
        <v>0</v>
      </c>
      <c r="L416" s="199">
        <v>0</v>
      </c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5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>
        <v>0</v>
      </c>
      <c r="J417" s="199">
        <v>0</v>
      </c>
      <c r="K417" s="199">
        <v>0</v>
      </c>
      <c r="L417" s="199">
        <v>0</v>
      </c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5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>
        <v>0</v>
      </c>
      <c r="J418" s="199">
        <v>0</v>
      </c>
      <c r="K418" s="199">
        <v>0</v>
      </c>
      <c r="L418" s="199">
        <v>0</v>
      </c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5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>
        <v>0</v>
      </c>
      <c r="J419" s="199">
        <v>0</v>
      </c>
      <c r="K419" s="199">
        <v>0</v>
      </c>
      <c r="L419" s="199">
        <v>0</v>
      </c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5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>
        <v>0</v>
      </c>
      <c r="J420" s="199">
        <v>0</v>
      </c>
      <c r="K420" s="199">
        <v>0</v>
      </c>
      <c r="L420" s="199">
        <v>0</v>
      </c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5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>
        <v>0</v>
      </c>
      <c r="J421" s="199">
        <v>0</v>
      </c>
      <c r="K421" s="199">
        <v>0</v>
      </c>
      <c r="L421" s="199">
        <v>0</v>
      </c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5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>
        <v>0</v>
      </c>
      <c r="J422" s="199">
        <v>0</v>
      </c>
      <c r="K422" s="199">
        <v>0</v>
      </c>
      <c r="L422" s="199">
        <v>0</v>
      </c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5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>
        <v>0</v>
      </c>
      <c r="J423" s="199">
        <v>0</v>
      </c>
      <c r="K423" s="199">
        <v>0</v>
      </c>
      <c r="L423" s="199">
        <v>0</v>
      </c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5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>
        <v>0</v>
      </c>
      <c r="J424" s="199">
        <v>0</v>
      </c>
      <c r="K424" s="199">
        <v>0</v>
      </c>
      <c r="L424" s="199">
        <v>0</v>
      </c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5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-2946701</v>
      </c>
      <c r="F425" s="199">
        <v>-7499354.0449999999</v>
      </c>
      <c r="G425" s="200">
        <v>27233</v>
      </c>
      <c r="H425" s="199">
        <v>69307.985000000335</v>
      </c>
      <c r="I425" s="200">
        <v>0</v>
      </c>
      <c r="J425" s="199">
        <v>0</v>
      </c>
      <c r="K425" s="199">
        <v>2998967</v>
      </c>
      <c r="L425" s="199">
        <v>7632371.0149999997</v>
      </c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5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>
        <v>0</v>
      </c>
      <c r="J426" s="199">
        <v>0</v>
      </c>
      <c r="K426" s="199">
        <v>0</v>
      </c>
      <c r="L426" s="199">
        <v>0</v>
      </c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5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>
        <v>0</v>
      </c>
      <c r="J427" s="199">
        <v>0</v>
      </c>
      <c r="K427" s="199">
        <v>0</v>
      </c>
      <c r="L427" s="199">
        <v>-663089.96</v>
      </c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5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>
        <v>0</v>
      </c>
      <c r="J428" s="199">
        <v>0</v>
      </c>
      <c r="K428" s="199">
        <v>0</v>
      </c>
      <c r="L428" s="199">
        <v>0</v>
      </c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5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>
        <v>0</v>
      </c>
      <c r="J429" s="199">
        <v>0</v>
      </c>
      <c r="K429" s="199">
        <v>0</v>
      </c>
      <c r="L429" s="199">
        <v>0</v>
      </c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5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>
        <v>0</v>
      </c>
      <c r="J430" s="199">
        <v>0</v>
      </c>
      <c r="K430" s="199">
        <v>0</v>
      </c>
      <c r="L430" s="199">
        <v>0</v>
      </c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5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>
        <v>0</v>
      </c>
      <c r="J431" s="199">
        <v>0</v>
      </c>
      <c r="K431" s="199">
        <v>0</v>
      </c>
      <c r="L431" s="199">
        <v>0</v>
      </c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5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>
        <v>0</v>
      </c>
      <c r="J432" s="199">
        <v>0</v>
      </c>
      <c r="K432" s="199">
        <v>0</v>
      </c>
      <c r="L432" s="199">
        <v>0</v>
      </c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5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>
        <v>0</v>
      </c>
      <c r="J433" s="199">
        <v>0</v>
      </c>
      <c r="K433" s="199">
        <v>0</v>
      </c>
      <c r="L433" s="199">
        <v>0</v>
      </c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5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>
        <v>0</v>
      </c>
      <c r="J434" s="199">
        <v>0</v>
      </c>
      <c r="K434" s="199">
        <v>0</v>
      </c>
      <c r="L434" s="199">
        <v>0</v>
      </c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5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>
        <v>0</v>
      </c>
      <c r="J435" s="199">
        <v>0</v>
      </c>
      <c r="K435" s="199">
        <v>0</v>
      </c>
      <c r="L435" s="199">
        <v>0</v>
      </c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5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>
        <v>0</v>
      </c>
      <c r="J436" s="199">
        <v>0</v>
      </c>
      <c r="K436" s="199">
        <v>0</v>
      </c>
      <c r="L436" s="199">
        <v>0</v>
      </c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5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>
        <v>0</v>
      </c>
      <c r="J437" s="199">
        <v>0</v>
      </c>
      <c r="K437" s="199">
        <v>0</v>
      </c>
      <c r="L437" s="199">
        <v>0</v>
      </c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5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>
        <v>0</v>
      </c>
      <c r="J438" s="199">
        <v>0</v>
      </c>
      <c r="K438" s="199">
        <v>0</v>
      </c>
      <c r="L438" s="199">
        <v>0</v>
      </c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5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>
        <v>0</v>
      </c>
      <c r="J439" s="199">
        <v>0</v>
      </c>
      <c r="K439" s="199">
        <v>0</v>
      </c>
      <c r="L439" s="199">
        <v>0</v>
      </c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5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>
        <v>0</v>
      </c>
      <c r="J440" s="199">
        <v>0</v>
      </c>
      <c r="K440" s="199">
        <v>0</v>
      </c>
      <c r="L440" s="199">
        <v>0</v>
      </c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5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>
        <v>0</v>
      </c>
      <c r="J441" s="199">
        <v>0</v>
      </c>
      <c r="K441" s="199">
        <v>0</v>
      </c>
      <c r="L441" s="199">
        <v>0</v>
      </c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5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>
        <v>0</v>
      </c>
      <c r="J442" s="199">
        <v>0</v>
      </c>
      <c r="K442" s="199">
        <v>0</v>
      </c>
      <c r="L442" s="199">
        <v>0</v>
      </c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5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>
        <v>0</v>
      </c>
      <c r="J443" s="199">
        <v>0</v>
      </c>
      <c r="K443" s="199">
        <v>0</v>
      </c>
      <c r="L443" s="199">
        <v>0</v>
      </c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5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14094413</v>
      </c>
      <c r="F444" s="199">
        <v>38590088.68</v>
      </c>
      <c r="G444" s="200">
        <v>-239972</v>
      </c>
      <c r="H444" s="199">
        <v>-794636.36</v>
      </c>
      <c r="I444" s="200">
        <v>60989</v>
      </c>
      <c r="J444" s="199">
        <v>171297.78</v>
      </c>
      <c r="K444" s="199">
        <v>-21258</v>
      </c>
      <c r="L444" s="199">
        <v>-138251.85</v>
      </c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5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>
        <v>0</v>
      </c>
      <c r="J445" s="199">
        <v>0</v>
      </c>
      <c r="K445" s="199">
        <v>0</v>
      </c>
      <c r="L445" s="199">
        <v>0</v>
      </c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5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429232</v>
      </c>
      <c r="F446" s="199">
        <v>1157267</v>
      </c>
      <c r="G446" s="200">
        <v>0</v>
      </c>
      <c r="H446" s="199">
        <v>0</v>
      </c>
      <c r="I446" s="200">
        <v>0</v>
      </c>
      <c r="J446" s="199">
        <v>0</v>
      </c>
      <c r="K446" s="199">
        <v>14936040</v>
      </c>
      <c r="L446" s="199">
        <v>41539172</v>
      </c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5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>
        <v>0</v>
      </c>
      <c r="J447" s="199">
        <v>0</v>
      </c>
      <c r="K447" s="199">
        <v>0</v>
      </c>
      <c r="L447" s="199">
        <v>0</v>
      </c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5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1875810</v>
      </c>
      <c r="G448" s="200">
        <v>0</v>
      </c>
      <c r="H448" s="199">
        <v>465</v>
      </c>
      <c r="I448" s="200">
        <v>0</v>
      </c>
      <c r="J448" s="199">
        <v>0</v>
      </c>
      <c r="K448" s="199">
        <v>0</v>
      </c>
      <c r="L448" s="199">
        <v>0</v>
      </c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5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-4564560</v>
      </c>
      <c r="F449" s="199">
        <v>-11643619.66</v>
      </c>
      <c r="G449" s="200">
        <v>-130571</v>
      </c>
      <c r="H449" s="199">
        <v>-335409.28999999998</v>
      </c>
      <c r="I449" s="200">
        <v>-77125</v>
      </c>
      <c r="J449" s="199">
        <v>-202596.17</v>
      </c>
      <c r="K449" s="199">
        <v>70389</v>
      </c>
      <c r="L449" s="199">
        <v>163404.44</v>
      </c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5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>
        <v>0</v>
      </c>
      <c r="J450" s="199">
        <v>0</v>
      </c>
      <c r="K450" s="199">
        <v>0</v>
      </c>
      <c r="L450" s="199">
        <v>0</v>
      </c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5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-19000</v>
      </c>
      <c r="F451" s="199">
        <v>-50650</v>
      </c>
      <c r="G451" s="200">
        <v>-2000</v>
      </c>
      <c r="H451" s="199">
        <v>-5332</v>
      </c>
      <c r="I451" s="200">
        <v>0</v>
      </c>
      <c r="J451" s="199">
        <v>0</v>
      </c>
      <c r="K451" s="199">
        <v>-15455079</v>
      </c>
      <c r="L451" s="199">
        <v>-42986856</v>
      </c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5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>
        <v>0</v>
      </c>
      <c r="J452" s="199">
        <v>0</v>
      </c>
      <c r="K452" s="199">
        <v>0</v>
      </c>
      <c r="L452" s="199">
        <v>0</v>
      </c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5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15521</v>
      </c>
      <c r="F453" s="199">
        <v>39423.339999999997</v>
      </c>
      <c r="G453" s="200">
        <v>3871</v>
      </c>
      <c r="H453" s="199">
        <v>9832.34</v>
      </c>
      <c r="I453" s="200">
        <v>0</v>
      </c>
      <c r="J453" s="199">
        <v>0</v>
      </c>
      <c r="K453" s="199">
        <v>0</v>
      </c>
      <c r="L453" s="199">
        <v>0</v>
      </c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5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9231229</v>
      </c>
      <c r="F454" s="199">
        <v>25897214.210000001</v>
      </c>
      <c r="G454" s="200">
        <v>580194</v>
      </c>
      <c r="H454" s="199">
        <v>1616374.29</v>
      </c>
      <c r="I454" s="200">
        <v>44257</v>
      </c>
      <c r="J454" s="199">
        <v>124020.06</v>
      </c>
      <c r="K454" s="199">
        <v>-55715</v>
      </c>
      <c r="L454" s="199">
        <v>-156146.43</v>
      </c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5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-10208075</v>
      </c>
      <c r="F455" s="199">
        <v>-28614529.800000001</v>
      </c>
      <c r="G455" s="200">
        <v>-8919714</v>
      </c>
      <c r="H455" s="199">
        <v>-24996958.199999999</v>
      </c>
      <c r="I455" s="200">
        <v>-5161</v>
      </c>
      <c r="J455" s="199">
        <v>-14142.09</v>
      </c>
      <c r="K455" s="199">
        <v>-16407</v>
      </c>
      <c r="L455" s="199">
        <v>-46133.39</v>
      </c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5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-8940288</v>
      </c>
      <c r="F456" s="199">
        <v>-22708331.52</v>
      </c>
      <c r="G456" s="200">
        <v>8705392</v>
      </c>
      <c r="H456" s="199">
        <v>22111695.68</v>
      </c>
      <c r="I456" s="200">
        <v>231211</v>
      </c>
      <c r="J456" s="199">
        <v>587275.93999999994</v>
      </c>
      <c r="K456" s="199">
        <v>62</v>
      </c>
      <c r="L456" s="199">
        <v>157.47999999999999</v>
      </c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5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>
        <v>0</v>
      </c>
      <c r="J457" s="199">
        <v>0</v>
      </c>
      <c r="K457" s="199">
        <v>0</v>
      </c>
      <c r="L457" s="199">
        <v>0</v>
      </c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5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>
        <v>0</v>
      </c>
      <c r="J458" s="199">
        <v>0</v>
      </c>
      <c r="K458" s="199">
        <v>0</v>
      </c>
      <c r="L458" s="199">
        <v>0</v>
      </c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5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>
        <v>0</v>
      </c>
      <c r="J459" s="199">
        <v>0</v>
      </c>
      <c r="K459" s="199">
        <v>0</v>
      </c>
      <c r="L459" s="199">
        <v>0</v>
      </c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5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173286</v>
      </c>
      <c r="F460" s="199">
        <v>440146.44</v>
      </c>
      <c r="G460" s="200">
        <v>-1733</v>
      </c>
      <c r="H460" s="199">
        <v>-4401.82</v>
      </c>
      <c r="I460" s="200">
        <v>0</v>
      </c>
      <c r="J460" s="199">
        <v>0</v>
      </c>
      <c r="K460" s="199">
        <v>0</v>
      </c>
      <c r="L460" s="199">
        <v>0</v>
      </c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5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0</v>
      </c>
      <c r="F461" s="199">
        <v>0</v>
      </c>
      <c r="G461" s="200">
        <v>0</v>
      </c>
      <c r="H461" s="199">
        <v>0</v>
      </c>
      <c r="I461" s="200">
        <v>-231242</v>
      </c>
      <c r="J461" s="199">
        <v>-546846.22</v>
      </c>
      <c r="K461" s="199">
        <v>0</v>
      </c>
      <c r="L461" s="199">
        <v>0</v>
      </c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5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>
        <v>0</v>
      </c>
      <c r="J462" s="199">
        <v>0</v>
      </c>
      <c r="K462" s="199">
        <v>0</v>
      </c>
      <c r="L462" s="199">
        <v>0</v>
      </c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5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>
        <v>0</v>
      </c>
      <c r="J463" s="199">
        <v>0</v>
      </c>
      <c r="K463" s="199">
        <v>0</v>
      </c>
      <c r="L463" s="199">
        <v>0</v>
      </c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5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>
        <v>0</v>
      </c>
      <c r="J464" s="199">
        <v>0</v>
      </c>
      <c r="K464" s="199">
        <v>0</v>
      </c>
      <c r="L464" s="199">
        <v>0</v>
      </c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5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-211758</v>
      </c>
      <c r="F465" s="199">
        <v>-537865.31999999995</v>
      </c>
      <c r="G465" s="200">
        <v>4533</v>
      </c>
      <c r="H465" s="199">
        <v>11513.819999999949</v>
      </c>
      <c r="I465" s="200">
        <v>-22929</v>
      </c>
      <c r="J465" s="199">
        <v>-58239.66</v>
      </c>
      <c r="K465" s="199">
        <v>541968</v>
      </c>
      <c r="L465" s="199">
        <v>1376598.72</v>
      </c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5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-15521</v>
      </c>
      <c r="F466" s="199">
        <v>-39423.339999999997</v>
      </c>
      <c r="G466" s="200">
        <v>-3871</v>
      </c>
      <c r="H466" s="199">
        <v>-9832.34</v>
      </c>
      <c r="I466" s="200">
        <v>0</v>
      </c>
      <c r="J466" s="199">
        <v>0</v>
      </c>
      <c r="K466" s="199">
        <v>0</v>
      </c>
      <c r="L466" s="199">
        <v>0</v>
      </c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5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-9443043</v>
      </c>
      <c r="F467" s="199">
        <v>-206392.49</v>
      </c>
      <c r="G467" s="200">
        <v>-9162445</v>
      </c>
      <c r="H467" s="199">
        <v>-130383.37</v>
      </c>
      <c r="I467" s="200">
        <v>-22274</v>
      </c>
      <c r="J467" s="199">
        <v>-623.58000000000004</v>
      </c>
      <c r="K467" s="199">
        <v>0</v>
      </c>
      <c r="L467" s="199">
        <v>-0.47</v>
      </c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5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-166300</v>
      </c>
      <c r="G468" s="200">
        <v>0</v>
      </c>
      <c r="H468" s="199">
        <v>-8000</v>
      </c>
      <c r="I468" s="200">
        <v>0</v>
      </c>
      <c r="J468" s="199">
        <v>30000</v>
      </c>
      <c r="K468" s="199">
        <v>0</v>
      </c>
      <c r="L468" s="199">
        <v>-30000</v>
      </c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5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>
        <v>0</v>
      </c>
      <c r="J469" s="199">
        <v>0</v>
      </c>
      <c r="K469" s="199">
        <v>0</v>
      </c>
      <c r="L469" s="199">
        <v>0</v>
      </c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5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>
        <v>0</v>
      </c>
      <c r="J470" s="199">
        <v>0</v>
      </c>
      <c r="K470" s="199">
        <v>0</v>
      </c>
      <c r="L470" s="199">
        <v>0</v>
      </c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5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-546.73</v>
      </c>
      <c r="I471" s="200">
        <v>0</v>
      </c>
      <c r="J471" s="199">
        <v>-0.96</v>
      </c>
      <c r="K471" s="199">
        <v>0</v>
      </c>
      <c r="L471" s="199">
        <v>0</v>
      </c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5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>
        <v>0</v>
      </c>
      <c r="J472" s="199">
        <v>0</v>
      </c>
      <c r="K472" s="199">
        <v>0</v>
      </c>
      <c r="L472" s="199">
        <v>0</v>
      </c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5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>
        <v>0</v>
      </c>
      <c r="J473" s="199">
        <v>0</v>
      </c>
      <c r="K473" s="199">
        <v>0</v>
      </c>
      <c r="L473" s="199">
        <v>0</v>
      </c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5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>
        <v>0</v>
      </c>
      <c r="J474" s="199">
        <v>0</v>
      </c>
      <c r="K474" s="199">
        <v>0</v>
      </c>
      <c r="L474" s="199">
        <v>0</v>
      </c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5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>
        <v>0</v>
      </c>
      <c r="J475" s="199">
        <v>0</v>
      </c>
      <c r="K475" s="199">
        <v>0</v>
      </c>
      <c r="L475" s="199">
        <v>0</v>
      </c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5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>
        <v>0</v>
      </c>
      <c r="J476" s="199">
        <v>0</v>
      </c>
      <c r="K476" s="199">
        <v>0</v>
      </c>
      <c r="L476" s="199">
        <v>0</v>
      </c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5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>
        <v>0</v>
      </c>
      <c r="J477" s="199">
        <v>0</v>
      </c>
      <c r="K477" s="199">
        <v>0</v>
      </c>
      <c r="L477" s="199">
        <v>0</v>
      </c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5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-1075</v>
      </c>
      <c r="G478" s="200">
        <v>0</v>
      </c>
      <c r="H478" s="199">
        <v>-1651.01</v>
      </c>
      <c r="I478" s="200">
        <v>0</v>
      </c>
      <c r="J478" s="199">
        <v>0</v>
      </c>
      <c r="K478" s="199">
        <v>0</v>
      </c>
      <c r="L478" s="199">
        <v>0</v>
      </c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5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>
        <v>0</v>
      </c>
      <c r="J479" s="199">
        <v>0</v>
      </c>
      <c r="K479" s="199">
        <v>0</v>
      </c>
      <c r="L479" s="199">
        <v>0</v>
      </c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5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>
        <v>0</v>
      </c>
      <c r="J480" s="199">
        <v>0</v>
      </c>
      <c r="K480" s="199">
        <v>0</v>
      </c>
      <c r="L480" s="199">
        <v>0</v>
      </c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5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>
        <v>0</v>
      </c>
      <c r="J481" s="199">
        <v>0</v>
      </c>
      <c r="K481" s="199">
        <v>0</v>
      </c>
      <c r="L481" s="199">
        <v>0</v>
      </c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5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>
        <v>0</v>
      </c>
      <c r="J482" s="199">
        <v>0</v>
      </c>
      <c r="K482" s="199">
        <v>0</v>
      </c>
      <c r="L482" s="199">
        <v>0</v>
      </c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5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>
        <v>0</v>
      </c>
      <c r="J483" s="199">
        <v>0</v>
      </c>
      <c r="K483" s="199">
        <v>0</v>
      </c>
      <c r="L483" s="199">
        <v>0</v>
      </c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5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41747236</v>
      </c>
      <c r="F484" s="199">
        <v>102813600.33</v>
      </c>
      <c r="G484" s="200">
        <v>-37595</v>
      </c>
      <c r="H484" s="199">
        <v>-166116.03</v>
      </c>
      <c r="I484" s="200">
        <v>40219</v>
      </c>
      <c r="J484" s="199">
        <v>114196.21</v>
      </c>
      <c r="K484" s="199">
        <v>0</v>
      </c>
      <c r="L484" s="199">
        <v>-665833.91</v>
      </c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5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>
        <v>0</v>
      </c>
      <c r="J485" s="199">
        <v>0</v>
      </c>
      <c r="K485" s="199">
        <v>0</v>
      </c>
      <c r="L485" s="199">
        <v>0</v>
      </c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5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30000</v>
      </c>
      <c r="F486" s="199">
        <v>83100</v>
      </c>
      <c r="G486" s="200">
        <v>0</v>
      </c>
      <c r="H486" s="199">
        <v>0</v>
      </c>
      <c r="I486" s="200">
        <v>0</v>
      </c>
      <c r="J486" s="199">
        <v>0</v>
      </c>
      <c r="K486" s="199">
        <v>12719483</v>
      </c>
      <c r="L486" s="199">
        <v>34965844</v>
      </c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5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>
        <v>0</v>
      </c>
      <c r="J487" s="199">
        <v>0</v>
      </c>
      <c r="K487" s="199">
        <v>0</v>
      </c>
      <c r="L487" s="199">
        <v>0</v>
      </c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5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1126286.8600000001</v>
      </c>
      <c r="G488" s="200">
        <v>0</v>
      </c>
      <c r="H488" s="199">
        <v>2406.16</v>
      </c>
      <c r="I488" s="200">
        <v>0</v>
      </c>
      <c r="J488" s="199">
        <v>175555.1</v>
      </c>
      <c r="K488" s="199">
        <v>0</v>
      </c>
      <c r="L488" s="199">
        <v>0</v>
      </c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5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-44689424</v>
      </c>
      <c r="F489" s="199">
        <v>-113277209.69000001</v>
      </c>
      <c r="G489" s="200">
        <v>-12771</v>
      </c>
      <c r="H489" s="199">
        <v>-423826.07</v>
      </c>
      <c r="I489" s="200">
        <v>0</v>
      </c>
      <c r="J489" s="199">
        <v>-353400</v>
      </c>
      <c r="K489" s="199">
        <v>0</v>
      </c>
      <c r="L489" s="199">
        <v>43816.86</v>
      </c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5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>
        <v>0</v>
      </c>
      <c r="J490" s="199">
        <v>0</v>
      </c>
      <c r="K490" s="199">
        <v>0</v>
      </c>
      <c r="L490" s="199">
        <v>0</v>
      </c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5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-30000</v>
      </c>
      <c r="F491" s="199">
        <v>-82500</v>
      </c>
      <c r="G491" s="200">
        <v>0</v>
      </c>
      <c r="H491" s="199">
        <v>0</v>
      </c>
      <c r="I491" s="200">
        <v>0</v>
      </c>
      <c r="J491" s="199">
        <v>0</v>
      </c>
      <c r="K491" s="199">
        <v>-12719483</v>
      </c>
      <c r="L491" s="199">
        <v>-34965844</v>
      </c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5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>
        <v>0</v>
      </c>
      <c r="J492" s="199">
        <v>0</v>
      </c>
      <c r="K492" s="199">
        <v>0</v>
      </c>
      <c r="L492" s="199">
        <v>0</v>
      </c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5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331180</v>
      </c>
      <c r="F493" s="199">
        <v>802117.96</v>
      </c>
      <c r="G493" s="200">
        <v>5776</v>
      </c>
      <c r="H493" s="199">
        <v>13989.472</v>
      </c>
      <c r="I493" s="200">
        <v>-118</v>
      </c>
      <c r="J493" s="199">
        <v>-285.79599999999999</v>
      </c>
      <c r="K493" s="199">
        <v>0</v>
      </c>
      <c r="L493" s="199">
        <v>0</v>
      </c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5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1205247</v>
      </c>
      <c r="F494" s="199">
        <v>3264180.5</v>
      </c>
      <c r="G494" s="200">
        <v>0</v>
      </c>
      <c r="H494" s="199">
        <v>0</v>
      </c>
      <c r="I494" s="200">
        <v>0</v>
      </c>
      <c r="J494" s="199">
        <v>0</v>
      </c>
      <c r="K494" s="199">
        <v>0</v>
      </c>
      <c r="L494" s="199">
        <v>0</v>
      </c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5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-60000</v>
      </c>
      <c r="F495" s="199">
        <v>-157200</v>
      </c>
      <c r="G495" s="200">
        <v>0</v>
      </c>
      <c r="H495" s="199">
        <v>0</v>
      </c>
      <c r="I495" s="200">
        <v>0</v>
      </c>
      <c r="J495" s="199">
        <v>0</v>
      </c>
      <c r="K495" s="199">
        <v>0</v>
      </c>
      <c r="L495" s="199">
        <v>0</v>
      </c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5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-91202</v>
      </c>
      <c r="F496" s="199">
        <v>-220891.24400000001</v>
      </c>
      <c r="G496" s="200">
        <v>46650</v>
      </c>
      <c r="H496" s="199">
        <v>112986.3</v>
      </c>
      <c r="I496" s="200">
        <v>-37271</v>
      </c>
      <c r="J496" s="199">
        <v>-90270.361999999994</v>
      </c>
      <c r="K496" s="199">
        <v>0</v>
      </c>
      <c r="L496" s="199">
        <v>0</v>
      </c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5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-1989</v>
      </c>
      <c r="H497" s="199">
        <v>-5274.4</v>
      </c>
      <c r="I497" s="200">
        <v>0</v>
      </c>
      <c r="J497" s="199">
        <v>0</v>
      </c>
      <c r="K497" s="199">
        <v>0</v>
      </c>
      <c r="L497" s="199">
        <v>0</v>
      </c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5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1175</v>
      </c>
      <c r="H498" s="199">
        <v>3038.55</v>
      </c>
      <c r="I498" s="200">
        <v>0</v>
      </c>
      <c r="J498" s="199">
        <v>0</v>
      </c>
      <c r="K498" s="199">
        <v>0</v>
      </c>
      <c r="L498" s="199">
        <v>0</v>
      </c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5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>
        <v>0</v>
      </c>
      <c r="J499" s="199">
        <v>0</v>
      </c>
      <c r="K499" s="199">
        <v>0</v>
      </c>
      <c r="L499" s="199">
        <v>0</v>
      </c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5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1797081</v>
      </c>
      <c r="F500" s="199">
        <v>4352530.1900000004</v>
      </c>
      <c r="G500" s="200">
        <v>895</v>
      </c>
      <c r="H500" s="199">
        <v>2167.69</v>
      </c>
      <c r="I500" s="200">
        <v>0</v>
      </c>
      <c r="J500" s="199">
        <v>0</v>
      </c>
      <c r="K500" s="199">
        <v>0</v>
      </c>
      <c r="L500" s="199">
        <v>0</v>
      </c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5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-77503</v>
      </c>
      <c r="F501" s="199">
        <v>-188271.31</v>
      </c>
      <c r="G501" s="200">
        <v>-43</v>
      </c>
      <c r="H501" s="199">
        <v>-104.46</v>
      </c>
      <c r="I501" s="200">
        <v>0</v>
      </c>
      <c r="J501" s="199">
        <v>0</v>
      </c>
      <c r="K501" s="199">
        <v>0</v>
      </c>
      <c r="L501" s="199">
        <v>0</v>
      </c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5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>
        <v>0</v>
      </c>
      <c r="J502" s="199">
        <v>0</v>
      </c>
      <c r="K502" s="199">
        <v>0</v>
      </c>
      <c r="L502" s="199">
        <v>0</v>
      </c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5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>
        <v>0</v>
      </c>
      <c r="J503" s="199">
        <v>0</v>
      </c>
      <c r="K503" s="199">
        <v>0</v>
      </c>
      <c r="L503" s="199">
        <v>0</v>
      </c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5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>
        <v>0</v>
      </c>
      <c r="J504" s="199">
        <v>0</v>
      </c>
      <c r="K504" s="199">
        <v>0</v>
      </c>
      <c r="L504" s="199">
        <v>0</v>
      </c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5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-162615</v>
      </c>
      <c r="F505" s="199">
        <v>-393853.53</v>
      </c>
      <c r="G505" s="200">
        <v>-2098</v>
      </c>
      <c r="H505" s="199">
        <v>-5081.3559999999707</v>
      </c>
      <c r="I505" s="200">
        <v>-2830</v>
      </c>
      <c r="J505" s="199">
        <v>-6854.26</v>
      </c>
      <c r="K505" s="199">
        <v>0</v>
      </c>
      <c r="L505" s="199">
        <v>0</v>
      </c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5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-331180</v>
      </c>
      <c r="F506" s="199">
        <v>-802117.96</v>
      </c>
      <c r="G506" s="200">
        <v>-5776</v>
      </c>
      <c r="H506" s="199">
        <v>-13989.472</v>
      </c>
      <c r="I506" s="200">
        <v>118</v>
      </c>
      <c r="J506" s="199">
        <v>285.79599999999999</v>
      </c>
      <c r="K506" s="199">
        <v>0</v>
      </c>
      <c r="L506" s="199">
        <v>0</v>
      </c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5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-23086787</v>
      </c>
      <c r="F507" s="199">
        <v>-421740.94</v>
      </c>
      <c r="G507" s="200">
        <v>2621835</v>
      </c>
      <c r="H507" s="199">
        <v>-108152.11</v>
      </c>
      <c r="I507" s="200">
        <v>-501630</v>
      </c>
      <c r="J507" s="199">
        <v>29326.880000000001</v>
      </c>
      <c r="K507" s="199">
        <v>1</v>
      </c>
      <c r="L507" s="199">
        <v>665794.4</v>
      </c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5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-2201051.48</v>
      </c>
      <c r="G508" s="200">
        <v>0</v>
      </c>
      <c r="H508" s="199">
        <v>-113132.38</v>
      </c>
      <c r="I508" s="200">
        <v>0</v>
      </c>
      <c r="J508" s="199">
        <v>1078.6400000000001</v>
      </c>
      <c r="K508" s="199">
        <v>0</v>
      </c>
      <c r="L508" s="199">
        <v>-0.5</v>
      </c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5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>
        <v>0</v>
      </c>
      <c r="J509" s="199">
        <v>0</v>
      </c>
      <c r="K509" s="199">
        <v>0</v>
      </c>
      <c r="L509" s="199">
        <v>0</v>
      </c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5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>
        <v>0</v>
      </c>
      <c r="J510" s="199">
        <v>0</v>
      </c>
      <c r="K510" s="199">
        <v>0</v>
      </c>
      <c r="L510" s="199">
        <v>0</v>
      </c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5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>
        <v>0</v>
      </c>
      <c r="J511" s="199">
        <v>0</v>
      </c>
      <c r="K511" s="199">
        <v>0</v>
      </c>
      <c r="L511" s="199">
        <v>0</v>
      </c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5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>
        <v>0</v>
      </c>
      <c r="J512" s="199">
        <v>0</v>
      </c>
      <c r="K512" s="199">
        <v>0</v>
      </c>
      <c r="L512" s="199">
        <v>0</v>
      </c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5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>
        <v>0</v>
      </c>
      <c r="J513" s="199">
        <v>0</v>
      </c>
      <c r="K513" s="199">
        <v>0</v>
      </c>
      <c r="L513" s="199">
        <v>0</v>
      </c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5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>
        <v>0</v>
      </c>
      <c r="J514" s="199">
        <v>0</v>
      </c>
      <c r="K514" s="199">
        <v>0</v>
      </c>
      <c r="L514" s="199">
        <v>0</v>
      </c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5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>
        <v>0</v>
      </c>
      <c r="J515" s="199">
        <v>0</v>
      </c>
      <c r="K515" s="199">
        <v>0</v>
      </c>
      <c r="L515" s="199">
        <v>0</v>
      </c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5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>
        <v>0</v>
      </c>
      <c r="J516" s="199">
        <v>0</v>
      </c>
      <c r="K516" s="199">
        <v>0</v>
      </c>
      <c r="L516" s="199">
        <v>0</v>
      </c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5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>
        <v>0</v>
      </c>
      <c r="J517" s="199">
        <v>0</v>
      </c>
      <c r="K517" s="199">
        <v>0</v>
      </c>
      <c r="L517" s="199">
        <v>0</v>
      </c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5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-27632.12</v>
      </c>
      <c r="G518" s="200">
        <v>0</v>
      </c>
      <c r="H518" s="199">
        <v>-36767.760000000002</v>
      </c>
      <c r="I518" s="200">
        <v>0</v>
      </c>
      <c r="J518" s="199">
        <v>0</v>
      </c>
      <c r="K518" s="199">
        <v>0</v>
      </c>
      <c r="L518" s="199">
        <v>0</v>
      </c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5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>
        <v>0</v>
      </c>
      <c r="J519" s="199">
        <v>0</v>
      </c>
      <c r="K519" s="199">
        <v>0</v>
      </c>
      <c r="L519" s="199">
        <v>0</v>
      </c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5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>
        <v>0</v>
      </c>
      <c r="J520" s="199">
        <v>0</v>
      </c>
      <c r="K520" s="199">
        <v>0</v>
      </c>
      <c r="L520" s="199">
        <v>0</v>
      </c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5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>
        <v>0</v>
      </c>
      <c r="J521" s="199">
        <v>0</v>
      </c>
      <c r="K521" s="199">
        <v>0</v>
      </c>
      <c r="L521" s="199">
        <v>0</v>
      </c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5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>
        <v>0</v>
      </c>
      <c r="J522" s="199">
        <v>0</v>
      </c>
      <c r="K522" s="199">
        <v>0</v>
      </c>
      <c r="L522" s="199">
        <v>0</v>
      </c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5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-8818</v>
      </c>
      <c r="I523" s="200">
        <v>0</v>
      </c>
      <c r="J523" s="199">
        <v>0</v>
      </c>
      <c r="K523" s="199">
        <v>0</v>
      </c>
      <c r="L523" s="199">
        <v>0</v>
      </c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5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>
        <v>0</v>
      </c>
      <c r="J524" s="199">
        <v>0</v>
      </c>
      <c r="K524" s="199">
        <v>0</v>
      </c>
      <c r="L524" s="199">
        <v>0</v>
      </c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5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>
        <v>0</v>
      </c>
      <c r="J525" s="199">
        <v>0</v>
      </c>
      <c r="K525" s="199">
        <v>0</v>
      </c>
      <c r="L525" s="199">
        <v>0</v>
      </c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5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>
        <v>0</v>
      </c>
      <c r="J526" s="199">
        <v>0</v>
      </c>
      <c r="K526" s="199">
        <v>0</v>
      </c>
      <c r="L526" s="199">
        <v>0</v>
      </c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5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>
        <v>0</v>
      </c>
      <c r="J527" s="199">
        <v>0</v>
      </c>
      <c r="K527" s="199">
        <v>0</v>
      </c>
      <c r="L527" s="199">
        <v>0</v>
      </c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5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>
        <v>0</v>
      </c>
      <c r="J528" s="199">
        <v>0</v>
      </c>
      <c r="K528" s="199">
        <v>0</v>
      </c>
      <c r="L528" s="199">
        <v>0</v>
      </c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5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>
        <v>0</v>
      </c>
      <c r="J529" s="199">
        <v>0</v>
      </c>
      <c r="K529" s="199">
        <v>0</v>
      </c>
      <c r="L529" s="199">
        <v>0</v>
      </c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5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>
        <v>0</v>
      </c>
      <c r="J530" s="199">
        <v>0</v>
      </c>
      <c r="K530" s="199">
        <v>0</v>
      </c>
      <c r="L530" s="199">
        <v>0</v>
      </c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5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>
        <v>0</v>
      </c>
      <c r="J531" s="199">
        <v>0</v>
      </c>
      <c r="K531" s="199">
        <v>0</v>
      </c>
      <c r="L531" s="199">
        <v>0</v>
      </c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5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>
        <v>0</v>
      </c>
      <c r="J532" s="199">
        <v>0</v>
      </c>
      <c r="K532" s="199">
        <v>0</v>
      </c>
      <c r="L532" s="199">
        <v>0</v>
      </c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5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>
        <v>0</v>
      </c>
      <c r="J533" s="199">
        <v>0</v>
      </c>
      <c r="K533" s="199">
        <v>0</v>
      </c>
      <c r="L533" s="199">
        <v>0</v>
      </c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5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>
        <v>0</v>
      </c>
      <c r="J534" s="199">
        <v>0</v>
      </c>
      <c r="K534" s="199">
        <v>0</v>
      </c>
      <c r="L534" s="199">
        <v>0</v>
      </c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5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>
        <v>0</v>
      </c>
      <c r="J535" s="199">
        <v>0</v>
      </c>
      <c r="K535" s="199">
        <v>0</v>
      </c>
      <c r="L535" s="199">
        <v>0</v>
      </c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5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>
        <v>0</v>
      </c>
      <c r="J536" s="199">
        <v>0</v>
      </c>
      <c r="K536" s="199">
        <v>0</v>
      </c>
      <c r="L536" s="199">
        <v>0</v>
      </c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5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>
        <v>0</v>
      </c>
      <c r="J537" s="199">
        <v>0</v>
      </c>
      <c r="K537" s="199">
        <v>0</v>
      </c>
      <c r="L537" s="199">
        <v>0</v>
      </c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5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>
        <v>0</v>
      </c>
      <c r="J538" s="199">
        <v>0</v>
      </c>
      <c r="K538" s="199">
        <v>0</v>
      </c>
      <c r="L538" s="199">
        <v>0</v>
      </c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5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>
        <v>0</v>
      </c>
      <c r="J539" s="199">
        <v>0</v>
      </c>
      <c r="K539" s="199">
        <v>0</v>
      </c>
      <c r="L539" s="199">
        <v>0</v>
      </c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5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>
        <v>0</v>
      </c>
      <c r="J540" s="199">
        <v>0</v>
      </c>
      <c r="K540" s="199">
        <v>0</v>
      </c>
      <c r="L540" s="199">
        <v>0</v>
      </c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5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>
        <v>0</v>
      </c>
      <c r="J541" s="199">
        <v>0</v>
      </c>
      <c r="K541" s="199">
        <v>0</v>
      </c>
      <c r="L541" s="199">
        <v>0</v>
      </c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5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>
        <v>0</v>
      </c>
      <c r="J542" s="199">
        <v>0</v>
      </c>
      <c r="K542" s="199">
        <v>0</v>
      </c>
      <c r="L542" s="199">
        <v>0</v>
      </c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5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>
        <v>0</v>
      </c>
      <c r="J543" s="199">
        <v>0</v>
      </c>
      <c r="K543" s="199">
        <v>0</v>
      </c>
      <c r="L543" s="199">
        <v>0</v>
      </c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5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>
        <v>0</v>
      </c>
      <c r="J544" s="199">
        <v>0</v>
      </c>
      <c r="K544" s="199">
        <v>0</v>
      </c>
      <c r="L544" s="199">
        <v>0</v>
      </c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5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>
        <v>0</v>
      </c>
      <c r="J545" s="199">
        <v>0</v>
      </c>
      <c r="K545" s="199">
        <v>0</v>
      </c>
      <c r="L545" s="199">
        <v>0</v>
      </c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5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>
        <v>0</v>
      </c>
      <c r="J546" s="199">
        <v>0</v>
      </c>
      <c r="K546" s="199">
        <v>0</v>
      </c>
      <c r="L546" s="199">
        <v>0</v>
      </c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5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>
        <v>0</v>
      </c>
      <c r="J547" s="199">
        <v>0</v>
      </c>
      <c r="K547" s="199">
        <v>0</v>
      </c>
      <c r="L547" s="199">
        <v>0</v>
      </c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5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>
        <v>0</v>
      </c>
      <c r="J548" s="199">
        <v>0</v>
      </c>
      <c r="K548" s="199">
        <v>0</v>
      </c>
      <c r="L548" s="199">
        <v>0</v>
      </c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5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>
        <v>0</v>
      </c>
      <c r="J549" s="199">
        <v>0</v>
      </c>
      <c r="K549" s="199">
        <v>0</v>
      </c>
      <c r="L549" s="199">
        <v>0</v>
      </c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5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>
        <v>0</v>
      </c>
      <c r="J550" s="199">
        <v>0</v>
      </c>
      <c r="K550" s="199">
        <v>0</v>
      </c>
      <c r="L550" s="199">
        <v>0</v>
      </c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5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>
        <v>0</v>
      </c>
      <c r="J551" s="199">
        <v>0</v>
      </c>
      <c r="K551" s="199">
        <v>0</v>
      </c>
      <c r="L551" s="199">
        <v>0</v>
      </c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5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>
        <v>0</v>
      </c>
      <c r="J552" s="199">
        <v>0</v>
      </c>
      <c r="K552" s="199">
        <v>0</v>
      </c>
      <c r="L552" s="199">
        <v>0</v>
      </c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5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>
        <v>0</v>
      </c>
      <c r="J553" s="199">
        <v>0</v>
      </c>
      <c r="K553" s="199">
        <v>0</v>
      </c>
      <c r="L553" s="199">
        <v>0</v>
      </c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5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>
        <v>0</v>
      </c>
      <c r="J554" s="199">
        <v>0</v>
      </c>
      <c r="K554" s="199">
        <v>0</v>
      </c>
      <c r="L554" s="199">
        <v>0</v>
      </c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5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>
        <v>0</v>
      </c>
      <c r="J555" s="199">
        <v>0</v>
      </c>
      <c r="K555" s="199">
        <v>0</v>
      </c>
      <c r="L555" s="199">
        <v>0</v>
      </c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5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>
        <v>0</v>
      </c>
      <c r="J556" s="199">
        <v>0</v>
      </c>
      <c r="K556" s="199">
        <v>0</v>
      </c>
      <c r="L556" s="199">
        <v>0</v>
      </c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5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>
        <v>0</v>
      </c>
      <c r="J557" s="199">
        <v>0</v>
      </c>
      <c r="K557" s="199">
        <v>0</v>
      </c>
      <c r="L557" s="199">
        <v>0</v>
      </c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5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>
        <v>0</v>
      </c>
      <c r="J558" s="199">
        <v>0</v>
      </c>
      <c r="K558" s="199">
        <v>0</v>
      </c>
      <c r="L558" s="199">
        <v>0</v>
      </c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5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>
        <v>0</v>
      </c>
      <c r="J559" s="199">
        <v>0</v>
      </c>
      <c r="K559" s="199">
        <v>0</v>
      </c>
      <c r="L559" s="199">
        <v>0</v>
      </c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5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>
        <v>0</v>
      </c>
      <c r="J560" s="199">
        <v>0</v>
      </c>
      <c r="K560" s="199">
        <v>0</v>
      </c>
      <c r="L560" s="199">
        <v>0</v>
      </c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5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>
        <v>0</v>
      </c>
      <c r="J561" s="199">
        <v>0</v>
      </c>
      <c r="K561" s="199">
        <v>0</v>
      </c>
      <c r="L561" s="199">
        <v>0</v>
      </c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5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>
        <v>0</v>
      </c>
      <c r="J562" s="199">
        <v>0</v>
      </c>
      <c r="K562" s="199">
        <v>0</v>
      </c>
      <c r="L562" s="199">
        <v>0</v>
      </c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5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>
        <v>0</v>
      </c>
      <c r="J563" s="199">
        <v>0</v>
      </c>
      <c r="K563" s="199">
        <v>0</v>
      </c>
      <c r="L563" s="199">
        <v>0</v>
      </c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5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>
        <v>0</v>
      </c>
      <c r="J564" s="199">
        <v>0</v>
      </c>
      <c r="K564" s="199">
        <v>0</v>
      </c>
      <c r="L564" s="199">
        <v>0</v>
      </c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5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>
        <v>0</v>
      </c>
      <c r="J565" s="199">
        <v>0</v>
      </c>
      <c r="K565" s="199">
        <v>0</v>
      </c>
      <c r="L565" s="199">
        <v>0</v>
      </c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5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>
        <v>0</v>
      </c>
      <c r="J566" s="199">
        <v>0</v>
      </c>
      <c r="K566" s="199">
        <v>0</v>
      </c>
      <c r="L566" s="199">
        <v>0</v>
      </c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5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>
        <v>0</v>
      </c>
      <c r="J567" s="199">
        <v>0</v>
      </c>
      <c r="K567" s="199">
        <v>0</v>
      </c>
      <c r="L567" s="199">
        <v>0</v>
      </c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5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>
        <v>0</v>
      </c>
      <c r="J568" s="199">
        <v>0</v>
      </c>
      <c r="K568" s="199">
        <v>0</v>
      </c>
      <c r="L568" s="199">
        <v>0</v>
      </c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5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>
        <v>0</v>
      </c>
      <c r="J569" s="199">
        <v>0</v>
      </c>
      <c r="K569" s="199">
        <v>0</v>
      </c>
      <c r="L569" s="199">
        <v>0</v>
      </c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5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  <c r="I570" s="201">
        <v>0</v>
      </c>
      <c r="J570" s="33">
        <v>0</v>
      </c>
      <c r="K570" s="33">
        <v>0</v>
      </c>
      <c r="L570" s="33">
        <v>0</v>
      </c>
    </row>
    <row r="571" spans="1:118" x14ac:dyDescent="0.25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  <c r="I571" s="201">
        <v>0</v>
      </c>
      <c r="J571" s="33">
        <v>0</v>
      </c>
      <c r="K571" s="33">
        <v>0</v>
      </c>
      <c r="L571" s="33">
        <v>0</v>
      </c>
    </row>
    <row r="572" spans="1:118" x14ac:dyDescent="0.25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  <c r="I572" s="201">
        <v>0</v>
      </c>
      <c r="J572" s="33">
        <v>0</v>
      </c>
      <c r="K572" s="33">
        <v>0</v>
      </c>
      <c r="L572" s="33">
        <v>0</v>
      </c>
    </row>
    <row r="573" spans="1:118" x14ac:dyDescent="0.25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  <c r="I573" s="201">
        <v>0</v>
      </c>
      <c r="J573" s="33">
        <v>0</v>
      </c>
      <c r="K573" s="33">
        <v>0</v>
      </c>
      <c r="L573" s="33">
        <v>0</v>
      </c>
    </row>
    <row r="574" spans="1:118" x14ac:dyDescent="0.25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  <c r="I574" s="201">
        <v>0</v>
      </c>
      <c r="J574" s="33">
        <v>0</v>
      </c>
      <c r="K574" s="33">
        <v>0</v>
      </c>
      <c r="L574" s="33">
        <v>0</v>
      </c>
    </row>
    <row r="575" spans="1:118" x14ac:dyDescent="0.25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  <c r="I575" s="201">
        <v>0</v>
      </c>
      <c r="J575" s="33">
        <v>0</v>
      </c>
      <c r="K575" s="33">
        <v>0</v>
      </c>
      <c r="L575" s="33">
        <v>0</v>
      </c>
    </row>
    <row r="576" spans="1:118" x14ac:dyDescent="0.25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  <c r="I576" s="201">
        <v>0</v>
      </c>
      <c r="J576" s="33">
        <v>0</v>
      </c>
      <c r="K576" s="33">
        <v>0</v>
      </c>
      <c r="L576" s="33">
        <v>0</v>
      </c>
    </row>
    <row r="577" spans="1:12" x14ac:dyDescent="0.25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  <c r="I577" s="201">
        <v>0</v>
      </c>
      <c r="J577" s="33">
        <v>0</v>
      </c>
      <c r="K577" s="33">
        <v>0</v>
      </c>
      <c r="L577" s="33">
        <v>0</v>
      </c>
    </row>
    <row r="578" spans="1:12" x14ac:dyDescent="0.25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  <c r="I578" s="201">
        <v>0</v>
      </c>
      <c r="J578" s="33">
        <v>0</v>
      </c>
      <c r="K578" s="33">
        <v>0</v>
      </c>
      <c r="L578" s="33">
        <v>0</v>
      </c>
    </row>
    <row r="579" spans="1:12" x14ac:dyDescent="0.25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  <c r="I579" s="201">
        <v>0</v>
      </c>
      <c r="J579" s="33">
        <v>0</v>
      </c>
      <c r="K579" s="33">
        <v>0</v>
      </c>
      <c r="L579" s="33">
        <v>0</v>
      </c>
    </row>
    <row r="580" spans="1:12" x14ac:dyDescent="0.25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  <c r="I580" s="201">
        <v>0</v>
      </c>
      <c r="J580" s="33">
        <v>0</v>
      </c>
      <c r="K580" s="33">
        <v>0</v>
      </c>
      <c r="L580" s="33">
        <v>0</v>
      </c>
    </row>
    <row r="581" spans="1:12" x14ac:dyDescent="0.25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  <c r="I581" s="201">
        <v>0</v>
      </c>
      <c r="J581" s="33">
        <v>0</v>
      </c>
      <c r="K581" s="33">
        <v>0</v>
      </c>
      <c r="L581" s="33">
        <v>0</v>
      </c>
    </row>
    <row r="582" spans="1:12" x14ac:dyDescent="0.25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  <c r="I582" s="201">
        <v>0</v>
      </c>
      <c r="J582" s="33">
        <v>0</v>
      </c>
      <c r="K582" s="33">
        <v>0</v>
      </c>
      <c r="L582" s="33">
        <v>0</v>
      </c>
    </row>
    <row r="583" spans="1:12" x14ac:dyDescent="0.25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  <c r="I583" s="201">
        <v>0</v>
      </c>
      <c r="J583" s="33">
        <v>0</v>
      </c>
      <c r="K583" s="33">
        <v>0</v>
      </c>
      <c r="L583" s="33">
        <v>0</v>
      </c>
    </row>
    <row r="584" spans="1:12" x14ac:dyDescent="0.25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  <c r="I584" s="201">
        <v>0</v>
      </c>
      <c r="J584" s="33">
        <v>0</v>
      </c>
      <c r="K584" s="33">
        <v>0</v>
      </c>
      <c r="L584" s="33">
        <v>0</v>
      </c>
    </row>
    <row r="585" spans="1:12" x14ac:dyDescent="0.25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  <c r="I585" s="201">
        <v>0</v>
      </c>
      <c r="J585" s="33">
        <v>0</v>
      </c>
      <c r="K585" s="33">
        <v>0</v>
      </c>
      <c r="L585" s="33">
        <v>0</v>
      </c>
    </row>
    <row r="586" spans="1:12" x14ac:dyDescent="0.25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  <c r="I586" s="201">
        <v>0</v>
      </c>
      <c r="J586" s="33">
        <v>0</v>
      </c>
      <c r="K586" s="33">
        <v>0</v>
      </c>
      <c r="L586" s="33">
        <v>0</v>
      </c>
    </row>
    <row r="587" spans="1:12" x14ac:dyDescent="0.25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  <c r="I587" s="201">
        <v>0</v>
      </c>
      <c r="J587" s="33">
        <v>0</v>
      </c>
      <c r="K587" s="33">
        <v>0</v>
      </c>
      <c r="L587" s="33">
        <v>0</v>
      </c>
    </row>
    <row r="588" spans="1:12" x14ac:dyDescent="0.25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  <c r="I588" s="201">
        <v>0</v>
      </c>
      <c r="J588" s="33">
        <v>0</v>
      </c>
      <c r="K588" s="33">
        <v>0</v>
      </c>
      <c r="L588" s="33">
        <v>0</v>
      </c>
    </row>
    <row r="589" spans="1:12" x14ac:dyDescent="0.25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  <c r="I589" s="201">
        <v>0</v>
      </c>
      <c r="J589" s="33">
        <v>0</v>
      </c>
      <c r="K589" s="33">
        <v>0</v>
      </c>
      <c r="L589" s="33">
        <v>0</v>
      </c>
    </row>
    <row r="590" spans="1:12" x14ac:dyDescent="0.25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  <c r="I590" s="201">
        <v>0</v>
      </c>
      <c r="J590" s="33">
        <v>0</v>
      </c>
      <c r="K590" s="33">
        <v>0</v>
      </c>
      <c r="L590" s="33">
        <v>0</v>
      </c>
    </row>
    <row r="591" spans="1:12" x14ac:dyDescent="0.25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  <c r="I591" s="201">
        <v>0</v>
      </c>
      <c r="J591" s="33">
        <v>0</v>
      </c>
      <c r="K591" s="33">
        <v>0</v>
      </c>
      <c r="L591" s="33">
        <v>0</v>
      </c>
    </row>
    <row r="592" spans="1:12" x14ac:dyDescent="0.25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  <c r="I592" s="201">
        <v>0</v>
      </c>
      <c r="J592" s="33">
        <v>0</v>
      </c>
      <c r="K592" s="33">
        <v>0</v>
      </c>
      <c r="L592" s="33">
        <v>0</v>
      </c>
    </row>
    <row r="593" spans="1:12" x14ac:dyDescent="0.25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  <c r="I593" s="201">
        <v>0</v>
      </c>
      <c r="J593" s="33">
        <v>0</v>
      </c>
      <c r="K593" s="33">
        <v>0</v>
      </c>
      <c r="L593" s="33">
        <v>0</v>
      </c>
    </row>
    <row r="594" spans="1:12" x14ac:dyDescent="0.25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  <c r="I594" s="201">
        <v>0</v>
      </c>
      <c r="J594" s="33">
        <v>0</v>
      </c>
      <c r="K594" s="33">
        <v>0</v>
      </c>
      <c r="L594" s="33">
        <v>0</v>
      </c>
    </row>
    <row r="595" spans="1:12" x14ac:dyDescent="0.25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  <c r="I595" s="201">
        <v>0</v>
      </c>
      <c r="J595" s="33">
        <v>0</v>
      </c>
      <c r="K595" s="33">
        <v>0</v>
      </c>
      <c r="L595" s="33">
        <v>0</v>
      </c>
    </row>
    <row r="596" spans="1:12" x14ac:dyDescent="0.25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  <c r="I596" s="201">
        <v>0</v>
      </c>
      <c r="J596" s="33">
        <v>0</v>
      </c>
      <c r="K596" s="33">
        <v>0</v>
      </c>
      <c r="L596" s="33">
        <v>0</v>
      </c>
    </row>
    <row r="597" spans="1:12" x14ac:dyDescent="0.25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  <c r="I597" s="201">
        <v>0</v>
      </c>
      <c r="J597" s="33">
        <v>0</v>
      </c>
      <c r="K597" s="33">
        <v>0</v>
      </c>
      <c r="L597" s="33">
        <v>0</v>
      </c>
    </row>
    <row r="598" spans="1:12" x14ac:dyDescent="0.25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  <c r="I598" s="201">
        <v>0</v>
      </c>
      <c r="J598" s="33">
        <v>0</v>
      </c>
      <c r="K598" s="33">
        <v>0</v>
      </c>
      <c r="L598" s="33">
        <v>0</v>
      </c>
    </row>
    <row r="599" spans="1:12" x14ac:dyDescent="0.25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  <c r="I599" s="201">
        <v>0</v>
      </c>
      <c r="J599" s="33">
        <v>0</v>
      </c>
      <c r="K599" s="33">
        <v>0</v>
      </c>
      <c r="L599" s="33">
        <v>0</v>
      </c>
    </row>
    <row r="600" spans="1:12" x14ac:dyDescent="0.25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  <c r="I600" s="201">
        <v>0</v>
      </c>
      <c r="J600" s="33">
        <v>0</v>
      </c>
      <c r="K600" s="33">
        <v>0</v>
      </c>
      <c r="L600" s="33">
        <v>0</v>
      </c>
    </row>
    <row r="601" spans="1:12" x14ac:dyDescent="0.25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  <c r="I601" s="201">
        <v>0</v>
      </c>
      <c r="J601" s="33">
        <v>0</v>
      </c>
      <c r="K601" s="33">
        <v>0</v>
      </c>
      <c r="L601" s="33">
        <v>0</v>
      </c>
    </row>
    <row r="602" spans="1:12" x14ac:dyDescent="0.25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  <c r="I602" s="201">
        <v>0</v>
      </c>
      <c r="J602" s="33">
        <v>0</v>
      </c>
      <c r="K602" s="33">
        <v>0</v>
      </c>
      <c r="L602" s="33">
        <v>0</v>
      </c>
    </row>
    <row r="603" spans="1:12" x14ac:dyDescent="0.25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  <c r="I603" s="201">
        <v>0</v>
      </c>
      <c r="J603" s="33">
        <v>0</v>
      </c>
      <c r="K603" s="33">
        <v>0</v>
      </c>
      <c r="L603" s="33">
        <v>0</v>
      </c>
    </row>
    <row r="633" spans="4:31" x14ac:dyDescent="0.25">
      <c r="I633" s="207"/>
    </row>
    <row r="634" spans="4:31" x14ac:dyDescent="0.25">
      <c r="D634" s="33">
        <v>3515738</v>
      </c>
    </row>
    <row r="635" spans="4:31" x14ac:dyDescent="0.25">
      <c r="D635" s="228">
        <f>+G640+D634</f>
        <v>-202569.12899998249</v>
      </c>
    </row>
    <row r="636" spans="4:31" x14ac:dyDescent="0.25">
      <c r="F636" s="191">
        <v>36586</v>
      </c>
      <c r="G636" s="192"/>
      <c r="H636" s="193">
        <f>+F636+31</f>
        <v>36617</v>
      </c>
      <c r="I636" s="194"/>
      <c r="J636" s="187">
        <f>+H636+31</f>
        <v>36648</v>
      </c>
      <c r="K636" s="188"/>
      <c r="L636" s="187">
        <f>+J636+31</f>
        <v>36679</v>
      </c>
      <c r="M636" s="188"/>
      <c r="N636" s="187">
        <f>+L636+31</f>
        <v>36710</v>
      </c>
      <c r="O636" s="188"/>
      <c r="P636" s="187">
        <f>+N636+31</f>
        <v>36741</v>
      </c>
      <c r="Q636" s="188"/>
      <c r="R636" s="187">
        <f>+P636+31</f>
        <v>36772</v>
      </c>
      <c r="S636" s="188"/>
      <c r="T636" s="187">
        <f>+R636+31</f>
        <v>36803</v>
      </c>
      <c r="U636" s="188"/>
      <c r="V636" s="187">
        <f>+T636+31</f>
        <v>36834</v>
      </c>
      <c r="W636" s="188"/>
      <c r="X636" s="187">
        <f>+V636+31</f>
        <v>36865</v>
      </c>
      <c r="Y636" s="188"/>
      <c r="Z636" s="187">
        <f>+X636+31</f>
        <v>36896</v>
      </c>
      <c r="AA636" s="188"/>
      <c r="AB636" s="187">
        <f>+Z636+31</f>
        <v>36927</v>
      </c>
      <c r="AC636" s="188"/>
      <c r="AD636" s="189"/>
      <c r="AE636" s="189"/>
    </row>
    <row r="637" spans="4:31" x14ac:dyDescent="0.25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5">
      <c r="D638" s="208" t="s">
        <v>113</v>
      </c>
      <c r="E638" s="209"/>
      <c r="F638" s="210">
        <f>BUG_GL!H82</f>
        <v>0</v>
      </c>
      <c r="G638" s="211">
        <f>BUG_GL!I82</f>
        <v>-1046864.0969999935</v>
      </c>
      <c r="H638" s="210">
        <f>BUG_GL!J82</f>
        <v>0</v>
      </c>
      <c r="I638" s="211">
        <f>BUG_GL!K82</f>
        <v>-12256006.851</v>
      </c>
      <c r="J638" s="210">
        <f>BUG_GL!L82</f>
        <v>0</v>
      </c>
      <c r="K638" s="211">
        <f>BUG_GL!M82</f>
        <v>5369117.1490000002</v>
      </c>
      <c r="L638" s="210">
        <f>BUG_GL!N82</f>
        <v>0</v>
      </c>
      <c r="M638" s="210">
        <f>BUG_GL!O82</f>
        <v>-137699.99700000358</v>
      </c>
      <c r="N638" s="210">
        <f>BUG_GL!P82</f>
        <v>0</v>
      </c>
      <c r="O638" s="210">
        <f>BUG_GL!Q82</f>
        <v>33066.900000000096</v>
      </c>
      <c r="P638" s="210">
        <f>BUG_GL!R82</f>
        <v>0</v>
      </c>
      <c r="Q638" s="210">
        <f>BUG_GL!S82</f>
        <v>611.66999999999894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5">
      <c r="D639" s="208" t="s">
        <v>141</v>
      </c>
      <c r="E639" s="209"/>
      <c r="F639" s="210">
        <f>CE_GL!H82</f>
        <v>0</v>
      </c>
      <c r="G639" s="212">
        <f>CE_GL!I82</f>
        <v>-1727702.0129999542</v>
      </c>
      <c r="H639" s="210">
        <f>CE_GL!J82</f>
        <v>0</v>
      </c>
      <c r="I639" s="211">
        <f>CE_GL!K82</f>
        <v>9543703.8270000014</v>
      </c>
      <c r="J639" s="210">
        <f>CE_GL!L82</f>
        <v>0</v>
      </c>
      <c r="K639" s="211">
        <f>CE_GL!M82</f>
        <v>159387.57300000015</v>
      </c>
      <c r="L639" s="210">
        <f>CE_GL!N82</f>
        <v>0</v>
      </c>
      <c r="M639" s="210">
        <f>CE_GL!O82</f>
        <v>-695328.67600002768</v>
      </c>
      <c r="N639" s="210">
        <f>CE_GL!P82</f>
        <v>0</v>
      </c>
      <c r="O639" s="210">
        <f>CE_GL!Q82</f>
        <v>-196070.39999999997</v>
      </c>
      <c r="P639" s="210">
        <f>CE_GL!R82</f>
        <v>0</v>
      </c>
      <c r="Q639" s="210">
        <f>CE_GL!S82</f>
        <v>-3354380.17</v>
      </c>
      <c r="R639" s="210">
        <f>CE_GL!T82</f>
        <v>0</v>
      </c>
      <c r="S639" s="210">
        <f>CE_GL!U82</f>
        <v>3439000.95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5">
      <c r="D640" s="208" t="s">
        <v>142</v>
      </c>
      <c r="E640" s="209"/>
      <c r="F640" s="210">
        <f>+'EAST-EGM-GL'!H82</f>
        <v>0</v>
      </c>
      <c r="G640" s="227">
        <f>+'EAST-EGM-GL'!I82</f>
        <v>-3718307.1289999825</v>
      </c>
      <c r="H640" s="210">
        <f>+'EAST-EGM-GL'!J82</f>
        <v>0</v>
      </c>
      <c r="I640" s="210">
        <f>+'EAST-EGM-GL'!K82</f>
        <v>3721652.3319999999</v>
      </c>
      <c r="J640" s="210">
        <f>+'EAST-EGM-GL'!L82</f>
        <v>0</v>
      </c>
      <c r="K640" s="211">
        <f>+'EAST-EGM-GL'!M82</f>
        <v>-2134461.443</v>
      </c>
      <c r="L640" s="210">
        <f>+'EAST-EGM-GL'!N82</f>
        <v>0</v>
      </c>
      <c r="M640" s="210">
        <f>+'EAST-EGM-GL'!O82</f>
        <v>4171633.9249999924</v>
      </c>
      <c r="N640" s="210">
        <f>+'EAST-EGM-GL'!P82</f>
        <v>0</v>
      </c>
      <c r="O640" s="210">
        <f>+'EAST-EGM-GL'!Q82</f>
        <v>1661596.8200000005</v>
      </c>
      <c r="P640" s="210">
        <f>+'EAST-EGM-GL'!R82</f>
        <v>0</v>
      </c>
      <c r="Q640" s="210">
        <f>+'EAST-EGM-GL'!S82</f>
        <v>-881858.58000000007</v>
      </c>
      <c r="R640" s="210">
        <f>+'EAST-EGM-GL'!T82</f>
        <v>0</v>
      </c>
      <c r="S640" s="210">
        <f>+'EAST-EGM-GL'!U82</f>
        <v>374097.64000000007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5">
      <c r="D641" s="208" t="s">
        <v>150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0">
        <f>+'EAST-LRC-GL'!K82</f>
        <v>-19778.919999999998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5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5">
      <c r="D643" s="208" t="s">
        <v>152</v>
      </c>
      <c r="E643" s="209"/>
      <c r="F643" s="210">
        <f>+'EAST-CON-GL '!H82</f>
        <v>0</v>
      </c>
      <c r="G643" s="210">
        <f>+'EAST-CON-GL '!I82</f>
        <v>-3718307.1289999825</v>
      </c>
      <c r="H643" s="210">
        <f>+'EAST-CON-GL '!J82</f>
        <v>0</v>
      </c>
      <c r="I643" s="210">
        <f>+'EAST-CON-GL '!K82</f>
        <v>3701873.4119999981</v>
      </c>
      <c r="J643" s="210">
        <f>+'EAST-CON-GL '!L82</f>
        <v>0</v>
      </c>
      <c r="K643" s="210">
        <f>+'EAST-CON-GL '!M82</f>
        <v>-2134461.443</v>
      </c>
      <c r="L643" s="210">
        <f>+'EAST-CON-GL '!N82</f>
        <v>0</v>
      </c>
      <c r="M643" s="210">
        <f>+'EAST-CON-GL '!O82</f>
        <v>4171633.9249999924</v>
      </c>
      <c r="N643" s="210">
        <f>+'EAST-CON-GL '!P82</f>
        <v>0</v>
      </c>
      <c r="O643" s="210">
        <f>+'EAST-CON-GL '!Q82</f>
        <v>1661596.8200000005</v>
      </c>
      <c r="P643" s="210">
        <f>+'EAST-CON-GL '!R82</f>
        <v>0</v>
      </c>
      <c r="Q643" s="210">
        <f>+'EAST-CON-GL '!S82</f>
        <v>-881858.58000000007</v>
      </c>
      <c r="R643" s="210">
        <f>+'EAST-CON-GL '!T82</f>
        <v>0</v>
      </c>
      <c r="S643" s="210">
        <f>+'EAST-CON-GL '!U82</f>
        <v>374097.64000000054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5">
      <c r="D644" s="208" t="s">
        <v>153</v>
      </c>
      <c r="E644" s="209"/>
      <c r="F644" s="210">
        <f>+'TX-EGM-GL'!H82</f>
        <v>0</v>
      </c>
      <c r="G644" s="211">
        <f>+'TX-EGM-GL'!I82</f>
        <v>4031762.54</v>
      </c>
      <c r="H644" s="210">
        <f>+'TX-EGM-GL'!J82</f>
        <v>0</v>
      </c>
      <c r="I644" s="210">
        <f>+'TX-EGM-GL'!K91</f>
        <v>-2537269.9900000007</v>
      </c>
      <c r="J644" s="210">
        <f>+'TX-EGM-GL'!L82</f>
        <v>0</v>
      </c>
      <c r="K644" s="211">
        <f>+'TX-EGM-GL'!M82</f>
        <v>90145.099999999919</v>
      </c>
      <c r="L644" s="210">
        <f>+'TX-EGM-GL'!N82</f>
        <v>0</v>
      </c>
      <c r="M644" s="210">
        <f>+'TX-EGM-GL'!O82</f>
        <v>-278055.50000000396</v>
      </c>
      <c r="N644" s="210">
        <f>+'TX-EGM-GL'!P82</f>
        <v>0</v>
      </c>
      <c r="O644" s="210">
        <f>+'TX-EGM-GL'!Q82</f>
        <v>26366.159999999996</v>
      </c>
      <c r="P644" s="210">
        <f>+'TX-EGM-GL'!R82</f>
        <v>0</v>
      </c>
      <c r="Q644" s="210">
        <f>+'TX-EGM-GL'!S82</f>
        <v>-11178.019999999995</v>
      </c>
      <c r="R644" s="210">
        <f>+'TX-EGM-GL'!T82</f>
        <v>0</v>
      </c>
      <c r="S644" s="210">
        <f>+'TX-EGM-GL'!U82</f>
        <v>571.58999999999935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5">
      <c r="D645" s="208" t="s">
        <v>181</v>
      </c>
      <c r="E645" s="209"/>
      <c r="F645" s="210">
        <f>+'TX-HPLR-GL '!H82</f>
        <v>0</v>
      </c>
      <c r="G645" s="211">
        <f>+'TX-HPLR-GL '!I82</f>
        <v>-245946.98000000004</v>
      </c>
      <c r="H645" s="210">
        <f>+'TX-HPLR-GL '!J82</f>
        <v>0</v>
      </c>
      <c r="I645" s="210">
        <f>+'TX-HPLR-GL '!K82</f>
        <v>14.579999999999927</v>
      </c>
      <c r="J645" s="210">
        <f>+'TX-HPLR-GL '!L82</f>
        <v>0</v>
      </c>
      <c r="K645" s="211">
        <f>+'TX-HPLR-GL '!M82</f>
        <v>248768.6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-740.04</v>
      </c>
      <c r="P645" s="210">
        <f>+'TX-HPLR-GL '!R82</f>
        <v>0</v>
      </c>
      <c r="Q645" s="210">
        <f>+'TX-HPLR-GL '!S82</f>
        <v>1480.08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5">
      <c r="D646" s="208" t="s">
        <v>180</v>
      </c>
      <c r="E646" s="209"/>
      <c r="F646" s="210">
        <f>+'TX-HPLC-GL'!H82</f>
        <v>0</v>
      </c>
      <c r="G646" s="211">
        <f>+'TX-HPLC-GL'!I82</f>
        <v>-2477299</v>
      </c>
      <c r="H646" s="210">
        <f>+'TX-HPLC-GL'!J82</f>
        <v>0</v>
      </c>
      <c r="I646" s="210">
        <f>+'TX-HPLC-GL'!K82</f>
        <v>267341</v>
      </c>
      <c r="J646" s="210">
        <f>+'TX-HPLC-GL'!L82</f>
        <v>0</v>
      </c>
      <c r="K646" s="211">
        <f>+'TX-HPLC-GL'!M82</f>
        <v>1755038.04</v>
      </c>
      <c r="L646" s="210">
        <f>+'TX-HPLC-GL'!N82</f>
        <v>0</v>
      </c>
      <c r="M646" s="210">
        <f>+'TX-HPLC-GL'!O82</f>
        <v>122922</v>
      </c>
      <c r="N646" s="210">
        <f>+'TX-HPLC-GL'!P82</f>
        <v>0</v>
      </c>
      <c r="O646" s="210">
        <f>+'TX-HPLC-GL'!Q82</f>
        <v>248618.19000000003</v>
      </c>
      <c r="P646" s="210">
        <f>+'TX-HPLC-GL'!R82</f>
        <v>0</v>
      </c>
      <c r="Q646" s="210">
        <f>+'TX-HPLC-GL'!S82</f>
        <v>-153097.48000000001</v>
      </c>
      <c r="R646" s="210">
        <f>+'TX-HPLC-GL'!T82</f>
        <v>0</v>
      </c>
      <c r="S646" s="210">
        <f>+'TX-HPLC-GL'!U82</f>
        <v>8795.9799999999013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5">
      <c r="D647" s="208" t="s">
        <v>154</v>
      </c>
      <c r="E647" s="209"/>
      <c r="F647" s="210">
        <f>+'TX-CON-GL '!H82</f>
        <v>0</v>
      </c>
      <c r="G647" s="211">
        <f>+'TX-CON-GL '!I82</f>
        <v>1308516.560000008</v>
      </c>
      <c r="H647" s="210">
        <f>+'TX-CON-GL '!J82</f>
        <v>0</v>
      </c>
      <c r="I647" s="210">
        <f>+'TX-CON-GL '!K82</f>
        <v>-2269914.4099999988</v>
      </c>
      <c r="J647" s="210">
        <f>+'TX-CON-GL '!L82</f>
        <v>0</v>
      </c>
      <c r="K647" s="210">
        <f>+'TX-CON-GL '!M82</f>
        <v>2093951.7400000002</v>
      </c>
      <c r="L647" s="210">
        <f>+'TX-CON-GL '!N82</f>
        <v>0</v>
      </c>
      <c r="M647" s="210">
        <f>+'TX-CON-GL '!O82</f>
        <v>-155133.50000000399</v>
      </c>
      <c r="N647" s="210">
        <f>+'TX-CON-GL '!P82</f>
        <v>0</v>
      </c>
      <c r="O647" s="210">
        <f>+'TX-CON-GL '!Q82</f>
        <v>274244.31</v>
      </c>
      <c r="P647" s="210">
        <f>+'TX-CON-GL '!R82</f>
        <v>0</v>
      </c>
      <c r="Q647" s="210">
        <f>+'TX-CON-GL '!S82</f>
        <v>-162795.42000000004</v>
      </c>
      <c r="R647" s="210">
        <f>+'TX-CON-GL '!T82</f>
        <v>0</v>
      </c>
      <c r="S647" s="210">
        <f>+'TX-CON-GL '!U82</f>
        <v>9367.5699999999542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5">
      <c r="D648" s="208" t="s">
        <v>144</v>
      </c>
      <c r="E648" s="209"/>
      <c r="F648" s="210">
        <f>+'WE-GL '!H82</f>
        <v>0</v>
      </c>
      <c r="G648" s="211">
        <f>+'WE-GL '!I82</f>
        <v>-5323509.5740000261</v>
      </c>
      <c r="H648" s="210">
        <f>+'WE-GL '!J82</f>
        <v>0</v>
      </c>
      <c r="I648" s="210">
        <f>+'WE-GL '!K82</f>
        <v>-462438.9659999999</v>
      </c>
      <c r="J648" s="210">
        <f>+'WE-GL '!L82</f>
        <v>0</v>
      </c>
      <c r="K648" s="211">
        <f>+'WE-GL '!M82</f>
        <v>-130367.79199999997</v>
      </c>
      <c r="L648" s="210">
        <f>+'WE-GL '!N82</f>
        <v>0</v>
      </c>
      <c r="M648" s="210">
        <f>+'WE-GL '!O82</f>
        <v>81186.850000003004</v>
      </c>
      <c r="N648" s="210">
        <f>+'WE-GL '!P82</f>
        <v>0</v>
      </c>
      <c r="O648" s="210">
        <f>+'WE-GL '!Q82</f>
        <v>-3722079.4</v>
      </c>
      <c r="P648" s="210">
        <f>+'WE-GL '!R82</f>
        <v>0</v>
      </c>
      <c r="Q648" s="210">
        <f>+'WE-GL '!S82</f>
        <v>-21502.920000000002</v>
      </c>
      <c r="R648" s="210">
        <f>+'WE-GL '!T82</f>
        <v>0</v>
      </c>
      <c r="S648" s="210">
        <f>+'WE-GL '!U82</f>
        <v>99366.1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5">
      <c r="D649" s="208" t="s">
        <v>201</v>
      </c>
      <c r="E649" s="209"/>
      <c r="F649" s="210">
        <f>+'DEN-GL'!H82</f>
        <v>0</v>
      </c>
      <c r="G649" s="211">
        <f>+'DEN-GL'!I82</f>
        <v>-20458.670000000042</v>
      </c>
      <c r="H649" s="210">
        <f>+'DEN-GL'!J82</f>
        <v>0</v>
      </c>
      <c r="I649" s="211">
        <f>+'DEN-GL'!K82</f>
        <v>-139901.88</v>
      </c>
      <c r="J649" s="210">
        <f>+'DEN-GL'!L82</f>
        <v>0</v>
      </c>
      <c r="K649" s="211">
        <f>+'DEN-GL'!M82</f>
        <v>12985.46</v>
      </c>
      <c r="L649" s="210">
        <f>+'DEN-GL'!N82</f>
        <v>0</v>
      </c>
      <c r="M649" s="210">
        <f>+'DEN-GL'!O82</f>
        <v>-5718.4599999993297</v>
      </c>
      <c r="N649" s="210">
        <f>+'DEN-GL'!P82</f>
        <v>0</v>
      </c>
      <c r="O649" s="210">
        <f>+'DEN-GL'!Q82</f>
        <v>-55924.25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617.19999999999982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5">
      <c r="D650" s="208" t="s">
        <v>146</v>
      </c>
      <c r="E650" s="209"/>
      <c r="F650" s="210">
        <f>+STG_GL!H82</f>
        <v>0</v>
      </c>
      <c r="G650" s="210">
        <f>+STG_GL!I82</f>
        <v>-4785833</v>
      </c>
      <c r="H650" s="210">
        <f>+STG_GL!J82</f>
        <v>0</v>
      </c>
      <c r="I650" s="210">
        <f>+STG_GL!K82</f>
        <v>-1145689</v>
      </c>
      <c r="J650" s="210">
        <f>+STG_GL!L82</f>
        <v>0</v>
      </c>
      <c r="K650" s="210">
        <f>+STG_GL!M82</f>
        <v>-880768.52</v>
      </c>
      <c r="L650" s="210">
        <f>+STG_GL!N82</f>
        <v>0</v>
      </c>
      <c r="M650" s="210">
        <f>+STG_GL!O82</f>
        <v>-433044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-257821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5">
      <c r="D651" s="208" t="s">
        <v>160</v>
      </c>
      <c r="E651" s="209"/>
      <c r="F651" s="210">
        <f>+'ONT_GL '!H82</f>
        <v>0</v>
      </c>
      <c r="G651" s="211">
        <f>+'ONT_GL '!I82</f>
        <v>-10013992.479999976</v>
      </c>
      <c r="H651" s="210">
        <f>+'ONT_GL '!J82</f>
        <v>0</v>
      </c>
      <c r="I651" s="210">
        <f>+'ONT_GL '!K82</f>
        <v>3277253.399999999</v>
      </c>
      <c r="J651" s="210">
        <f>+'ONT_GL '!L82</f>
        <v>0</v>
      </c>
      <c r="K651" s="211">
        <f>+'ONT_GL '!M82</f>
        <v>4651252.3100000005</v>
      </c>
      <c r="L651" s="210">
        <f>+'ONT_GL '!N82</f>
        <v>0</v>
      </c>
      <c r="M651" s="210">
        <f>+'ONT_GL '!O82</f>
        <v>63846.679999999935</v>
      </c>
      <c r="N651" s="210">
        <f>+'ONT_GL '!P82</f>
        <v>0</v>
      </c>
      <c r="O651" s="210">
        <f>+'ONT_GL '!Q82</f>
        <v>-2891682.04</v>
      </c>
      <c r="P651" s="210">
        <f>+'ONT_GL '!R82</f>
        <v>270000</v>
      </c>
      <c r="Q651" s="210">
        <f>+'ONT_GL '!S82</f>
        <v>983010</v>
      </c>
      <c r="R651" s="210">
        <f>+'ONT_GL '!T82</f>
        <v>0</v>
      </c>
      <c r="S651" s="210">
        <f>+'ONT_GL '!U82</f>
        <v>-983010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5">
      <c r="D652" s="208" t="s">
        <v>193</v>
      </c>
      <c r="E652" s="209"/>
      <c r="F652" s="210">
        <f>+ARUBA_GL!H82</f>
        <v>0</v>
      </c>
      <c r="G652" s="211">
        <f>+ARUBA_GL!I82</f>
        <v>508436.6324999989</v>
      </c>
      <c r="H652" s="210">
        <f>+ARUBA_GL!J82</f>
        <v>0</v>
      </c>
      <c r="I652" s="211">
        <f>+ARUBA_GL!K82</f>
        <v>10776385.125</v>
      </c>
      <c r="J652" s="210">
        <f>+ARUBA_GL!L82</f>
        <v>0</v>
      </c>
      <c r="K652" s="211">
        <f>+ARUBA_GL!M82</f>
        <v>-720081.98499999999</v>
      </c>
      <c r="L652" s="210">
        <f>+ARUBA_GL!N82</f>
        <v>0</v>
      </c>
      <c r="M652" s="210">
        <f>+ARUBA_GL!O82</f>
        <v>-2114304.379999999</v>
      </c>
      <c r="N652" s="210">
        <f>+ARUBA_GL!P82</f>
        <v>0</v>
      </c>
      <c r="O652" s="210">
        <f>+ARUBA_GL!Q82</f>
        <v>140027</v>
      </c>
      <c r="P652" s="210">
        <f>+ARUBA_GL!R82</f>
        <v>0</v>
      </c>
      <c r="Q652" s="210">
        <f>+ARUBA_GL!S82</f>
        <v>-2043.46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5">
      <c r="D653" s="208" t="s">
        <v>197</v>
      </c>
      <c r="E653" s="209"/>
      <c r="F653" s="210">
        <f>+SITHE_GL!H82</f>
        <v>0</v>
      </c>
      <c r="G653" s="211">
        <f>+SITHE_GL!I82</f>
        <v>4894400.4249999989</v>
      </c>
      <c r="H653" s="210">
        <f>+SITHE_GL!J82</f>
        <v>0</v>
      </c>
      <c r="I653" s="211">
        <f>+SITHE_GL!K82</f>
        <v>-4145734.2450000001</v>
      </c>
      <c r="J653" s="210">
        <f>+SITHE_GL!L82</f>
        <v>0</v>
      </c>
      <c r="K653" s="211">
        <f>+SITHE_GL!M82</f>
        <v>47411</v>
      </c>
      <c r="L653" s="210">
        <f>+SITHE_GL!N82</f>
        <v>0</v>
      </c>
      <c r="M653" s="210">
        <f>+SITHE_GL!O82</f>
        <v>615934.50500000082</v>
      </c>
      <c r="N653" s="210">
        <f>+SITHE_GL!P82</f>
        <v>0</v>
      </c>
      <c r="O653" s="210">
        <f>+SITHE_GL!Q82</f>
        <v>-917959.72</v>
      </c>
      <c r="P653" s="210">
        <f>+SITHE_GL!R82</f>
        <v>0</v>
      </c>
      <c r="Q653" s="210">
        <f>+SITHE_GL!S82</f>
        <v>105.83</v>
      </c>
      <c r="R653" s="210">
        <f>+SITHE_GL!T82</f>
        <v>0</v>
      </c>
      <c r="S653" s="210">
        <f>+SITHE_GL!U82</f>
        <v>-26538.95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Havlíček Jan</cp:lastModifiedBy>
  <cp:lastPrinted>2000-04-24T13:46:14Z</cp:lastPrinted>
  <dcterms:created xsi:type="dcterms:W3CDTF">1997-07-11T21:57:33Z</dcterms:created>
  <dcterms:modified xsi:type="dcterms:W3CDTF">2023-09-10T12:18:46Z</dcterms:modified>
</cp:coreProperties>
</file>