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firstSheet="6" activeTab="12"/>
  </bookViews>
  <sheets>
    <sheet name="Entex" sheetId="1" r:id="rId1"/>
    <sheet name="Exxon" sheetId="8" r:id="rId2"/>
    <sheet name="TXU" sheetId="2" r:id="rId3"/>
    <sheet name="Valero Buy" sheetId="14" r:id="rId4"/>
    <sheet name="Costilla" sheetId="7" r:id="rId5"/>
    <sheet name="San Jacinto" sheetId="6" r:id="rId6"/>
    <sheet name="Calpine" sheetId="9" r:id="rId7"/>
    <sheet name="Sterling" sheetId="11" r:id="rId8"/>
    <sheet name="Pennzoil" sheetId="13" r:id="rId9"/>
    <sheet name="CES Devon" sheetId="16" r:id="rId10"/>
    <sheet name="Saxet" sheetId="12" r:id="rId11"/>
    <sheet name="Devon-Nevada" sheetId="15" r:id="rId12"/>
    <sheet name="Valero Sale" sheetId="17" r:id="rId13"/>
    <sheet name="Vastar" sheetId="10" r:id="rId14"/>
  </sheets>
  <definedNames>
    <definedName name="_xlnm.Print_Area" localSheetId="12">'Valero Sale'!$A$1:$E$43</definedName>
  </definedNames>
  <calcPr calcId="0"/>
</workbook>
</file>

<file path=xl/calcChain.xml><?xml version="1.0" encoding="utf-8"?>
<calcChain xmlns="http://schemas.openxmlformats.org/spreadsheetml/2006/main">
  <c r="C8" i="9" l="1"/>
  <c r="D8" i="9"/>
  <c r="C10" i="9"/>
  <c r="D10" i="9"/>
  <c r="B12" i="9"/>
  <c r="C12" i="9"/>
  <c r="B20" i="9"/>
  <c r="B28" i="9"/>
  <c r="B36" i="9"/>
  <c r="B39" i="9"/>
  <c r="D8" i="16"/>
  <c r="C10" i="16"/>
  <c r="D10" i="16"/>
  <c r="B12" i="16"/>
  <c r="C12" i="16"/>
  <c r="B20" i="16"/>
  <c r="B28" i="16"/>
  <c r="B36" i="16"/>
  <c r="B39" i="16"/>
  <c r="D8" i="7"/>
  <c r="C10" i="7"/>
  <c r="D10" i="7"/>
  <c r="B12" i="7"/>
  <c r="C12" i="7"/>
  <c r="B20" i="7"/>
  <c r="B28" i="7"/>
  <c r="B36" i="7"/>
  <c r="B39" i="7"/>
  <c r="D8" i="15"/>
  <c r="D10" i="15"/>
  <c r="B12" i="15"/>
  <c r="C12" i="15"/>
  <c r="B36" i="15"/>
  <c r="B39" i="15"/>
  <c r="B8" i="1"/>
  <c r="C8" i="1"/>
  <c r="D8" i="1"/>
  <c r="B10" i="1"/>
  <c r="C10" i="1"/>
  <c r="D10" i="1"/>
  <c r="B12" i="1"/>
  <c r="C12" i="1"/>
  <c r="B20" i="1"/>
  <c r="B28" i="1"/>
  <c r="B36" i="1"/>
  <c r="B39" i="1"/>
  <c r="C8" i="8"/>
  <c r="D8" i="8"/>
  <c r="C10" i="8"/>
  <c r="D10" i="8"/>
  <c r="B12" i="8"/>
  <c r="C12" i="8"/>
  <c r="B20" i="8"/>
  <c r="B28" i="8"/>
  <c r="B36" i="8"/>
  <c r="B39" i="8"/>
  <c r="D8" i="13"/>
  <c r="D10" i="13"/>
  <c r="B12" i="13"/>
  <c r="C12" i="13"/>
  <c r="B36" i="13"/>
  <c r="B39" i="13"/>
  <c r="D8" i="6"/>
  <c r="D10" i="6"/>
  <c r="B12" i="6"/>
  <c r="C12" i="6"/>
  <c r="B20" i="6"/>
  <c r="B28" i="6"/>
  <c r="B36" i="6"/>
  <c r="B39" i="6"/>
  <c r="D8" i="12"/>
  <c r="C10" i="12"/>
  <c r="D10" i="12"/>
  <c r="B12" i="12"/>
  <c r="C12" i="12"/>
  <c r="B20" i="12"/>
  <c r="B28" i="12"/>
  <c r="B36" i="12"/>
  <c r="B39" i="12"/>
  <c r="D8" i="11"/>
  <c r="C10" i="11"/>
  <c r="D10" i="11"/>
  <c r="B12" i="11"/>
  <c r="C12" i="11"/>
  <c r="B20" i="11"/>
  <c r="B28" i="11"/>
  <c r="B36" i="11"/>
  <c r="B39" i="11"/>
  <c r="C8" i="2"/>
  <c r="D8" i="2"/>
  <c r="C10" i="2"/>
  <c r="D10" i="2"/>
  <c r="B12" i="2"/>
  <c r="C12" i="2"/>
  <c r="B20" i="2"/>
  <c r="B28" i="2"/>
  <c r="B36" i="2"/>
  <c r="B39" i="2"/>
  <c r="C8" i="14"/>
  <c r="D8" i="14"/>
  <c r="C10" i="14"/>
  <c r="D10" i="14"/>
  <c r="B12" i="14"/>
  <c r="C12" i="14"/>
  <c r="B20" i="14"/>
  <c r="B28" i="14"/>
  <c r="B36" i="14"/>
  <c r="B39" i="14"/>
  <c r="C8" i="17"/>
  <c r="D8" i="17"/>
  <c r="C10" i="17"/>
  <c r="D10" i="17"/>
  <c r="B12" i="17"/>
  <c r="C12" i="17"/>
  <c r="B20" i="17"/>
  <c r="B28" i="17"/>
  <c r="B36" i="17"/>
  <c r="B39" i="17"/>
  <c r="C8" i="10"/>
  <c r="D8" i="10"/>
  <c r="C10" i="10"/>
  <c r="D10" i="10"/>
  <c r="B12" i="10"/>
  <c r="C12" i="10"/>
  <c r="B20" i="10"/>
  <c r="B28" i="10"/>
  <c r="B36" i="10"/>
  <c r="B39" i="10"/>
</calcChain>
</file>

<file path=xl/sharedStrings.xml><?xml version="1.0" encoding="utf-8"?>
<sst xmlns="http://schemas.openxmlformats.org/spreadsheetml/2006/main" count="375" uniqueCount="47">
  <si>
    <t>Reliant - Entex</t>
  </si>
  <si>
    <t>Contract: various</t>
  </si>
  <si>
    <t>CPR estimate</t>
  </si>
  <si>
    <t>Actual Payment</t>
  </si>
  <si>
    <t>Variance</t>
  </si>
  <si>
    <t>UA 4 RATE</t>
  </si>
  <si>
    <t>VOLUMES</t>
  </si>
  <si>
    <t xml:space="preserve"> </t>
  </si>
  <si>
    <t>VALUE</t>
  </si>
  <si>
    <t>NET RATE</t>
  </si>
  <si>
    <t>Volume Variance:</t>
  </si>
  <si>
    <t>=D8 (Volume Variance) * (B12-E12) CPR Price less UA 4 Rate</t>
  </si>
  <si>
    <t>Rate Variance:</t>
  </si>
  <si>
    <t>=(B8+D8) Actual Volumes * (C12-B12) Actual Price less CPR Price</t>
  </si>
  <si>
    <t>TOTAL IMPACT TO INCOME:</t>
  </si>
  <si>
    <t>=Volume Variance + Rate Variance</t>
  </si>
  <si>
    <t xml:space="preserve">Check Figure = ((D10/D8) less E12 UA 4 Rate) * D8 </t>
  </si>
  <si>
    <t>CHECK FIGURE</t>
  </si>
  <si>
    <t>($1,526,969)/(446,480) LESS $1.947 (UA4 RATE) BY (446,480MMBTU)</t>
  </si>
  <si>
    <t xml:space="preserve">Note:              </t>
  </si>
  <si>
    <t>TXU Fuel Company</t>
  </si>
  <si>
    <t>How much  should be deferred?</t>
  </si>
  <si>
    <t>Calpine</t>
  </si>
  <si>
    <t>Asset Deal</t>
  </si>
  <si>
    <t>Costilla Energy</t>
  </si>
  <si>
    <t>How much should be deferred?</t>
  </si>
  <si>
    <t>Sterling Chemicals</t>
  </si>
  <si>
    <t>San Jacinto</t>
  </si>
  <si>
    <t>Pennzoil</t>
  </si>
  <si>
    <t>Contract: N58941.1</t>
  </si>
  <si>
    <t>Saxet Energy</t>
  </si>
  <si>
    <t>Is this an asset deal</t>
  </si>
  <si>
    <t>Valero Mktg &amp; Supply</t>
  </si>
  <si>
    <t>UA4 Variance</t>
  </si>
  <si>
    <t>Exxon Company USA</t>
  </si>
  <si>
    <t>PMA coming through in May for $87,338 and is reflected in these numbers.</t>
  </si>
  <si>
    <t>Vastar</t>
  </si>
  <si>
    <t>There is a HL&amp;P WACOG true up of $119,812 included in these numbers, this should be taken,</t>
  </si>
  <si>
    <t>therefor the remaining variance is $64,477</t>
  </si>
  <si>
    <t>Devon Energy Corporation</t>
  </si>
  <si>
    <t>Liquidation only</t>
  </si>
  <si>
    <t>Original form from Phase I had a deferral of $96.801, less volume was actually taken, should all be deferred</t>
  </si>
  <si>
    <t>Phase I form did not include Unit Gas numbers, this form does</t>
  </si>
  <si>
    <t>Liquidation no flow - goes with Devon</t>
  </si>
  <si>
    <t>CES _ Devon</t>
  </si>
  <si>
    <t>Purchase</t>
  </si>
  <si>
    <t>Valero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</si>
</sst>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* #,##0.00000_);_(* \(#,##0.0000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17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164" fontId="5" fillId="0" borderId="4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5" fillId="2" borderId="0" xfId="1" applyNumberFormat="1" applyFont="1" applyFill="1" applyBorder="1"/>
    <xf numFmtId="164" fontId="3" fillId="0" borderId="7" xfId="1" applyNumberFormat="1" applyFont="1" applyBorder="1"/>
    <xf numFmtId="164" fontId="3" fillId="0" borderId="0" xfId="1" applyNumberFormat="1" applyFont="1"/>
    <xf numFmtId="44" fontId="5" fillId="0" borderId="4" xfId="2" applyFont="1" applyBorder="1" applyAlignment="1">
      <alignment horizontal="center"/>
    </xf>
    <xf numFmtId="44" fontId="3" fillId="0" borderId="8" xfId="2" applyFont="1" applyBorder="1"/>
    <xf numFmtId="164" fontId="5" fillId="2" borderId="8" xfId="1" applyNumberFormat="1" applyFont="1" applyFill="1" applyBorder="1"/>
    <xf numFmtId="44" fontId="3" fillId="0" borderId="7" xfId="2" applyFont="1" applyBorder="1"/>
    <xf numFmtId="44" fontId="3" fillId="0" borderId="0" xfId="2" applyFont="1"/>
    <xf numFmtId="165" fontId="3" fillId="0" borderId="0" xfId="0" applyNumberFormat="1" applyFont="1" applyBorder="1"/>
    <xf numFmtId="166" fontId="3" fillId="0" borderId="0" xfId="1" applyNumberFormat="1" applyFont="1" applyBorder="1"/>
    <xf numFmtId="0" fontId="5" fillId="0" borderId="9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167" fontId="5" fillId="0" borderId="0" xfId="0" applyNumberFormat="1" applyFont="1" applyBorder="1" applyAlignment="1">
      <alignment horizontal="left"/>
    </xf>
    <xf numFmtId="0" fontId="3" fillId="0" borderId="0" xfId="0" quotePrefix="1" applyFont="1" applyBorder="1"/>
    <xf numFmtId="0" fontId="3" fillId="0" borderId="1" xfId="0" applyFont="1" applyBorder="1"/>
    <xf numFmtId="44" fontId="3" fillId="0" borderId="2" xfId="2" applyFont="1" applyBorder="1"/>
    <xf numFmtId="0" fontId="3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0" xfId="0" quotePrefix="1" applyFont="1" applyBorder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167" fontId="5" fillId="0" borderId="0" xfId="2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6" fontId="3" fillId="0" borderId="0" xfId="0" applyNumberFormat="1" applyFont="1" applyAlignment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4"/>
  <sheetViews>
    <sheetView topLeftCell="A20" workbookViewId="0">
      <selection activeCell="C45" sqref="C45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0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f>5950358+124000</f>
        <v>6074358</v>
      </c>
      <c r="C8" s="16">
        <f>7817+4438+86800+310000+1197154+3702186+43116+5149+5328+364264</f>
        <v>5726252</v>
      </c>
      <c r="D8" s="17">
        <f>C8-B8</f>
        <v>-348106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f>15812098.91+321160</f>
        <v>16133258.91</v>
      </c>
      <c r="C10" s="21">
        <f>-2060167.42+7440+19386.16+11982.6+173600+610700+3040516.72+12249472.64+150862.88+13646.04+17950.95+923383</f>
        <v>15158773.57</v>
      </c>
      <c r="D10" s="22">
        <f>C10-B10</f>
        <v>-974485.33999999985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2.6559611583643901</v>
      </c>
      <c r="C12" s="25">
        <f>+C10/C8</f>
        <v>2.6472417857265103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-40366.774993594358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-49929.325006404521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-90296.099999998871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41</v>
      </c>
      <c r="B43"/>
    </row>
    <row r="44" spans="1:5" x14ac:dyDescent="0.25">
      <c r="A44" s="48" t="s">
        <v>42</v>
      </c>
      <c r="B44"/>
    </row>
    <row r="45" spans="1:5" x14ac:dyDescent="0.25">
      <c r="A45" s="48"/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F54"/>
  <sheetViews>
    <sheetView topLeftCell="A13" workbookViewId="0">
      <selection activeCell="B45" sqref="B45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44</v>
      </c>
    </row>
    <row r="2" spans="1:6" ht="15.6" x14ac:dyDescent="0.3">
      <c r="A2" s="1" t="s">
        <v>45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3546383</v>
      </c>
      <c r="C8" s="16">
        <v>3454697</v>
      </c>
      <c r="D8" s="17">
        <f>C8-B8</f>
        <v>-91686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9022352.9600000009</v>
      </c>
      <c r="C10" s="21">
        <f>10347.65+8752394.67</f>
        <v>8762742.3200000003</v>
      </c>
      <c r="D10" s="22">
        <f>C10-B10</f>
        <v>-259610.6400000006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2.544099991456084</v>
      </c>
      <c r="C12" s="25">
        <f>+C10/C8</f>
        <v>2.5364720321348009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375.91181664251519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26352.288183358862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26728.200000001376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43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54"/>
  <sheetViews>
    <sheetView topLeftCell="A3" workbookViewId="0">
      <selection activeCell="E11" sqref="E11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30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477005</v>
      </c>
      <c r="C8" s="16">
        <v>480660</v>
      </c>
      <c r="D8" s="17">
        <f>C8-B8</f>
        <v>3655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1158432</v>
      </c>
      <c r="C10" s="21">
        <f>163331+1080222</f>
        <v>1243553</v>
      </c>
      <c r="D10" s="22">
        <f>C10-B10</f>
        <v>85121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2.4285531598201278</v>
      </c>
      <c r="C12" s="25">
        <f>+C10/C8</f>
        <v>2.587178046852245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407.33820085743315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-76244.638200857444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-75837.300000000017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31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F54"/>
  <sheetViews>
    <sheetView topLeftCell="A13" workbookViewId="0">
      <selection activeCell="B20" sqref="B20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39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0</v>
      </c>
      <c r="C10" s="21">
        <v>-92052</v>
      </c>
      <c r="D10" s="22">
        <f>C10-B10</f>
        <v>-92052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v>0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v>92052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92052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40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/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F54"/>
  <sheetViews>
    <sheetView tabSelected="1" workbookViewId="0">
      <selection sqref="A1:E43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46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1199419</v>
      </c>
      <c r="C8" s="16">
        <f>1085000+538915+310395</f>
        <v>1934310</v>
      </c>
      <c r="D8" s="17">
        <f>C8-B8</f>
        <v>734891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3128040.53</v>
      </c>
      <c r="C10" s="21">
        <f>2821000+1417004+807130.74-3100</f>
        <v>5042034.74</v>
      </c>
      <c r="D10" s="22">
        <f>C10-B10</f>
        <v>1913994.2100000004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2.6079631304823416</v>
      </c>
      <c r="C12" s="25">
        <f>+C10/C8</f>
        <v>2.6066322047655239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49945.492923298494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-2574.4229232976436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47371.070000000851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F54"/>
  <sheetViews>
    <sheetView topLeftCell="A16" workbookViewId="0">
      <selection activeCell="A16" sqref="A1:IV65536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36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532144</v>
      </c>
      <c r="C8" s="16">
        <f>19340+329959+185380</f>
        <v>534679</v>
      </c>
      <c r="D8" s="17">
        <f>C8-B8</f>
        <v>2535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1361075</v>
      </c>
      <c r="C10" s="21">
        <f>47383+821597.91+450473.4+18719</f>
        <v>1338173.31</v>
      </c>
      <c r="D10" s="22">
        <f>C10-B10</f>
        <v>-22901.689999999944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2.5577193391262516</v>
      </c>
      <c r="C12" s="25">
        <f>+C10/C8</f>
        <v>2.5027601794721694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-44.918524685047721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29385.508524684992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29340.589999999946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54"/>
  <sheetViews>
    <sheetView topLeftCell="A20" workbookViewId="0">
      <selection activeCell="A44" sqref="A44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34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46500</v>
      </c>
      <c r="C8" s="16">
        <f>-7160+392313</f>
        <v>385153</v>
      </c>
      <c r="D8" s="17">
        <f>C8-B8</f>
        <v>338653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118342.5</v>
      </c>
      <c r="C10" s="21">
        <f>69151.63+1039659.78-158684.23</f>
        <v>950127.18000000017</v>
      </c>
      <c r="D10" s="22">
        <f>C10-B10</f>
        <v>831784.68000000017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2.5449999999999999</v>
      </c>
      <c r="C12" s="25">
        <f>+C10/C8</f>
        <v>2.4668824596978349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1693.2649999999639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-30087.204999999758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-28393.939999999795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35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/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54"/>
  <sheetViews>
    <sheetView topLeftCell="A13" workbookViewId="0">
      <selection activeCell="A13" sqref="A1:IV65536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20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2063331</v>
      </c>
      <c r="C8" s="16">
        <f>835002+60000+930000-60000+287081</f>
        <v>2052083</v>
      </c>
      <c r="D8" s="17">
        <f>C8-B8</f>
        <v>-11248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5514720.9500000002</v>
      </c>
      <c r="C10" s="21">
        <f>2291755.46+179000+2148300+-176000+854296.91-212458</f>
        <v>5084894.37</v>
      </c>
      <c r="D10" s="22">
        <f>C10-B10</f>
        <v>-429826.58000000007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2.6727272308708589</v>
      </c>
      <c r="C12" s="25">
        <f>+C10/C8</f>
        <v>2.477918471133965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-1492.9158928354211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-399763.7441071645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-401256.65999999992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21</v>
      </c>
      <c r="B43"/>
    </row>
    <row r="44" spans="1:5" x14ac:dyDescent="0.25">
      <c r="A44" s="48" t="s">
        <v>7</v>
      </c>
      <c r="B44"/>
    </row>
    <row r="45" spans="1:5" x14ac:dyDescent="0.25">
      <c r="A45" s="48"/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54"/>
  <sheetViews>
    <sheetView workbookViewId="0">
      <selection activeCell="A43" sqref="A43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32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56196</v>
      </c>
      <c r="C8" s="16">
        <f>763030+29053+155</f>
        <v>792238</v>
      </c>
      <c r="D8" s="17">
        <f>C8-B8</f>
        <v>736042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155081</v>
      </c>
      <c r="C10" s="21">
        <f>2133778.92+82308.12+436.64</f>
        <v>2216523.6800000002</v>
      </c>
      <c r="D10" s="22">
        <f>C10-B10</f>
        <v>2061442.6800000002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2.7596448145775501</v>
      </c>
      <c r="C12" s="25">
        <f>+C10/C8</f>
        <v>2.7978002569934795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-161667.80861128907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-30228.191388711064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-191896.00000000015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33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54"/>
  <sheetViews>
    <sheetView topLeftCell="A17" workbookViewId="0">
      <selection activeCell="A49" sqref="A49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24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951757</v>
      </c>
      <c r="C8" s="16">
        <v>953138</v>
      </c>
      <c r="D8" s="17">
        <f>C8-B8</f>
        <v>1381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2409693.9700000002</v>
      </c>
      <c r="C10" s="21">
        <f>2261217.13+111909</f>
        <v>2373126.13</v>
      </c>
      <c r="D10" s="22">
        <f>C10-B10</f>
        <v>-36567.840000000317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2.5318374017737724</v>
      </c>
      <c r="C12" s="25">
        <f>+C10/C8</f>
        <v>2.4898032918632977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D8*(+B12-E12)*-1</f>
        <v>11.272548150420411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(D8+B8)*(+C12-B12)*-1</f>
        <v>40064.307451849963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40075.580000000387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23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F54"/>
  <sheetViews>
    <sheetView topLeftCell="A2" workbookViewId="0">
      <selection activeCell="B3" sqref="B3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27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561643</v>
      </c>
      <c r="C8" s="16">
        <v>581428</v>
      </c>
      <c r="D8" s="17">
        <f>C8-B8</f>
        <v>19785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1416744.47</v>
      </c>
      <c r="C10" s="21">
        <v>1441941.44</v>
      </c>
      <c r="D10" s="22">
        <f>C10-B10</f>
        <v>25196.969999999972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2.522500004451226</v>
      </c>
      <c r="C12" s="25">
        <f>+C10/C8</f>
        <v>2.48</v>
      </c>
      <c r="D12" s="26"/>
      <c r="E12" s="14">
        <v>2.516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128.6025880675065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-24710.692588067453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-24582.089999999946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54"/>
  <sheetViews>
    <sheetView topLeftCell="A20" workbookViewId="0">
      <selection activeCell="A42" sqref="A42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22</v>
      </c>
    </row>
    <row r="2" spans="1:6" ht="15.6" x14ac:dyDescent="0.3">
      <c r="A2" s="1" t="s">
        <v>1</v>
      </c>
      <c r="B2" s="3">
        <v>36526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4540501</v>
      </c>
      <c r="C8" s="16">
        <f>2296191+2253312</f>
        <v>4549503</v>
      </c>
      <c r="D8" s="17">
        <f>C8-B8</f>
        <v>9002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11827491.210000001</v>
      </c>
      <c r="C10" s="21">
        <f>119811.9+6119046+5864972.41+53497-122682.5</f>
        <v>12034644.810000001</v>
      </c>
      <c r="D10" s="22">
        <f>C10-B10</f>
        <v>207153.59999999963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2.6048868197584367</v>
      </c>
      <c r="C12" s="25">
        <f>+C10/C8</f>
        <v>2.6452658257396466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584.11115146544705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183704.40884853245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184288.51999999789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21</v>
      </c>
      <c r="B43"/>
    </row>
    <row r="44" spans="1:5" x14ac:dyDescent="0.25">
      <c r="A44" s="48" t="s">
        <v>37</v>
      </c>
      <c r="B44"/>
    </row>
    <row r="45" spans="1:5" x14ac:dyDescent="0.25">
      <c r="A45" s="48" t="s">
        <v>38</v>
      </c>
      <c r="B45"/>
    </row>
    <row r="46" spans="1:5" x14ac:dyDescent="0.25">
      <c r="A46" s="50" t="s">
        <v>7</v>
      </c>
      <c r="B46"/>
    </row>
    <row r="47" spans="1:5" x14ac:dyDescent="0.25">
      <c r="A47" s="45" t="s">
        <v>7</v>
      </c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F54"/>
  <sheetViews>
    <sheetView topLeftCell="A12" workbookViewId="0">
      <selection activeCell="B44" sqref="B44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26</v>
      </c>
    </row>
    <row r="2" spans="1:6" ht="15.6" x14ac:dyDescent="0.3">
      <c r="A2" s="1" t="s">
        <v>1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1251804</v>
      </c>
      <c r="C8" s="16">
        <v>1281716</v>
      </c>
      <c r="D8" s="17">
        <f>C8-B8</f>
        <v>29912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3250068.88</v>
      </c>
      <c r="C10" s="21">
        <f>3413330-58900</f>
        <v>3354430</v>
      </c>
      <c r="D10" s="22">
        <f>C10-B10</f>
        <v>104361.12000000011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>
        <f>+B10/B8</f>
        <v>2.5963081121325704</v>
      </c>
      <c r="C12" s="25">
        <f>+C10/C8</f>
        <v>2.6171398344094947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f>D8*(+B12-E12)</f>
        <v>1684.2882501094448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f>(D8+B8)*(+C12-B12)</f>
        <v>26700.351749890324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28384.63999999977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7</v>
      </c>
      <c r="B42"/>
    </row>
    <row r="43" spans="1:5" x14ac:dyDescent="0.25">
      <c r="A43" s="48" t="s">
        <v>25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F54"/>
  <sheetViews>
    <sheetView topLeftCell="A18" workbookViewId="0">
      <selection activeCell="B36" sqref="B36"/>
    </sheetView>
  </sheetViews>
  <sheetFormatPr defaultColWidth="9.109375" defaultRowHeight="13.2" x14ac:dyDescent="0.25"/>
  <cols>
    <col min="1" max="1" width="29.88671875" style="12" customWidth="1"/>
    <col min="2" max="3" width="16.88671875" style="2" customWidth="1"/>
    <col min="4" max="4" width="15" style="2" customWidth="1"/>
    <col min="5" max="5" width="11" style="2" customWidth="1"/>
    <col min="6" max="6" width="15.5546875" style="2" customWidth="1"/>
    <col min="7" max="16384" width="9.109375" style="2"/>
  </cols>
  <sheetData>
    <row r="1" spans="1:6" ht="15.6" x14ac:dyDescent="0.3">
      <c r="A1" s="1" t="s">
        <v>28</v>
      </c>
    </row>
    <row r="2" spans="1:6" ht="15.6" x14ac:dyDescent="0.3">
      <c r="A2" s="1" t="s">
        <v>29</v>
      </c>
      <c r="B2" s="3">
        <v>36586</v>
      </c>
    </row>
    <row r="3" spans="1:6" ht="15.6" x14ac:dyDescent="0.3">
      <c r="A3" s="1"/>
    </row>
    <row r="4" spans="1:6" ht="16.2" thickBot="1" x14ac:dyDescent="0.35">
      <c r="A4" s="4"/>
    </row>
    <row r="5" spans="1:6" x14ac:dyDescent="0.25">
      <c r="A5" s="5"/>
      <c r="B5" s="6"/>
      <c r="C5" s="7"/>
      <c r="D5" s="7"/>
      <c r="E5" s="8"/>
    </row>
    <row r="6" spans="1:6" s="12" customFormat="1" ht="13.8" thickBot="1" x14ac:dyDescent="0.3">
      <c r="A6" s="9"/>
      <c r="B6" s="10" t="s">
        <v>2</v>
      </c>
      <c r="C6" s="10" t="s">
        <v>3</v>
      </c>
      <c r="D6" s="10" t="s">
        <v>4</v>
      </c>
      <c r="E6" s="11" t="s">
        <v>5</v>
      </c>
    </row>
    <row r="7" spans="1:6" x14ac:dyDescent="0.25">
      <c r="A7" s="9"/>
      <c r="B7" s="13"/>
      <c r="C7" s="13"/>
      <c r="D7" s="13"/>
      <c r="E7" s="14"/>
    </row>
    <row r="8" spans="1:6" s="19" customFormat="1" x14ac:dyDescent="0.25">
      <c r="A8" s="15" t="s">
        <v>6</v>
      </c>
      <c r="B8" s="16">
        <v>0</v>
      </c>
      <c r="C8" s="16">
        <v>0</v>
      </c>
      <c r="D8" s="17">
        <f>C8-B8</f>
        <v>0</v>
      </c>
      <c r="E8" s="18"/>
      <c r="F8" s="19" t="s">
        <v>7</v>
      </c>
    </row>
    <row r="9" spans="1:6" x14ac:dyDescent="0.25">
      <c r="A9" s="9"/>
      <c r="B9" s="13"/>
      <c r="C9" s="13" t="s">
        <v>7</v>
      </c>
      <c r="D9" s="13"/>
      <c r="E9" s="14"/>
    </row>
    <row r="10" spans="1:6" s="24" customFormat="1" x14ac:dyDescent="0.25">
      <c r="A10" s="20" t="s">
        <v>8</v>
      </c>
      <c r="B10" s="21">
        <v>0</v>
      </c>
      <c r="C10" s="21">
        <v>11697</v>
      </c>
      <c r="D10" s="22">
        <f>C10-B10</f>
        <v>11697</v>
      </c>
      <c r="E10" s="23"/>
      <c r="F10" s="24" t="s">
        <v>7</v>
      </c>
    </row>
    <row r="11" spans="1:6" x14ac:dyDescent="0.25">
      <c r="A11" s="9"/>
      <c r="B11" s="13"/>
      <c r="C11" s="13"/>
      <c r="D11" s="13"/>
      <c r="E11" s="14"/>
    </row>
    <row r="12" spans="1:6" x14ac:dyDescent="0.25">
      <c r="A12" s="9" t="s">
        <v>9</v>
      </c>
      <c r="B12" s="25" t="e">
        <f>+B10/B8</f>
        <v>#DIV/0!</v>
      </c>
      <c r="C12" s="25" t="e">
        <f>+C10/C8</f>
        <v>#DIV/0!</v>
      </c>
      <c r="D12" s="26"/>
      <c r="E12" s="14">
        <v>2.54</v>
      </c>
    </row>
    <row r="13" spans="1:6" ht="13.8" thickBot="1" x14ac:dyDescent="0.3">
      <c r="A13" s="27"/>
      <c r="B13" s="28"/>
      <c r="C13" s="28"/>
      <c r="D13" s="28"/>
      <c r="E13" s="29"/>
    </row>
    <row r="14" spans="1:6" x14ac:dyDescent="0.25">
      <c r="A14" s="30"/>
      <c r="B14" s="13"/>
      <c r="C14" s="13"/>
      <c r="D14" s="13"/>
      <c r="E14" s="13"/>
    </row>
    <row r="15" spans="1:6" x14ac:dyDescent="0.25">
      <c r="A15" s="30"/>
      <c r="B15" s="13"/>
      <c r="C15" s="13"/>
      <c r="D15" s="13"/>
      <c r="E15" s="13"/>
    </row>
    <row r="16" spans="1:6" ht="13.8" thickBot="1" x14ac:dyDescent="0.3"/>
    <row r="17" spans="1:5" x14ac:dyDescent="0.25">
      <c r="A17" s="5"/>
      <c r="B17" s="7"/>
      <c r="C17" s="7"/>
      <c r="D17" s="7"/>
      <c r="E17" s="8"/>
    </row>
    <row r="18" spans="1:5" x14ac:dyDescent="0.25">
      <c r="A18" s="31" t="s">
        <v>10</v>
      </c>
      <c r="B18" s="13"/>
      <c r="C18" s="13"/>
      <c r="D18" s="13"/>
      <c r="E18" s="14"/>
    </row>
    <row r="19" spans="1:5" x14ac:dyDescent="0.25">
      <c r="A19" s="9"/>
      <c r="B19" s="13"/>
      <c r="C19" s="13"/>
      <c r="D19" s="13"/>
      <c r="E19" s="14"/>
    </row>
    <row r="20" spans="1:5" x14ac:dyDescent="0.25">
      <c r="A20" s="32"/>
      <c r="B20" s="33">
        <v>0</v>
      </c>
      <c r="C20" s="34" t="s">
        <v>11</v>
      </c>
      <c r="D20" s="13"/>
      <c r="E20" s="14"/>
    </row>
    <row r="21" spans="1:5" ht="13.8" thickBot="1" x14ac:dyDescent="0.3">
      <c r="A21" s="27"/>
      <c r="B21" s="28"/>
      <c r="C21" s="28"/>
      <c r="D21" s="28"/>
      <c r="E21" s="29"/>
    </row>
    <row r="22" spans="1:5" ht="14.25" customHeight="1" x14ac:dyDescent="0.25">
      <c r="A22" s="30"/>
      <c r="B22" s="13"/>
      <c r="C22" s="13"/>
      <c r="D22" s="13"/>
    </row>
    <row r="23" spans="1:5" ht="15" customHeight="1" x14ac:dyDescent="0.25">
      <c r="A23" s="30"/>
      <c r="B23" s="13"/>
      <c r="C23" s="13"/>
      <c r="D23" s="13"/>
    </row>
    <row r="24" spans="1:5" ht="13.8" thickBot="1" x14ac:dyDescent="0.3"/>
    <row r="25" spans="1:5" x14ac:dyDescent="0.25">
      <c r="A25" s="5"/>
      <c r="B25" s="7"/>
      <c r="C25" s="7"/>
      <c r="D25" s="7"/>
      <c r="E25" s="8"/>
    </row>
    <row r="26" spans="1:5" x14ac:dyDescent="0.25">
      <c r="A26" s="31" t="s">
        <v>12</v>
      </c>
      <c r="B26" s="13"/>
      <c r="C26" s="13"/>
      <c r="D26" s="13"/>
      <c r="E26" s="14"/>
    </row>
    <row r="27" spans="1:5" x14ac:dyDescent="0.25">
      <c r="A27" s="31"/>
      <c r="B27" s="13"/>
      <c r="C27" s="13"/>
      <c r="D27" s="13"/>
      <c r="E27" s="14"/>
    </row>
    <row r="28" spans="1:5" x14ac:dyDescent="0.25">
      <c r="A28" s="32"/>
      <c r="B28" s="33">
        <v>-11697</v>
      </c>
      <c r="C28" s="34" t="s">
        <v>13</v>
      </c>
      <c r="D28" s="13"/>
      <c r="E28" s="14"/>
    </row>
    <row r="29" spans="1:5" ht="13.8" thickBot="1" x14ac:dyDescent="0.3">
      <c r="A29" s="27"/>
      <c r="B29" s="28"/>
      <c r="C29" s="28"/>
      <c r="D29" s="28"/>
      <c r="E29" s="29"/>
    </row>
    <row r="30" spans="1:5" x14ac:dyDescent="0.25">
      <c r="A30" s="30"/>
      <c r="B30" s="13"/>
      <c r="C30" s="13"/>
      <c r="D30" s="13"/>
      <c r="E30" s="13"/>
    </row>
    <row r="31" spans="1:5" x14ac:dyDescent="0.25">
      <c r="A31" s="30"/>
      <c r="B31" s="13"/>
      <c r="C31" s="13"/>
      <c r="D31" s="13"/>
      <c r="E31" s="13"/>
    </row>
    <row r="32" spans="1:5" ht="13.8" thickBot="1" x14ac:dyDescent="0.3">
      <c r="A32" s="30"/>
      <c r="B32" s="13"/>
      <c r="C32" s="13"/>
      <c r="D32" s="13"/>
      <c r="E32" s="13"/>
    </row>
    <row r="33" spans="1:5" x14ac:dyDescent="0.25">
      <c r="A33" s="35"/>
      <c r="B33" s="6"/>
      <c r="C33" s="36"/>
      <c r="D33" s="7"/>
      <c r="E33" s="8"/>
    </row>
    <row r="34" spans="1:5" x14ac:dyDescent="0.25">
      <c r="A34" s="37"/>
      <c r="B34" s="38" t="s">
        <v>14</v>
      </c>
      <c r="C34" s="39"/>
      <c r="D34" s="40"/>
      <c r="E34" s="41"/>
    </row>
    <row r="35" spans="1:5" x14ac:dyDescent="0.25">
      <c r="A35" s="42"/>
      <c r="B35" s="30"/>
      <c r="C35" s="13"/>
      <c r="D35" s="13"/>
      <c r="E35" s="14"/>
    </row>
    <row r="36" spans="1:5" x14ac:dyDescent="0.25">
      <c r="A36" s="37"/>
      <c r="B36" s="33">
        <f>B20+B28</f>
        <v>-11697</v>
      </c>
      <c r="C36" s="43" t="s">
        <v>15</v>
      </c>
      <c r="D36" s="40"/>
      <c r="E36" s="41"/>
    </row>
    <row r="37" spans="1:5" ht="13.8" thickBot="1" x14ac:dyDescent="0.3">
      <c r="A37" s="44"/>
      <c r="B37" s="10"/>
      <c r="C37" s="28"/>
      <c r="D37" s="28"/>
      <c r="E37" s="29"/>
    </row>
    <row r="38" spans="1:5" ht="12.75" customHeight="1" x14ac:dyDescent="0.25">
      <c r="C38" s="2" t="s">
        <v>16</v>
      </c>
    </row>
    <row r="39" spans="1:5" hidden="1" x14ac:dyDescent="0.25">
      <c r="A39" s="45" t="s">
        <v>17</v>
      </c>
      <c r="B39" s="46" t="e">
        <f>#REF!+#REF!</f>
        <v>#REF!</v>
      </c>
      <c r="C39" s="2" t="s">
        <v>18</v>
      </c>
    </row>
    <row r="40" spans="1:5" x14ac:dyDescent="0.25">
      <c r="A40" s="47"/>
    </row>
    <row r="41" spans="1:5" x14ac:dyDescent="0.25">
      <c r="A41" s="48" t="s">
        <v>19</v>
      </c>
      <c r="B41"/>
    </row>
    <row r="42" spans="1:5" x14ac:dyDescent="0.25">
      <c r="A42" s="49" t="s">
        <v>43</v>
      </c>
      <c r="B42"/>
    </row>
    <row r="43" spans="1:5" x14ac:dyDescent="0.25">
      <c r="A43" s="48" t="s">
        <v>7</v>
      </c>
      <c r="B43"/>
    </row>
    <row r="44" spans="1:5" x14ac:dyDescent="0.25">
      <c r="A44" s="48" t="s">
        <v>7</v>
      </c>
      <c r="B44"/>
    </row>
    <row r="45" spans="1:5" x14ac:dyDescent="0.25">
      <c r="A45" s="48" t="s">
        <v>7</v>
      </c>
      <c r="B45"/>
    </row>
    <row r="46" spans="1:5" x14ac:dyDescent="0.25">
      <c r="A46" s="50" t="s">
        <v>7</v>
      </c>
      <c r="B46"/>
    </row>
    <row r="47" spans="1:5" x14ac:dyDescent="0.25">
      <c r="A47" s="45"/>
    </row>
    <row r="48" spans="1: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</sheetData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Entex</vt:lpstr>
      <vt:lpstr>Exxon</vt:lpstr>
      <vt:lpstr>TXU</vt:lpstr>
      <vt:lpstr>Valero Buy</vt:lpstr>
      <vt:lpstr>Costilla</vt:lpstr>
      <vt:lpstr>San Jacinto</vt:lpstr>
      <vt:lpstr>Calpine</vt:lpstr>
      <vt:lpstr>Sterling</vt:lpstr>
      <vt:lpstr>Pennzoil</vt:lpstr>
      <vt:lpstr>CES Devon</vt:lpstr>
      <vt:lpstr>Saxet</vt:lpstr>
      <vt:lpstr>Devon-Nevada</vt:lpstr>
      <vt:lpstr>Valero Sale</vt:lpstr>
      <vt:lpstr>Vastar</vt:lpstr>
      <vt:lpstr>'Valero Sale'!Print_Area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2000-05-31T21:44:12Z</cp:lastPrinted>
  <dcterms:created xsi:type="dcterms:W3CDTF">2000-03-17T19:52:18Z</dcterms:created>
  <dcterms:modified xsi:type="dcterms:W3CDTF">2023-09-10T12:18:56Z</dcterms:modified>
</cp:coreProperties>
</file>