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0005 GL" sheetId="6" r:id="rId1"/>
    <sheet name="0004 GL" sheetId="5" r:id="rId2"/>
    <sheet name="0003 GL" sheetId="4" r:id="rId3"/>
    <sheet name="0002 GL" sheetId="3" r:id="rId4"/>
    <sheet name="0001 GL" sheetId="1" r:id="rId5"/>
    <sheet name="9912 GL" sheetId="2" r:id="rId6"/>
  </sheets>
  <definedNames>
    <definedName name="_xlnm.Print_Area" localSheetId="4">'0001 GL'!$A$1:$T$53</definedName>
    <definedName name="_xlnm.Print_Area" localSheetId="2">'0003 GL'!$A$1:$V$71</definedName>
    <definedName name="_xlnm.Print_Area" localSheetId="5">'9912 GL'!$A$1:$T$55</definedName>
  </definedNames>
  <calcPr calcId="0"/>
</workbook>
</file>

<file path=xl/calcChain.xml><?xml version="1.0" encoding="utf-8"?>
<calcChain xmlns="http://schemas.openxmlformats.org/spreadsheetml/2006/main">
  <c r="H8" i="1" l="1"/>
  <c r="T8" i="1"/>
  <c r="M12" i="1"/>
  <c r="O12" i="1"/>
  <c r="P12" i="1"/>
  <c r="Q12" i="1"/>
  <c r="T12" i="1"/>
  <c r="T13" i="1"/>
  <c r="T14" i="1"/>
  <c r="F15" i="1"/>
  <c r="H15" i="1"/>
  <c r="J15" i="1"/>
  <c r="K15" i="1"/>
  <c r="L15" i="1"/>
  <c r="M15" i="1"/>
  <c r="N15" i="1"/>
  <c r="O15" i="1"/>
  <c r="P15" i="1"/>
  <c r="Q15" i="1"/>
  <c r="R15" i="1"/>
  <c r="T15" i="1"/>
  <c r="T19" i="1"/>
  <c r="T20" i="1"/>
  <c r="T21" i="1"/>
  <c r="T22" i="1"/>
  <c r="K23" i="1"/>
  <c r="T23" i="1"/>
  <c r="T24" i="1"/>
  <c r="T25" i="1"/>
  <c r="T26" i="1"/>
  <c r="T27" i="1"/>
  <c r="H28" i="1"/>
  <c r="K28" i="1"/>
  <c r="M28" i="1"/>
  <c r="N28" i="1"/>
  <c r="O28" i="1"/>
  <c r="P28" i="1"/>
  <c r="Q28" i="1"/>
  <c r="R28" i="1"/>
  <c r="T28" i="1"/>
  <c r="T31" i="1"/>
  <c r="P32" i="1"/>
  <c r="T32" i="1"/>
  <c r="T33" i="1"/>
  <c r="R34" i="1"/>
  <c r="T34" i="1"/>
  <c r="H35" i="1"/>
  <c r="J35" i="1"/>
  <c r="K35" i="1"/>
  <c r="L35" i="1"/>
  <c r="M35" i="1"/>
  <c r="O35" i="1"/>
  <c r="P35" i="1"/>
  <c r="Q35" i="1"/>
  <c r="R35" i="1"/>
  <c r="T35" i="1"/>
  <c r="N37" i="1"/>
  <c r="Q37" i="1"/>
  <c r="T37" i="1"/>
  <c r="M38" i="1"/>
  <c r="N38" i="1"/>
  <c r="O38" i="1"/>
  <c r="P38" i="1"/>
  <c r="Q38" i="1"/>
  <c r="R38" i="1"/>
  <c r="T38" i="1"/>
  <c r="T40" i="1"/>
  <c r="H41" i="1"/>
  <c r="K41" i="1"/>
  <c r="R41" i="1"/>
  <c r="S41" i="1"/>
  <c r="T41" i="1"/>
  <c r="T46" i="1"/>
  <c r="T47" i="1"/>
  <c r="T48" i="1"/>
  <c r="Q49" i="1"/>
  <c r="R49" i="1"/>
  <c r="T49" i="1"/>
  <c r="F51" i="1"/>
  <c r="H51" i="1"/>
  <c r="J51" i="1"/>
  <c r="K51" i="1"/>
  <c r="L51" i="1"/>
  <c r="M51" i="1"/>
  <c r="N51" i="1"/>
  <c r="O51" i="1"/>
  <c r="P51" i="1"/>
  <c r="Q51" i="1"/>
  <c r="R51" i="1"/>
  <c r="S51" i="1"/>
  <c r="T51" i="1"/>
  <c r="F53" i="1"/>
  <c r="H53" i="1"/>
  <c r="J53" i="1"/>
  <c r="K53" i="1"/>
  <c r="L53" i="1"/>
  <c r="M53" i="1"/>
  <c r="N53" i="1"/>
  <c r="O53" i="1"/>
  <c r="P53" i="1"/>
  <c r="Q53" i="1"/>
  <c r="R53" i="1"/>
  <c r="S53" i="1"/>
  <c r="T53" i="1"/>
  <c r="H8" i="3"/>
  <c r="U8" i="3"/>
  <c r="U12" i="3"/>
  <c r="U13" i="3"/>
  <c r="F14" i="3"/>
  <c r="H14" i="3"/>
  <c r="J14" i="3"/>
  <c r="K14" i="3"/>
  <c r="L14" i="3"/>
  <c r="M14" i="3"/>
  <c r="N14" i="3"/>
  <c r="O14" i="3"/>
  <c r="P14" i="3"/>
  <c r="Q14" i="3"/>
  <c r="R14" i="3"/>
  <c r="S14" i="3"/>
  <c r="U14" i="3"/>
  <c r="U18" i="3"/>
  <c r="U19" i="3"/>
  <c r="U20" i="3"/>
  <c r="U21" i="3"/>
  <c r="U22" i="3"/>
  <c r="U23" i="3"/>
  <c r="U24" i="3"/>
  <c r="U25" i="3"/>
  <c r="U26" i="3"/>
  <c r="H27" i="3"/>
  <c r="K27" i="3"/>
  <c r="M27" i="3"/>
  <c r="N27" i="3"/>
  <c r="O27" i="3"/>
  <c r="P27" i="3"/>
  <c r="Q27" i="3"/>
  <c r="R27" i="3"/>
  <c r="S27" i="3"/>
  <c r="U27" i="3"/>
  <c r="U30" i="3"/>
  <c r="U31" i="3"/>
  <c r="P32" i="3"/>
  <c r="U32" i="3"/>
  <c r="F33" i="3"/>
  <c r="H33" i="3"/>
  <c r="U33" i="3"/>
  <c r="U34" i="3"/>
  <c r="F35" i="3"/>
  <c r="H35" i="3"/>
  <c r="J35" i="3"/>
  <c r="K35" i="3"/>
  <c r="L35" i="3"/>
  <c r="M35" i="3"/>
  <c r="N35" i="3"/>
  <c r="O35" i="3"/>
  <c r="P35" i="3"/>
  <c r="Q35" i="3"/>
  <c r="R35" i="3"/>
  <c r="S35" i="3"/>
  <c r="U35" i="3"/>
  <c r="U37" i="3"/>
  <c r="S38" i="3"/>
  <c r="U38" i="3"/>
  <c r="U39" i="3"/>
  <c r="N40" i="3"/>
  <c r="Q40" i="3"/>
  <c r="U40" i="3"/>
  <c r="H41" i="3"/>
  <c r="K41" i="3"/>
  <c r="M41" i="3"/>
  <c r="N41" i="3"/>
  <c r="O41" i="3"/>
  <c r="P41" i="3"/>
  <c r="Q41" i="3"/>
  <c r="R41" i="3"/>
  <c r="S41" i="3"/>
  <c r="U41" i="3"/>
  <c r="S44" i="3"/>
  <c r="U44" i="3"/>
  <c r="Q45" i="3"/>
  <c r="S45" i="3"/>
  <c r="U45" i="3"/>
  <c r="U48" i="3"/>
  <c r="H49" i="3"/>
  <c r="K49" i="3"/>
  <c r="R49" i="3"/>
  <c r="S49" i="3"/>
  <c r="T49" i="3"/>
  <c r="U49" i="3"/>
  <c r="U54" i="3"/>
  <c r="R55" i="3"/>
  <c r="U55" i="3"/>
  <c r="F56" i="3"/>
  <c r="H56" i="3"/>
  <c r="J56" i="3"/>
  <c r="K56" i="3"/>
  <c r="L56" i="3"/>
  <c r="M56" i="3"/>
  <c r="N56" i="3"/>
  <c r="O56" i="3"/>
  <c r="P56" i="3"/>
  <c r="Q56" i="3"/>
  <c r="R56" i="3"/>
  <c r="S56" i="3"/>
  <c r="U56" i="3"/>
  <c r="U60" i="3"/>
  <c r="U61" i="3"/>
  <c r="U62" i="3"/>
  <c r="H63" i="3"/>
  <c r="K63" i="3"/>
  <c r="N63" i="3"/>
  <c r="Q63" i="3"/>
  <c r="R63" i="3"/>
  <c r="S63" i="3"/>
  <c r="U63" i="3"/>
  <c r="F65" i="3"/>
  <c r="H65" i="3"/>
  <c r="J65" i="3"/>
  <c r="K65" i="3"/>
  <c r="L65" i="3"/>
  <c r="M65" i="3"/>
  <c r="N65" i="3"/>
  <c r="O65" i="3"/>
  <c r="P65" i="3"/>
  <c r="Q65" i="3"/>
  <c r="R65" i="3"/>
  <c r="S65" i="3"/>
  <c r="T65" i="3"/>
  <c r="U65" i="3"/>
  <c r="F67" i="3"/>
  <c r="H67" i="3"/>
  <c r="J67" i="3"/>
  <c r="K67" i="3"/>
  <c r="L67" i="3"/>
  <c r="M67" i="3"/>
  <c r="N67" i="3"/>
  <c r="O67" i="3"/>
  <c r="P67" i="3"/>
  <c r="Q67" i="3"/>
  <c r="R67" i="3"/>
  <c r="S67" i="3"/>
  <c r="T67" i="3"/>
  <c r="U67" i="3"/>
  <c r="H8" i="4"/>
  <c r="V8" i="4"/>
  <c r="T12" i="4"/>
  <c r="V12" i="4"/>
  <c r="V13" i="4"/>
  <c r="F14" i="4"/>
  <c r="H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V18" i="4"/>
  <c r="V19" i="4"/>
  <c r="V20" i="4"/>
  <c r="V21" i="4"/>
  <c r="V22" i="4"/>
  <c r="V23" i="4"/>
  <c r="V24" i="4"/>
  <c r="V25" i="4"/>
  <c r="V26" i="4"/>
  <c r="H27" i="4"/>
  <c r="K27" i="4"/>
  <c r="M27" i="4"/>
  <c r="N27" i="4"/>
  <c r="O27" i="4"/>
  <c r="P27" i="4"/>
  <c r="Q27" i="4"/>
  <c r="R27" i="4"/>
  <c r="S27" i="4"/>
  <c r="T27" i="4"/>
  <c r="V27" i="4"/>
  <c r="V30" i="4"/>
  <c r="V31" i="4"/>
  <c r="P32" i="4"/>
  <c r="V32" i="4"/>
  <c r="V33" i="4"/>
  <c r="F34" i="4"/>
  <c r="H34" i="4"/>
  <c r="V34" i="4"/>
  <c r="V35" i="4"/>
  <c r="F36" i="4"/>
  <c r="H36" i="4"/>
  <c r="J36" i="4"/>
  <c r="K36" i="4"/>
  <c r="L36" i="4"/>
  <c r="M36" i="4"/>
  <c r="N36" i="4"/>
  <c r="O36" i="4"/>
  <c r="P36" i="4"/>
  <c r="Q36" i="4"/>
  <c r="R36" i="4"/>
  <c r="S36" i="4"/>
  <c r="V36" i="4"/>
  <c r="V38" i="4"/>
  <c r="S39" i="4"/>
  <c r="T39" i="4"/>
  <c r="V39" i="4"/>
  <c r="V40" i="4"/>
  <c r="V41" i="4"/>
  <c r="N42" i="4"/>
  <c r="Q42" i="4"/>
  <c r="V42" i="4"/>
  <c r="H43" i="4"/>
  <c r="K43" i="4"/>
  <c r="M43" i="4"/>
  <c r="N43" i="4"/>
  <c r="O43" i="4"/>
  <c r="P43" i="4"/>
  <c r="Q43" i="4"/>
  <c r="R43" i="4"/>
  <c r="S43" i="4"/>
  <c r="T43" i="4"/>
  <c r="V43" i="4"/>
  <c r="V46" i="4"/>
  <c r="Q47" i="4"/>
  <c r="S47" i="4"/>
  <c r="V47" i="4"/>
  <c r="U50" i="4"/>
  <c r="V50" i="4"/>
  <c r="H51" i="4"/>
  <c r="K51" i="4"/>
  <c r="R51" i="4"/>
  <c r="S51" i="4"/>
  <c r="T51" i="4"/>
  <c r="U51" i="4"/>
  <c r="V51" i="4"/>
  <c r="V56" i="4"/>
  <c r="M57" i="4"/>
  <c r="O57" i="4"/>
  <c r="P57" i="4"/>
  <c r="V57" i="4"/>
  <c r="F58" i="4"/>
  <c r="H58" i="4"/>
  <c r="J58" i="4"/>
  <c r="K58" i="4"/>
  <c r="L58" i="4"/>
  <c r="M58" i="4"/>
  <c r="N58" i="4"/>
  <c r="O58" i="4"/>
  <c r="P58" i="4"/>
  <c r="Q58" i="4"/>
  <c r="R58" i="4"/>
  <c r="S58" i="4"/>
  <c r="T58" i="4"/>
  <c r="V58" i="4"/>
  <c r="V62" i="4"/>
  <c r="V63" i="4"/>
  <c r="V64" i="4"/>
  <c r="V65" i="4"/>
  <c r="V66" i="4"/>
  <c r="H67" i="4"/>
  <c r="K67" i="4"/>
  <c r="N67" i="4"/>
  <c r="O67" i="4"/>
  <c r="Q67" i="4"/>
  <c r="R67" i="4"/>
  <c r="S67" i="4"/>
  <c r="T67" i="4"/>
  <c r="V67" i="4"/>
  <c r="F69" i="4"/>
  <c r="H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F71" i="4"/>
  <c r="H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H8" i="5"/>
  <c r="W8" i="5"/>
  <c r="W12" i="5"/>
  <c r="W13" i="5"/>
  <c r="F14" i="5"/>
  <c r="H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W18" i="5"/>
  <c r="W19" i="5"/>
  <c r="W20" i="5"/>
  <c r="W21" i="5"/>
  <c r="W22" i="5"/>
  <c r="H23" i="5"/>
  <c r="K23" i="5"/>
  <c r="M23" i="5"/>
  <c r="N23" i="5"/>
  <c r="O23" i="5"/>
  <c r="P23" i="5"/>
  <c r="Q23" i="5"/>
  <c r="R23" i="5"/>
  <c r="S23" i="5"/>
  <c r="T23" i="5"/>
  <c r="U23" i="5"/>
  <c r="V23" i="5"/>
  <c r="W23" i="5"/>
  <c r="W26" i="5"/>
  <c r="P27" i="5"/>
  <c r="W27" i="5"/>
  <c r="W28" i="5"/>
  <c r="F29" i="5"/>
  <c r="H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S31" i="5"/>
  <c r="T31" i="5"/>
  <c r="W31" i="5"/>
  <c r="W32" i="5"/>
  <c r="W33" i="5"/>
  <c r="H34" i="5"/>
  <c r="K34" i="5"/>
  <c r="M34" i="5"/>
  <c r="N34" i="5"/>
  <c r="O34" i="5"/>
  <c r="P34" i="5"/>
  <c r="Q34" i="5"/>
  <c r="R34" i="5"/>
  <c r="S34" i="5"/>
  <c r="T34" i="5"/>
  <c r="U34" i="5"/>
  <c r="V34" i="5"/>
  <c r="W34" i="5"/>
  <c r="W37" i="5"/>
  <c r="F38" i="5"/>
  <c r="H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W41" i="5"/>
  <c r="H42" i="5"/>
  <c r="K42" i="5"/>
  <c r="R42" i="5"/>
  <c r="S42" i="5"/>
  <c r="T42" i="5"/>
  <c r="U42" i="5"/>
  <c r="V42" i="5"/>
  <c r="W42" i="5"/>
  <c r="W47" i="5"/>
  <c r="W48" i="5"/>
  <c r="F49" i="5"/>
  <c r="H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W53" i="5"/>
  <c r="W54" i="5"/>
  <c r="W55" i="5"/>
  <c r="W56" i="5"/>
  <c r="N57" i="5"/>
  <c r="W57" i="5"/>
  <c r="W58" i="5"/>
  <c r="W59" i="5"/>
  <c r="W60" i="5"/>
  <c r="H61" i="5"/>
  <c r="K61" i="5"/>
  <c r="N61" i="5"/>
  <c r="O61" i="5"/>
  <c r="P61" i="5"/>
  <c r="Q61" i="5"/>
  <c r="R61" i="5"/>
  <c r="S61" i="5"/>
  <c r="T61" i="5"/>
  <c r="U61" i="5"/>
  <c r="V61" i="5"/>
  <c r="W61" i="5"/>
  <c r="F63" i="5"/>
  <c r="H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F65" i="5"/>
  <c r="H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H8" i="6"/>
  <c r="W8" i="6"/>
  <c r="W12" i="6"/>
  <c r="W13" i="6"/>
  <c r="F14" i="6"/>
  <c r="H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W18" i="6"/>
  <c r="W19" i="6"/>
  <c r="W20" i="6"/>
  <c r="W21" i="6"/>
  <c r="W22" i="6"/>
  <c r="H23" i="6"/>
  <c r="K23" i="6"/>
  <c r="M23" i="6"/>
  <c r="N23" i="6"/>
  <c r="O23" i="6"/>
  <c r="P23" i="6"/>
  <c r="Q23" i="6"/>
  <c r="R23" i="6"/>
  <c r="S23" i="6"/>
  <c r="T23" i="6"/>
  <c r="U23" i="6"/>
  <c r="V23" i="6"/>
  <c r="W23" i="6"/>
  <c r="W26" i="6"/>
  <c r="P27" i="6"/>
  <c r="W27" i="6"/>
  <c r="W28" i="6"/>
  <c r="F29" i="6"/>
  <c r="H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S31" i="6"/>
  <c r="T31" i="6"/>
  <c r="W31" i="6"/>
  <c r="W32" i="6"/>
  <c r="W33" i="6"/>
  <c r="H34" i="6"/>
  <c r="K34" i="6"/>
  <c r="M34" i="6"/>
  <c r="N34" i="6"/>
  <c r="O34" i="6"/>
  <c r="P34" i="6"/>
  <c r="Q34" i="6"/>
  <c r="R34" i="6"/>
  <c r="S34" i="6"/>
  <c r="T34" i="6"/>
  <c r="U34" i="6"/>
  <c r="V34" i="6"/>
  <c r="W34" i="6"/>
  <c r="W37" i="6"/>
  <c r="F38" i="6"/>
  <c r="H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W41" i="6"/>
  <c r="H42" i="6"/>
  <c r="K42" i="6"/>
  <c r="R42" i="6"/>
  <c r="S42" i="6"/>
  <c r="T42" i="6"/>
  <c r="U42" i="6"/>
  <c r="V42" i="6"/>
  <c r="W42" i="6"/>
  <c r="W47" i="6"/>
  <c r="W48" i="6"/>
  <c r="F49" i="6"/>
  <c r="H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W53" i="6"/>
  <c r="W54" i="6"/>
  <c r="W55" i="6"/>
  <c r="W56" i="6"/>
  <c r="N57" i="6"/>
  <c r="W57" i="6"/>
  <c r="W58" i="6"/>
  <c r="W59" i="6"/>
  <c r="W60" i="6"/>
  <c r="H61" i="6"/>
  <c r="K61" i="6"/>
  <c r="N61" i="6"/>
  <c r="O61" i="6"/>
  <c r="P61" i="6"/>
  <c r="Q61" i="6"/>
  <c r="R61" i="6"/>
  <c r="S61" i="6"/>
  <c r="T61" i="6"/>
  <c r="U61" i="6"/>
  <c r="V61" i="6"/>
  <c r="W61" i="6"/>
  <c r="F63" i="6"/>
  <c r="H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F65" i="6"/>
  <c r="H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F8" i="2"/>
  <c r="T8" i="2"/>
  <c r="T12" i="2"/>
  <c r="T13" i="2"/>
  <c r="J14" i="2"/>
  <c r="P14" i="2"/>
  <c r="T14" i="2"/>
  <c r="F15" i="2"/>
  <c r="H15" i="2"/>
  <c r="J15" i="2"/>
  <c r="K15" i="2"/>
  <c r="L15" i="2"/>
  <c r="M15" i="2"/>
  <c r="N15" i="2"/>
  <c r="O15" i="2"/>
  <c r="P15" i="2"/>
  <c r="Q15" i="2"/>
  <c r="T15" i="2"/>
  <c r="T19" i="2"/>
  <c r="M20" i="2"/>
  <c r="T20" i="2"/>
  <c r="M21" i="2"/>
  <c r="N21" i="2"/>
  <c r="O21" i="2"/>
  <c r="P21" i="2"/>
  <c r="Q21" i="2"/>
  <c r="T21" i="2"/>
  <c r="T24" i="2"/>
  <c r="T25" i="2"/>
  <c r="T26" i="2"/>
  <c r="T27" i="2"/>
  <c r="T28" i="2"/>
  <c r="T29" i="2"/>
  <c r="T30" i="2"/>
  <c r="H31" i="2"/>
  <c r="K31" i="2"/>
  <c r="M31" i="2"/>
  <c r="N31" i="2"/>
  <c r="O31" i="2"/>
  <c r="P31" i="2"/>
  <c r="Q31" i="2"/>
  <c r="T31" i="2"/>
  <c r="T34" i="2"/>
  <c r="Q35" i="2"/>
  <c r="T35" i="2"/>
  <c r="N37" i="2"/>
  <c r="T37" i="2"/>
  <c r="M38" i="2"/>
  <c r="N38" i="2"/>
  <c r="O38" i="2"/>
  <c r="P38" i="2"/>
  <c r="Q38" i="2"/>
  <c r="T38" i="2"/>
  <c r="T40" i="2"/>
  <c r="H41" i="2"/>
  <c r="K41" i="2"/>
  <c r="R41" i="2"/>
  <c r="T41" i="2"/>
  <c r="T46" i="2"/>
  <c r="T47" i="2"/>
  <c r="H48" i="2"/>
  <c r="K48" i="2"/>
  <c r="Q48" i="2"/>
  <c r="T48" i="2"/>
  <c r="F50" i="2"/>
  <c r="H50" i="2"/>
  <c r="J50" i="2"/>
  <c r="K50" i="2"/>
  <c r="L50" i="2"/>
  <c r="M50" i="2"/>
  <c r="N50" i="2"/>
  <c r="O50" i="2"/>
  <c r="P50" i="2"/>
  <c r="Q50" i="2"/>
  <c r="R50" i="2"/>
  <c r="T50" i="2"/>
  <c r="F52" i="2"/>
  <c r="H52" i="2"/>
  <c r="J52" i="2"/>
  <c r="K52" i="2"/>
  <c r="L52" i="2"/>
  <c r="M52" i="2"/>
  <c r="N52" i="2"/>
  <c r="O52" i="2"/>
  <c r="P52" i="2"/>
  <c r="Q52" i="2"/>
  <c r="R52" i="2"/>
  <c r="T52" i="2"/>
</calcChain>
</file>

<file path=xl/comments1.xml><?xml version="1.0" encoding="utf-8"?>
<comments xmlns="http://schemas.openxmlformats.org/spreadsheetml/2006/main">
  <authors>
    <author>GREGORY ANDREW MAUSSER</author>
  </authors>
  <commentList>
    <comment ref="U60" authorId="0" shapeId="0">
      <text>
        <r>
          <rPr>
            <b/>
            <sz val="8"/>
            <color indexed="81"/>
            <rFont val="Tahoma"/>
          </rPr>
          <t>GREGORY ANDREW MAUSSER:</t>
        </r>
        <r>
          <rPr>
            <sz val="8"/>
            <color indexed="81"/>
            <rFont val="Tahoma"/>
          </rPr>
          <t xml:space="preserve">
entered 6/7/00, missing from original 3rd day schedule. 
</t>
        </r>
      </text>
    </comment>
  </commentList>
</comments>
</file>

<file path=xl/sharedStrings.xml><?xml version="1.0" encoding="utf-8"?>
<sst xmlns="http://schemas.openxmlformats.org/spreadsheetml/2006/main" count="311" uniqueCount="90">
  <si>
    <t>Enron North America</t>
  </si>
  <si>
    <t>WEST  Desk</t>
  </si>
  <si>
    <t>Summary of Flash to Actual Variance</t>
  </si>
  <si>
    <t>(Income)/ Expense to Desk</t>
  </si>
  <si>
    <t>PRE 1999</t>
  </si>
  <si>
    <t>1st QTR 99</t>
  </si>
  <si>
    <t>Total</t>
  </si>
  <si>
    <t xml:space="preserve">Total Flash to Actual Variance </t>
  </si>
  <si>
    <t>stated as of 12/31/99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</si>
  <si>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01/31/00</t>
    </r>
  </si>
  <si>
    <t>Current month</t>
  </si>
  <si>
    <t>Synthetic Storage - prior to SS procedures were in place</t>
  </si>
  <si>
    <t xml:space="preserve">Miscellaneous PMA's  </t>
  </si>
  <si>
    <t xml:space="preserve"> </t>
  </si>
  <si>
    <t xml:space="preserve">Outstanding Variances </t>
  </si>
  <si>
    <t>Economics</t>
  </si>
  <si>
    <t>American Public Phase 1 CPR adj</t>
  </si>
  <si>
    <t xml:space="preserve">SOCAL Amortization </t>
  </si>
  <si>
    <t>Settlements</t>
  </si>
  <si>
    <t>Citizens Sales Demand Reimbursement - needs to be booked</t>
  </si>
  <si>
    <t>Burlington Resources Purchase Phase 1 unresolved</t>
  </si>
  <si>
    <t>Fort James Sales PMA 12/99 GL</t>
  </si>
  <si>
    <t>Sinclair Oil Corp Sales Phase 1 unresolved</t>
  </si>
  <si>
    <t>Physical liquidation leg 5 - American Public Energy   EV7251 PMA ( Double booked )</t>
  </si>
  <si>
    <t>Enserco Energy &amp; Amoco Canada  Purchase PMA's in 10/99 GL for 03/99 Prod</t>
  </si>
  <si>
    <t>Amoco Sales PMA in 10/99 GL</t>
  </si>
  <si>
    <t>Volume Management</t>
  </si>
  <si>
    <t>Transport Demand/Commodity expense per Terry</t>
  </si>
  <si>
    <t>Gas Accounting/Economics</t>
  </si>
  <si>
    <t xml:space="preserve">Financial liquidations </t>
  </si>
  <si>
    <t>OA Group to Analyze</t>
  </si>
  <si>
    <t>Financial Liquidations to be reviewed</t>
  </si>
  <si>
    <t>Outstanding Variances, resolution expected 01/00 GL</t>
  </si>
  <si>
    <t>Gas Accounting</t>
  </si>
  <si>
    <t>Reclass from Storage Book to West - fin liq</t>
  </si>
  <si>
    <t>Transport Demand expense reverse in 01/00 GL</t>
  </si>
  <si>
    <t>Total Identified Flash to Actual Variances</t>
  </si>
  <si>
    <t>Unexplained Variance</t>
  </si>
  <si>
    <t>stated as of 1/31/00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</si>
  <si>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02/29/00</t>
    </r>
  </si>
  <si>
    <t>0001</t>
  </si>
  <si>
    <t>Fuel Expense</t>
  </si>
  <si>
    <t>Reclass from West to Denver- fin liq</t>
  </si>
  <si>
    <t>Reclass from West to Aruba - Fin liq</t>
  </si>
  <si>
    <t>Interdesk transactions</t>
  </si>
  <si>
    <t>BC Gas Utility Purchase PMA 0001 GL</t>
  </si>
  <si>
    <t>Enron Canada Purchase PMA 0001 GL</t>
  </si>
  <si>
    <t>Trailblazer Pipeline PMA 0001 GL</t>
  </si>
  <si>
    <t>stated as of 2/29/00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</si>
  <si>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03/31/00</t>
    </r>
  </si>
  <si>
    <t>Outstanding Variances, resolution expected 03/00 GL</t>
  </si>
  <si>
    <t>0002</t>
  </si>
  <si>
    <t>City of Pasadena - waiting on phase II info - invoice in draft status</t>
  </si>
  <si>
    <t>Enervest Purchase PMA</t>
  </si>
  <si>
    <t>HPLC sales invoices in draft status</t>
  </si>
  <si>
    <t>Unanalyzed</t>
  </si>
  <si>
    <t>Financial liquidations</t>
  </si>
  <si>
    <t>Pacific Gas and Electric PMA expected</t>
  </si>
  <si>
    <t>California Energy Hub Purchase 0002 GL</t>
  </si>
  <si>
    <t>Burbank Purchase PMA 0002 GL</t>
  </si>
  <si>
    <t>Enervest Purchase PMA 0002 GL</t>
  </si>
  <si>
    <t>Citizens Purchase PMA 0002 GL</t>
  </si>
  <si>
    <t>Transwestern Pipeline PMA 0002 GL</t>
  </si>
  <si>
    <t>Transfer between months - Jim Little</t>
  </si>
  <si>
    <t>Reclass from West to Central - Fin liq</t>
  </si>
  <si>
    <t>Synthetic storage deals that should turn around in future</t>
  </si>
  <si>
    <t>Synthetic storage deals that were trued up for first quarter</t>
  </si>
  <si>
    <t>stated as of 3/31/00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</si>
  <si>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04/30/00</t>
    </r>
  </si>
  <si>
    <t>Outstanding Variances, resolution expected 04/00 GL</t>
  </si>
  <si>
    <t>0003</t>
  </si>
  <si>
    <t>Fuel Expense related to El Paso</t>
  </si>
  <si>
    <t>UA4 Entry in 0003 GL - sales</t>
  </si>
  <si>
    <t>Imbalance 0003 GL</t>
  </si>
  <si>
    <t>Wyoming Interstate PMA 0003 GL</t>
  </si>
  <si>
    <t>tsf fin liq to central</t>
  </si>
  <si>
    <t>tsf fin liq to Texas</t>
  </si>
  <si>
    <t>tsf fin liq with Denver(reverse wrong entry)</t>
  </si>
  <si>
    <t>stated as of 4/30/00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</si>
  <si>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05/31/00</t>
    </r>
  </si>
  <si>
    <t>0004</t>
  </si>
  <si>
    <t>Income taken</t>
  </si>
  <si>
    <t>Fuel Expense related to El Paso "agency deals" not flashed</t>
  </si>
  <si>
    <t xml:space="preserve">Golden Gate Synthetic Storage Value to be reversed in 5/00GL </t>
  </si>
  <si>
    <t>Reclass PG&amp;E Transport Demand from November to October</t>
  </si>
  <si>
    <t>Outstanding Variances, resolution expected 05/00 GL</t>
  </si>
  <si>
    <t>Sinclair may be on Denver GL</t>
  </si>
  <si>
    <t>Volume Management providing $ to clear</t>
  </si>
  <si>
    <t>Transfer Financial liquidation to HPLC</t>
  </si>
  <si>
    <t>Transfer Financial Liquidation to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</si>
</sst>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10"/>
      <color indexed="48"/>
      <name val="Arial"/>
      <family val="2"/>
    </font>
    <font>
      <b/>
      <sz val="8"/>
      <name val="Arial"/>
    </font>
    <font>
      <b/>
      <sz val="9"/>
      <name val="Arial"/>
      <family val="2"/>
    </font>
    <font>
      <b/>
      <sz val="9"/>
      <color indexed="48"/>
      <name val="Arial"/>
      <family val="2"/>
    </font>
    <font>
      <sz val="8"/>
      <name val="Arial"/>
    </font>
    <font>
      <b/>
      <u/>
      <sz val="8"/>
      <name val="Arial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4" fontId="7" fillId="0" borderId="0" xfId="1" applyNumberFormat="1" applyFont="1" applyFill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165" fontId="10" fillId="0" borderId="0" xfId="2" applyNumberFormat="1" applyFont="1" applyFill="1" applyBorder="1"/>
    <xf numFmtId="164" fontId="10" fillId="0" borderId="0" xfId="1" applyNumberFormat="1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0" fontId="12" fillId="0" borderId="0" xfId="0" applyFont="1"/>
    <xf numFmtId="164" fontId="14" fillId="0" borderId="0" xfId="1" applyNumberFormat="1" applyFont="1"/>
    <xf numFmtId="164" fontId="14" fillId="0" borderId="0" xfId="1" applyNumberFormat="1" applyFont="1" applyBorder="1"/>
    <xf numFmtId="164" fontId="8" fillId="0" borderId="0" xfId="1" applyNumberFormat="1" applyFont="1" applyBorder="1"/>
    <xf numFmtId="164" fontId="14" fillId="0" borderId="1" xfId="1" applyNumberFormat="1" applyFont="1" applyBorder="1"/>
    <xf numFmtId="0" fontId="15" fillId="0" borderId="0" xfId="0" applyFont="1" applyBorder="1"/>
    <xf numFmtId="0" fontId="14" fillId="0" borderId="0" xfId="0" applyFont="1" applyBorder="1"/>
    <xf numFmtId="9" fontId="8" fillId="0" borderId="0" xfId="0" applyNumberFormat="1" applyFont="1"/>
    <xf numFmtId="0" fontId="16" fillId="0" borderId="0" xfId="0" applyFont="1" applyBorder="1"/>
    <xf numFmtId="0" fontId="17" fillId="0" borderId="0" xfId="0" applyFont="1" applyAlignment="1">
      <alignment horizontal="center"/>
    </xf>
    <xf numFmtId="0" fontId="14" fillId="0" borderId="1" xfId="0" applyFont="1" applyBorder="1"/>
    <xf numFmtId="0" fontId="14" fillId="0" borderId="0" xfId="0" applyFont="1"/>
    <xf numFmtId="165" fontId="6" fillId="0" borderId="2" xfId="2" applyNumberFormat="1" applyFont="1" applyBorder="1"/>
    <xf numFmtId="165" fontId="6" fillId="0" borderId="0" xfId="2" applyNumberFormat="1" applyFont="1"/>
    <xf numFmtId="165" fontId="6" fillId="0" borderId="0" xfId="2" applyNumberFormat="1" applyFont="1" applyBorder="1"/>
    <xf numFmtId="164" fontId="6" fillId="0" borderId="0" xfId="1" applyNumberFormat="1" applyFont="1"/>
    <xf numFmtId="164" fontId="8" fillId="0" borderId="0" xfId="1" applyNumberFormat="1" applyFont="1"/>
    <xf numFmtId="165" fontId="8" fillId="0" borderId="0" xfId="0" applyNumberFormat="1" applyFont="1"/>
    <xf numFmtId="0" fontId="9" fillId="0" borderId="1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18" fillId="0" borderId="0" xfId="0" applyFont="1" applyBorder="1"/>
    <xf numFmtId="0" fontId="19" fillId="0" borderId="0" xfId="0" applyFont="1"/>
    <xf numFmtId="164" fontId="8" fillId="0" borderId="0" xfId="0" applyNumberFormat="1" applyFont="1"/>
    <xf numFmtId="164" fontId="8" fillId="0" borderId="0" xfId="0" applyNumberFormat="1" applyFont="1" applyBorder="1"/>
    <xf numFmtId="164" fontId="14" fillId="2" borderId="0" xfId="1" applyNumberFormat="1" applyFont="1" applyFill="1" applyBorder="1"/>
    <xf numFmtId="0" fontId="19" fillId="0" borderId="0" xfId="0" applyFont="1" applyBorder="1"/>
    <xf numFmtId="44" fontId="8" fillId="0" borderId="0" xfId="2" applyFont="1"/>
    <xf numFmtId="164" fontId="14" fillId="0" borderId="1" xfId="1" applyNumberFormat="1" applyFont="1" applyFill="1" applyBorder="1"/>
    <xf numFmtId="164" fontId="14" fillId="0" borderId="0" xfId="1" applyNumberFormat="1" applyFont="1" applyFill="1"/>
    <xf numFmtId="164" fontId="14" fillId="0" borderId="0" xfId="1" applyNumberFormat="1" applyFont="1" applyFill="1" applyBorder="1"/>
    <xf numFmtId="164" fontId="8" fillId="0" borderId="1" xfId="1" applyNumberFormat="1" applyFont="1" applyBorder="1"/>
    <xf numFmtId="164" fontId="2" fillId="0" borderId="0" xfId="1" applyNumberFormat="1" applyFont="1" applyAlignment="1">
      <alignment horizontal="center"/>
    </xf>
    <xf numFmtId="0" fontId="0" fillId="0" borderId="0" xfId="0" applyAlignme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tabSelected="1" workbookViewId="0">
      <selection sqref="A1:IV65536"/>
    </sheetView>
  </sheetViews>
  <sheetFormatPr defaultColWidth="9.109375" defaultRowHeight="10.199999999999999" x14ac:dyDescent="0.2"/>
  <cols>
    <col min="1" max="1" width="2.6640625" style="10" customWidth="1"/>
    <col min="2" max="2" width="4.33203125" style="10" customWidth="1"/>
    <col min="3" max="3" width="50.5546875" style="11" customWidth="1"/>
    <col min="4" max="4" width="0.88671875" style="10" customWidth="1"/>
    <col min="5" max="5" width="4.33203125" style="11" customWidth="1"/>
    <col min="6" max="6" width="14" style="10" customWidth="1"/>
    <col min="7" max="7" width="3.44140625" style="11" customWidth="1"/>
    <col min="8" max="8" width="11.6640625" style="10" customWidth="1"/>
    <col min="9" max="9" width="4.88671875" style="10" customWidth="1"/>
    <col min="10" max="10" width="11.6640625" style="10" customWidth="1"/>
    <col min="11" max="11" width="13" style="10" customWidth="1"/>
    <col min="12" max="13" width="11.6640625" style="10" customWidth="1"/>
    <col min="14" max="14" width="13" style="38" customWidth="1"/>
    <col min="15" max="15" width="13" style="10" customWidth="1"/>
    <col min="16" max="16" width="13.5546875" style="38" customWidth="1"/>
    <col min="17" max="17" width="13.109375" style="11" customWidth="1"/>
    <col min="18" max="18" width="13.5546875" style="10" customWidth="1"/>
    <col min="19" max="20" width="11.5546875" style="10" customWidth="1"/>
    <col min="21" max="21" width="12.33203125" style="10" customWidth="1"/>
    <col min="22" max="22" width="11.5546875" style="10" customWidth="1"/>
    <col min="23" max="23" width="13.5546875" style="10" customWidth="1"/>
    <col min="24" max="16384" width="9.109375" style="10"/>
  </cols>
  <sheetData>
    <row r="1" spans="1:256" s="42" customFormat="1" ht="15.75" customHeight="1" x14ac:dyDescent="0.3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56" s="43" customFormat="1" ht="20.399999999999999" x14ac:dyDescent="0.35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</row>
    <row r="3" spans="1:256" s="44" customFormat="1" ht="15.6" x14ac:dyDescent="0.3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6" s="45" customFormat="1" ht="13.2" x14ac:dyDescent="0.25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6" s="45" customFormat="1" ht="13.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6"/>
      <c r="Y5" s="6"/>
      <c r="Z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30.75" customHeight="1" x14ac:dyDescent="0.25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</row>
    <row r="7" spans="1:256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40" t="s">
        <v>70</v>
      </c>
      <c r="V7" s="40" t="s">
        <v>80</v>
      </c>
      <c r="W7" s="12" t="s">
        <v>6</v>
      </c>
    </row>
    <row r="8" spans="1:256" s="14" customFormat="1" ht="21.75" customHeight="1" x14ac:dyDescent="0.25">
      <c r="A8" s="14" t="s">
        <v>7</v>
      </c>
      <c r="C8" s="15"/>
      <c r="F8" s="16">
        <v>-54815</v>
      </c>
      <c r="G8" s="16"/>
      <c r="H8" s="16">
        <f>-52407-41341+630027</f>
        <v>536279</v>
      </c>
      <c r="I8" s="16"/>
      <c r="J8" s="16">
        <v>8847</v>
      </c>
      <c r="K8" s="16">
        <v>-20838</v>
      </c>
      <c r="L8" s="16">
        <v>7559</v>
      </c>
      <c r="M8" s="16">
        <v>357428</v>
      </c>
      <c r="N8" s="17">
        <v>873321</v>
      </c>
      <c r="O8" s="16">
        <v>142049</v>
      </c>
      <c r="P8" s="17">
        <v>500422</v>
      </c>
      <c r="Q8" s="16">
        <v>443959</v>
      </c>
      <c r="R8" s="16">
        <v>1775818</v>
      </c>
      <c r="S8" s="16">
        <v>312244</v>
      </c>
      <c r="T8" s="16">
        <v>1275960</v>
      </c>
      <c r="U8" s="16">
        <v>-4522403</v>
      </c>
      <c r="V8" s="16">
        <v>3687469</v>
      </c>
      <c r="W8" s="16">
        <f>SUM(F8:V8)</f>
        <v>5323299</v>
      </c>
    </row>
    <row r="9" spans="1:256" s="18" customFormat="1" ht="12" customHeight="1" x14ac:dyDescent="0.2">
      <c r="B9" s="18" t="s">
        <v>78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  <c r="V9" s="20"/>
      <c r="W9" s="20"/>
    </row>
    <row r="10" spans="1:256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  <c r="V10" s="20"/>
      <c r="W10" s="20"/>
    </row>
    <row r="11" spans="1:256" ht="12" x14ac:dyDescent="0.25">
      <c r="B11" s="22" t="s">
        <v>79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56" ht="12" x14ac:dyDescent="0.25">
      <c r="B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0</v>
      </c>
      <c r="T12" s="23"/>
      <c r="U12" s="23"/>
      <c r="V12" s="23"/>
      <c r="W12" s="24">
        <f>SUM(F12:V12)</f>
        <v>0</v>
      </c>
    </row>
    <row r="13" spans="1:256" ht="12" x14ac:dyDescent="0.25">
      <c r="B13" s="22"/>
      <c r="C13" s="11" t="s">
        <v>10</v>
      </c>
      <c r="F13" s="26">
        <v>-54815</v>
      </c>
      <c r="G13" s="24"/>
      <c r="H13" s="26">
        <v>536279</v>
      </c>
      <c r="I13" s="24"/>
      <c r="J13" s="26">
        <v>8847</v>
      </c>
      <c r="K13" s="26">
        <v>-20838</v>
      </c>
      <c r="L13" s="26">
        <v>7559</v>
      </c>
      <c r="M13" s="26">
        <v>-18645</v>
      </c>
      <c r="N13" s="26">
        <v>9943</v>
      </c>
      <c r="O13" s="26">
        <v>-63869</v>
      </c>
      <c r="P13" s="26">
        <v>-98200</v>
      </c>
      <c r="Q13" s="26">
        <v>26174</v>
      </c>
      <c r="R13" s="26">
        <v>147456</v>
      </c>
      <c r="S13" s="26"/>
      <c r="T13" s="26"/>
      <c r="U13" s="26">
        <v>218690</v>
      </c>
      <c r="V13" s="26"/>
      <c r="W13" s="26">
        <f>SUM(F13:V13)</f>
        <v>698581</v>
      </c>
    </row>
    <row r="14" spans="1:256" x14ac:dyDescent="0.2">
      <c r="C14" s="11" t="s">
        <v>13</v>
      </c>
      <c r="F14" s="23">
        <f>SUM(F13:F13)</f>
        <v>-54815</v>
      </c>
      <c r="G14" s="23"/>
      <c r="H14" s="23">
        <f>SUM(H13:H13)</f>
        <v>536279</v>
      </c>
      <c r="I14" s="23"/>
      <c r="J14" s="23">
        <f>SUM(J13:J13)</f>
        <v>8847</v>
      </c>
      <c r="K14" s="23">
        <f>SUM(K13:K13)</f>
        <v>-20838</v>
      </c>
      <c r="L14" s="23">
        <f>SUM(L13:L13)</f>
        <v>7559</v>
      </c>
      <c r="M14" s="23">
        <f>SUM(M13:M13)</f>
        <v>-18645</v>
      </c>
      <c r="N14" s="23">
        <f>SUM(N13:N13)</f>
        <v>9943</v>
      </c>
      <c r="O14" s="23">
        <f>SUM(O11:O13)</f>
        <v>-63869</v>
      </c>
      <c r="P14" s="23">
        <f>SUM(P11:P13)</f>
        <v>-98200</v>
      </c>
      <c r="Q14" s="23">
        <f>SUM(Q13:Q13)</f>
        <v>26174</v>
      </c>
      <c r="R14" s="23">
        <f>SUM(R13:R13)</f>
        <v>147456</v>
      </c>
      <c r="S14" s="23">
        <f>SUM(S12:S13)</f>
        <v>0</v>
      </c>
      <c r="T14" s="23">
        <f>SUM(T12:T13)</f>
        <v>0</v>
      </c>
      <c r="U14" s="23">
        <f>SUM(U12:U13)</f>
        <v>218690</v>
      </c>
      <c r="V14" s="23">
        <f>SUM(V12:V13)</f>
        <v>0</v>
      </c>
      <c r="W14" s="23">
        <f>SUM(W11:W13)</f>
        <v>698581</v>
      </c>
    </row>
    <row r="15" spans="1:256" ht="12" x14ac:dyDescent="0.25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56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2:23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hidden="1" x14ac:dyDescent="0.2">
      <c r="B18" s="31"/>
      <c r="C18" s="30"/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>
        <f>SUM(F18:V18)</f>
        <v>0</v>
      </c>
    </row>
    <row r="19" spans="2:23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>
        <v>-15014</v>
      </c>
      <c r="U19" s="23"/>
      <c r="V19" s="23"/>
      <c r="W19" s="24">
        <f>SUM(F19:V19)</f>
        <v>-33904</v>
      </c>
    </row>
    <row r="20" spans="2:23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3"/>
      <c r="V20" s="23"/>
      <c r="W20" s="24">
        <f>SUM(F20:V20)</f>
        <v>-20213</v>
      </c>
    </row>
    <row r="21" spans="2:23" x14ac:dyDescent="0.2">
      <c r="B21" s="31"/>
      <c r="C21" s="11" t="s">
        <v>61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109826</v>
      </c>
      <c r="R21" s="23"/>
      <c r="S21" s="23"/>
      <c r="T21" s="23"/>
      <c r="U21" s="23"/>
      <c r="V21" s="23"/>
      <c r="W21" s="24">
        <f>SUM(F21:V21)</f>
        <v>109826</v>
      </c>
    </row>
    <row r="22" spans="2:23" x14ac:dyDescent="0.2">
      <c r="B22" s="31"/>
      <c r="C22" s="10" t="s">
        <v>25</v>
      </c>
      <c r="F22" s="26"/>
      <c r="G22" s="24"/>
      <c r="H22" s="26"/>
      <c r="I22" s="24"/>
      <c r="J22" s="32"/>
      <c r="K22" s="26"/>
      <c r="L22" s="26"/>
      <c r="M22" s="26"/>
      <c r="N22" s="26">
        <v>172286</v>
      </c>
      <c r="O22" s="26"/>
      <c r="P22" s="26"/>
      <c r="Q22" s="26"/>
      <c r="R22" s="26"/>
      <c r="S22" s="26"/>
      <c r="T22" s="26"/>
      <c r="U22" s="26"/>
      <c r="V22" s="26"/>
      <c r="W22" s="26">
        <f>SUM(F22:V22)</f>
        <v>172286</v>
      </c>
    </row>
    <row r="23" spans="2:23" x14ac:dyDescent="0.2">
      <c r="B23" s="31"/>
      <c r="C23" s="30"/>
      <c r="F23" s="23"/>
      <c r="G23" s="24"/>
      <c r="H23" s="23">
        <f>SUM(H19:H22)</f>
        <v>0</v>
      </c>
      <c r="I23" s="23"/>
      <c r="J23" s="23"/>
      <c r="K23" s="23">
        <f>SUM(K19:K22)</f>
        <v>0</v>
      </c>
      <c r="L23" s="23"/>
      <c r="M23" s="23">
        <f t="shared" ref="M23:W23" si="0">SUM(M19:M22)</f>
        <v>0</v>
      </c>
      <c r="N23" s="23">
        <f t="shared" si="0"/>
        <v>172286</v>
      </c>
      <c r="O23" s="23">
        <f t="shared" si="0"/>
        <v>0</v>
      </c>
      <c r="P23" s="23">
        <f t="shared" si="0"/>
        <v>0</v>
      </c>
      <c r="Q23" s="23">
        <f t="shared" si="0"/>
        <v>109826</v>
      </c>
      <c r="R23" s="23">
        <f t="shared" si="0"/>
        <v>0</v>
      </c>
      <c r="S23" s="23">
        <f t="shared" si="0"/>
        <v>-39103</v>
      </c>
      <c r="T23" s="23">
        <f t="shared" si="0"/>
        <v>-15014</v>
      </c>
      <c r="U23" s="23">
        <f>SUM(U18:U22)</f>
        <v>0</v>
      </c>
      <c r="V23" s="23">
        <f t="shared" si="0"/>
        <v>0</v>
      </c>
      <c r="W23" s="23">
        <f t="shared" si="0"/>
        <v>227995</v>
      </c>
    </row>
    <row r="24" spans="2:23" x14ac:dyDescent="0.2">
      <c r="B24" s="31"/>
      <c r="C24" s="30"/>
      <c r="F24" s="23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2:23" x14ac:dyDescent="0.2">
      <c r="B25" s="31"/>
      <c r="C25" s="30" t="s">
        <v>26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2:23" x14ac:dyDescent="0.2">
      <c r="B26" s="31"/>
      <c r="C26" s="11" t="s">
        <v>57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>
        <v>15932</v>
      </c>
      <c r="T26" s="23"/>
      <c r="U26" s="23"/>
      <c r="V26" s="23"/>
      <c r="W26" s="24">
        <f>SUM(F26:V26)</f>
        <v>15932</v>
      </c>
    </row>
    <row r="27" spans="2:23" x14ac:dyDescent="0.2">
      <c r="B27" s="31"/>
      <c r="C27" s="11" t="s">
        <v>47</v>
      </c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>
        <f>90105.5+9562.3+77796-77796</f>
        <v>99667.799999999988</v>
      </c>
      <c r="Q27" s="23"/>
      <c r="R27" s="23"/>
      <c r="S27" s="23"/>
      <c r="T27" s="23"/>
      <c r="U27" s="23"/>
      <c r="V27" s="23"/>
      <c r="W27" s="24">
        <f>SUM(F27:V27)</f>
        <v>99667.799999999988</v>
      </c>
    </row>
    <row r="28" spans="2:23" x14ac:dyDescent="0.2">
      <c r="B28" s="31"/>
      <c r="F28" s="26"/>
      <c r="G28" s="24"/>
      <c r="H28" s="26">
        <v>0</v>
      </c>
      <c r="I28" s="23"/>
      <c r="J28" s="26">
        <v>0</v>
      </c>
      <c r="K28" s="26">
        <v>0</v>
      </c>
      <c r="L28" s="26">
        <v>0</v>
      </c>
      <c r="M28" s="26">
        <v>0</v>
      </c>
      <c r="N28" s="26"/>
      <c r="O28" s="26">
        <v>0</v>
      </c>
      <c r="P28" s="26"/>
      <c r="Q28" s="26">
        <v>0</v>
      </c>
      <c r="R28" s="26"/>
      <c r="S28" s="26"/>
      <c r="T28" s="26"/>
      <c r="U28" s="26"/>
      <c r="V28" s="26"/>
      <c r="W28" s="26">
        <f>SUM(F28:V28)</f>
        <v>0</v>
      </c>
    </row>
    <row r="29" spans="2:23" x14ac:dyDescent="0.2">
      <c r="B29" s="31"/>
      <c r="C29" s="30"/>
      <c r="F29" s="23">
        <f>SUM(F26:F28)</f>
        <v>0</v>
      </c>
      <c r="G29" s="24"/>
      <c r="H29" s="23">
        <f>SUM(H26:H28)</f>
        <v>0</v>
      </c>
      <c r="I29" s="23"/>
      <c r="J29" s="23">
        <f t="shared" ref="J29:P29" si="1">SUM(J26:J28)</f>
        <v>0</v>
      </c>
      <c r="K29" s="23">
        <f t="shared" si="1"/>
        <v>0</v>
      </c>
      <c r="L29" s="23">
        <f t="shared" si="1"/>
        <v>0</v>
      </c>
      <c r="M29" s="23">
        <f t="shared" si="1"/>
        <v>0</v>
      </c>
      <c r="N29" s="23">
        <f t="shared" si="1"/>
        <v>0</v>
      </c>
      <c r="O29" s="23">
        <f t="shared" si="1"/>
        <v>0</v>
      </c>
      <c r="P29" s="23">
        <f t="shared" si="1"/>
        <v>99667.799999999988</v>
      </c>
      <c r="Q29" s="23">
        <f>SUM(Q28:Q28)</f>
        <v>0</v>
      </c>
      <c r="R29" s="23">
        <f t="shared" ref="R29:W29" si="2">SUM(R26:R28)</f>
        <v>0</v>
      </c>
      <c r="S29" s="23">
        <f t="shared" si="2"/>
        <v>15932</v>
      </c>
      <c r="T29" s="23">
        <f t="shared" si="2"/>
        <v>0</v>
      </c>
      <c r="U29" s="23">
        <f t="shared" si="2"/>
        <v>0</v>
      </c>
      <c r="V29" s="23">
        <f t="shared" si="2"/>
        <v>0</v>
      </c>
      <c r="W29" s="23">
        <f t="shared" si="2"/>
        <v>115599.79999999999</v>
      </c>
    </row>
    <row r="30" spans="2:23" x14ac:dyDescent="0.2">
      <c r="B30" s="31"/>
      <c r="C30" s="30" t="s">
        <v>15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2:23" x14ac:dyDescent="0.2">
      <c r="B31" s="31"/>
      <c r="C31" s="11" t="s">
        <v>65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>
        <v>1428734</v>
      </c>
      <c r="S31" s="23">
        <f>-555624+57040+282570+131440+201500</f>
        <v>116926</v>
      </c>
      <c r="T31" s="23">
        <f>2406575-2231985-48921+764073</f>
        <v>889742</v>
      </c>
      <c r="U31" s="23">
        <v>-4554695</v>
      </c>
      <c r="V31" s="23"/>
      <c r="W31" s="24">
        <f>SUM(F31:V31)</f>
        <v>-2119293</v>
      </c>
    </row>
    <row r="32" spans="2:23" x14ac:dyDescent="0.2">
      <c r="B32" s="31"/>
      <c r="C32" s="11" t="s">
        <v>82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 t="s">
        <v>13</v>
      </c>
      <c r="Q32" s="23"/>
      <c r="R32" s="23">
        <v>199628</v>
      </c>
      <c r="S32" s="23">
        <v>181104</v>
      </c>
      <c r="T32" s="23">
        <v>162842</v>
      </c>
      <c r="U32" s="23"/>
      <c r="V32" s="23"/>
      <c r="W32" s="24">
        <f>SUM(F32:V32)</f>
        <v>543574</v>
      </c>
    </row>
    <row r="33" spans="2:23" x14ac:dyDescent="0.2">
      <c r="B33" s="31"/>
      <c r="C33" s="11" t="s">
        <v>56</v>
      </c>
      <c r="F33" s="26"/>
      <c r="G33" s="24"/>
      <c r="H33" s="26">
        <v>0</v>
      </c>
      <c r="I33" s="24"/>
      <c r="J33" s="26"/>
      <c r="K33" s="26"/>
      <c r="L33" s="26"/>
      <c r="M33" s="26">
        <v>376073</v>
      </c>
      <c r="N33" s="56"/>
      <c r="O33" s="53">
        <v>0</v>
      </c>
      <c r="P33" s="53"/>
      <c r="Q33" s="53">
        <v>-178539</v>
      </c>
      <c r="R33" s="26">
        <v>0</v>
      </c>
      <c r="S33" s="26">
        <v>0</v>
      </c>
      <c r="T33" s="26"/>
      <c r="U33" s="26"/>
      <c r="V33" s="26"/>
      <c r="W33" s="26">
        <f>SUM(F33:V33)</f>
        <v>197534</v>
      </c>
    </row>
    <row r="34" spans="2:23" x14ac:dyDescent="0.2">
      <c r="B34" s="31"/>
      <c r="C34" s="28"/>
      <c r="F34" s="23"/>
      <c r="G34" s="24"/>
      <c r="H34" s="23">
        <f>SUM(H31:H33)</f>
        <v>0</v>
      </c>
      <c r="I34" s="23"/>
      <c r="J34" s="23"/>
      <c r="K34" s="23">
        <f>SUM(K33:K33)</f>
        <v>0</v>
      </c>
      <c r="L34" s="23"/>
      <c r="M34" s="23">
        <f>SUM(M33:M33)</f>
        <v>376073</v>
      </c>
      <c r="N34" s="23">
        <f>SUM(N31:N33)</f>
        <v>0</v>
      </c>
      <c r="O34" s="54">
        <f>SUM(O32:O33)</f>
        <v>0</v>
      </c>
      <c r="P34" s="54">
        <f>SUM(P32:P33)</f>
        <v>0</v>
      </c>
      <c r="Q34" s="54">
        <f t="shared" ref="Q34:W34" si="3">SUM(Q31:Q33)</f>
        <v>-178539</v>
      </c>
      <c r="R34" s="23">
        <f t="shared" si="3"/>
        <v>1628362</v>
      </c>
      <c r="S34" s="23">
        <f t="shared" si="3"/>
        <v>298030</v>
      </c>
      <c r="T34" s="23">
        <f t="shared" si="3"/>
        <v>1052584</v>
      </c>
      <c r="U34" s="23">
        <f t="shared" si="3"/>
        <v>-4554695</v>
      </c>
      <c r="V34" s="23">
        <f t="shared" si="3"/>
        <v>0</v>
      </c>
      <c r="W34" s="23">
        <f t="shared" si="3"/>
        <v>-1378185</v>
      </c>
    </row>
    <row r="35" spans="2:23" x14ac:dyDescent="0.2">
      <c r="B35" s="31"/>
      <c r="F35" s="24"/>
      <c r="G35" s="24"/>
      <c r="H35" s="24"/>
      <c r="I35" s="24"/>
      <c r="J35" s="24"/>
      <c r="K35" s="24"/>
      <c r="L35" s="24"/>
      <c r="M35" s="24"/>
      <c r="N35" s="24"/>
      <c r="O35" s="55"/>
      <c r="P35" s="55"/>
      <c r="Q35" s="55"/>
      <c r="R35" s="24"/>
      <c r="S35" s="24"/>
      <c r="T35" s="24"/>
      <c r="U35" s="24"/>
      <c r="V35" s="24"/>
      <c r="W35" s="24"/>
    </row>
    <row r="36" spans="2:23" x14ac:dyDescent="0.2">
      <c r="B36" s="31"/>
      <c r="C36" s="30" t="s">
        <v>33</v>
      </c>
      <c r="F36" s="24"/>
      <c r="G36" s="24"/>
      <c r="H36" s="24"/>
      <c r="I36" s="24"/>
      <c r="J36" s="24"/>
      <c r="K36" s="24"/>
      <c r="L36" s="24"/>
      <c r="M36" s="24"/>
      <c r="N36" s="24"/>
      <c r="O36" s="55"/>
      <c r="P36" s="55"/>
      <c r="Q36" s="55"/>
      <c r="R36" s="24"/>
      <c r="S36" s="24"/>
      <c r="T36" s="24"/>
      <c r="U36" s="24"/>
      <c r="V36" s="24"/>
      <c r="W36" s="24"/>
    </row>
    <row r="37" spans="2:23" x14ac:dyDescent="0.2">
      <c r="B37" s="31"/>
      <c r="C37" s="11" t="s">
        <v>86</v>
      </c>
      <c r="F37" s="26"/>
      <c r="G37" s="24"/>
      <c r="H37" s="26"/>
      <c r="I37" s="24"/>
      <c r="J37" s="26"/>
      <c r="K37" s="26"/>
      <c r="L37" s="26"/>
      <c r="M37" s="26"/>
      <c r="N37" s="26"/>
      <c r="O37" s="53"/>
      <c r="P37" s="53"/>
      <c r="Q37" s="53"/>
      <c r="R37" s="26"/>
      <c r="S37" s="26"/>
      <c r="T37" s="26">
        <v>61951</v>
      </c>
      <c r="U37" s="26"/>
      <c r="V37" s="26"/>
      <c r="W37" s="26">
        <f>SUM(F37:V37)</f>
        <v>61951</v>
      </c>
    </row>
    <row r="38" spans="2:23" x14ac:dyDescent="0.2">
      <c r="F38" s="48">
        <f t="shared" ref="F38:S38" si="4">SUM(F37)</f>
        <v>0</v>
      </c>
      <c r="H38" s="48">
        <f t="shared" si="4"/>
        <v>0</v>
      </c>
      <c r="J38" s="48">
        <f t="shared" si="4"/>
        <v>0</v>
      </c>
      <c r="K38" s="48">
        <f t="shared" si="4"/>
        <v>0</v>
      </c>
      <c r="L38" s="48">
        <f t="shared" si="4"/>
        <v>0</v>
      </c>
      <c r="M38" s="48">
        <f t="shared" si="4"/>
        <v>0</v>
      </c>
      <c r="N38" s="48">
        <f t="shared" si="4"/>
        <v>0</v>
      </c>
      <c r="O38" s="48">
        <f t="shared" si="4"/>
        <v>0</v>
      </c>
      <c r="P38" s="48">
        <f t="shared" si="4"/>
        <v>0</v>
      </c>
      <c r="Q38" s="48">
        <f t="shared" si="4"/>
        <v>0</v>
      </c>
      <c r="R38" s="48">
        <f t="shared" si="4"/>
        <v>0</v>
      </c>
      <c r="S38" s="48">
        <f t="shared" si="4"/>
        <v>0</v>
      </c>
      <c r="T38" s="48">
        <f>SUM(T37)</f>
        <v>61951</v>
      </c>
      <c r="U38" s="48">
        <f>SUM(U37)</f>
        <v>0</v>
      </c>
      <c r="V38" s="48">
        <f>SUM(V37)</f>
        <v>0</v>
      </c>
      <c r="W38" s="23">
        <f>SUM(W37)</f>
        <v>61951</v>
      </c>
    </row>
    <row r="40" spans="2:23" x14ac:dyDescent="0.2">
      <c r="B40" s="31"/>
      <c r="C40" s="27" t="s">
        <v>30</v>
      </c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2:23" customFormat="1" ht="13.2" x14ac:dyDescent="0.25">
      <c r="C41" s="24" t="s">
        <v>55</v>
      </c>
      <c r="D41" s="10"/>
      <c r="E41" s="11"/>
      <c r="F41" s="26"/>
      <c r="G41" s="23"/>
      <c r="H41" s="26">
        <v>0</v>
      </c>
      <c r="I41" s="24"/>
      <c r="J41" s="26"/>
      <c r="K41" s="26">
        <v>0</v>
      </c>
      <c r="L41" s="26"/>
      <c r="M41" s="26"/>
      <c r="N41" s="26"/>
      <c r="O41" s="26"/>
      <c r="P41" s="26"/>
      <c r="Q41" s="26"/>
      <c r="R41" s="26">
        <v>0</v>
      </c>
      <c r="S41" s="26">
        <v>0</v>
      </c>
      <c r="T41" s="26">
        <v>0</v>
      </c>
      <c r="U41" s="26"/>
      <c r="V41" s="26">
        <v>3687469</v>
      </c>
      <c r="W41" s="26">
        <f>SUM(F41:V41)</f>
        <v>3687469</v>
      </c>
    </row>
    <row r="42" spans="2:23" x14ac:dyDescent="0.2">
      <c r="C42" s="11" t="s">
        <v>13</v>
      </c>
      <c r="F42" s="23"/>
      <c r="G42" s="23"/>
      <c r="H42" s="23">
        <f>+H41</f>
        <v>0</v>
      </c>
      <c r="I42" s="23"/>
      <c r="J42" s="23"/>
      <c r="K42" s="23">
        <f>+K41</f>
        <v>0</v>
      </c>
      <c r="L42" s="23"/>
      <c r="M42" s="23"/>
      <c r="N42" s="23"/>
      <c r="O42" s="23"/>
      <c r="P42" s="23"/>
      <c r="Q42" s="23"/>
      <c r="R42" s="23">
        <f>+R41</f>
        <v>0</v>
      </c>
      <c r="S42" s="23">
        <f>+S41</f>
        <v>0</v>
      </c>
      <c r="T42" s="23">
        <f>+T41</f>
        <v>0</v>
      </c>
      <c r="U42" s="23">
        <f>+U41</f>
        <v>0</v>
      </c>
      <c r="V42" s="23">
        <f>+U41</f>
        <v>0</v>
      </c>
      <c r="W42" s="23">
        <f>SUM(W41)</f>
        <v>3687469</v>
      </c>
    </row>
    <row r="43" spans="2:23" x14ac:dyDescent="0.2">
      <c r="C43" s="30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2:23" ht="12" x14ac:dyDescent="0.25">
      <c r="B44" s="22" t="s">
        <v>85</v>
      </c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2:23" ht="12" x14ac:dyDescent="0.25">
      <c r="C45" s="22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2:23" ht="12" x14ac:dyDescent="0.25">
      <c r="C46" s="46" t="s">
        <v>18</v>
      </c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spans="2:23" ht="11.4" x14ac:dyDescent="0.2">
      <c r="C47" s="47" t="s">
        <v>53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 t="s">
        <v>13</v>
      </c>
      <c r="S47" s="23">
        <v>638402</v>
      </c>
      <c r="T47" s="23"/>
      <c r="U47" s="23"/>
      <c r="V47" s="23"/>
      <c r="W47" s="24">
        <f>SUM(F47:V47)</f>
        <v>638402</v>
      </c>
    </row>
    <row r="48" spans="2:23" ht="11.4" x14ac:dyDescent="0.2">
      <c r="B48" s="31"/>
      <c r="C48" s="51" t="s">
        <v>19</v>
      </c>
      <c r="F48" s="26"/>
      <c r="G48" s="24"/>
      <c r="H48" s="26"/>
      <c r="I48" s="23"/>
      <c r="J48" s="26"/>
      <c r="K48" s="26"/>
      <c r="L48" s="26"/>
      <c r="M48" s="26"/>
      <c r="N48" s="26">
        <v>0</v>
      </c>
      <c r="O48" s="26"/>
      <c r="P48" s="26"/>
      <c r="Q48" s="26">
        <v>0</v>
      </c>
      <c r="R48" s="26">
        <v>0</v>
      </c>
      <c r="S48" s="26"/>
      <c r="T48" s="26"/>
      <c r="U48" s="26"/>
      <c r="V48" s="26"/>
      <c r="W48" s="26">
        <f>SUM(F48:V48)</f>
        <v>0</v>
      </c>
    </row>
    <row r="49" spans="1:23" ht="12" x14ac:dyDescent="0.25">
      <c r="C49" s="22"/>
      <c r="F49" s="23">
        <f>SUM(F47:F48)</f>
        <v>0</v>
      </c>
      <c r="G49" s="24"/>
      <c r="H49" s="23">
        <f>SUM(H47:H48)</f>
        <v>0</v>
      </c>
      <c r="I49" s="24"/>
      <c r="J49" s="23">
        <f t="shared" ref="J49:T49" si="5">SUM(J47:J48)</f>
        <v>0</v>
      </c>
      <c r="K49" s="23">
        <f t="shared" si="5"/>
        <v>0</v>
      </c>
      <c r="L49" s="23">
        <f t="shared" si="5"/>
        <v>0</v>
      </c>
      <c r="M49" s="23">
        <f t="shared" si="5"/>
        <v>0</v>
      </c>
      <c r="N49" s="23">
        <f t="shared" si="5"/>
        <v>0</v>
      </c>
      <c r="O49" s="23">
        <f t="shared" si="5"/>
        <v>0</v>
      </c>
      <c r="P49" s="23">
        <f t="shared" si="5"/>
        <v>0</v>
      </c>
      <c r="Q49" s="23">
        <f t="shared" si="5"/>
        <v>0</v>
      </c>
      <c r="R49" s="23">
        <f t="shared" si="5"/>
        <v>0</v>
      </c>
      <c r="S49" s="23">
        <f t="shared" si="5"/>
        <v>638402</v>
      </c>
      <c r="T49" s="23">
        <f t="shared" si="5"/>
        <v>0</v>
      </c>
      <c r="U49" s="23">
        <f>SUM(U47:U48)</f>
        <v>0</v>
      </c>
      <c r="V49" s="23">
        <f>SUM(V47:V48)</f>
        <v>0</v>
      </c>
      <c r="W49" s="23">
        <f>SUM(W47:W48)</f>
        <v>638402</v>
      </c>
    </row>
    <row r="50" spans="1:23" ht="12" x14ac:dyDescent="0.25">
      <c r="C50" s="22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23" ht="12" hidden="1" x14ac:dyDescent="0.25">
      <c r="C51" s="22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x14ac:dyDescent="0.2">
      <c r="B52" s="31"/>
      <c r="C52" s="30" t="s">
        <v>33</v>
      </c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3" hidden="1" x14ac:dyDescent="0.2">
      <c r="B53" s="31"/>
      <c r="C53" s="28" t="s">
        <v>72</v>
      </c>
      <c r="F53" s="23"/>
      <c r="G53" s="24"/>
      <c r="H53" s="23">
        <v>0</v>
      </c>
      <c r="I53" s="23"/>
      <c r="J53" s="23"/>
      <c r="K53" s="23">
        <v>0</v>
      </c>
      <c r="L53" s="23"/>
      <c r="M53" s="23"/>
      <c r="N53" s="23"/>
      <c r="O53" s="23"/>
      <c r="P53" s="23"/>
      <c r="Q53" s="23"/>
      <c r="R53" s="23"/>
      <c r="S53" s="23">
        <v>0</v>
      </c>
      <c r="T53" s="23"/>
      <c r="U53" s="23"/>
      <c r="V53" s="23"/>
      <c r="W53" s="24">
        <f t="shared" ref="W53:W60" si="6">SUM(F53:V53)</f>
        <v>0</v>
      </c>
    </row>
    <row r="54" spans="1:23" hidden="1" x14ac:dyDescent="0.2">
      <c r="B54" s="31"/>
      <c r="C54" s="28" t="s">
        <v>76</v>
      </c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4">
        <f t="shared" si="6"/>
        <v>0</v>
      </c>
    </row>
    <row r="55" spans="1:23" x14ac:dyDescent="0.2">
      <c r="B55" s="31"/>
      <c r="C55" s="11" t="s">
        <v>83</v>
      </c>
      <c r="F55" s="23"/>
      <c r="G55" s="24"/>
      <c r="H55" s="23"/>
      <c r="I55" s="23"/>
      <c r="J55" s="23"/>
      <c r="K55" s="23"/>
      <c r="L55" s="23"/>
      <c r="M55" s="23"/>
      <c r="N55" s="23"/>
      <c r="O55" s="54">
        <v>-700000</v>
      </c>
      <c r="P55" s="54">
        <v>817000</v>
      </c>
      <c r="Q55" s="54"/>
      <c r="R55" s="23"/>
      <c r="S55" s="23"/>
      <c r="T55" s="23"/>
      <c r="U55" s="23"/>
      <c r="V55" s="23"/>
      <c r="W55" s="24">
        <f t="shared" si="6"/>
        <v>117000</v>
      </c>
    </row>
    <row r="56" spans="1:23" x14ac:dyDescent="0.2">
      <c r="B56" s="31"/>
      <c r="C56" s="11" t="s">
        <v>84</v>
      </c>
      <c r="F56" s="24"/>
      <c r="G56" s="24"/>
      <c r="H56" s="24"/>
      <c r="I56" s="24"/>
      <c r="J56" s="24"/>
      <c r="K56" s="24"/>
      <c r="L56" s="24"/>
      <c r="M56" s="24"/>
      <c r="N56" s="24"/>
      <c r="O56" s="55"/>
      <c r="P56" s="55">
        <v>-486498</v>
      </c>
      <c r="Q56" s="55">
        <v>486498</v>
      </c>
      <c r="R56" s="24"/>
      <c r="S56" s="24">
        <v>0</v>
      </c>
      <c r="T56" s="24"/>
      <c r="U56" s="24"/>
      <c r="V56" s="24"/>
      <c r="W56" s="24">
        <f t="shared" si="6"/>
        <v>0</v>
      </c>
    </row>
    <row r="57" spans="1:23" x14ac:dyDescent="0.2">
      <c r="B57" s="31"/>
      <c r="C57" s="11" t="s">
        <v>87</v>
      </c>
      <c r="F57" s="24"/>
      <c r="G57" s="24"/>
      <c r="H57" s="24"/>
      <c r="I57" s="24"/>
      <c r="J57" s="24"/>
      <c r="K57" s="24"/>
      <c r="L57" s="24"/>
      <c r="M57" s="24"/>
      <c r="N57" s="24">
        <f>865970-174878</f>
        <v>691092</v>
      </c>
      <c r="O57" s="55"/>
      <c r="P57" s="55"/>
      <c r="Q57" s="55"/>
      <c r="R57" s="24"/>
      <c r="S57" s="24"/>
      <c r="T57" s="24"/>
      <c r="U57" s="24"/>
      <c r="V57" s="24"/>
      <c r="W57" s="24">
        <f t="shared" si="6"/>
        <v>691092</v>
      </c>
    </row>
    <row r="58" spans="1:23" x14ac:dyDescent="0.2">
      <c r="B58" s="31"/>
      <c r="C58" s="28" t="s">
        <v>77</v>
      </c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>
        <v>-183528</v>
      </c>
      <c r="T58" s="23"/>
      <c r="U58" s="23"/>
      <c r="V58" s="23"/>
      <c r="W58" s="24">
        <f t="shared" si="6"/>
        <v>-183528</v>
      </c>
    </row>
    <row r="59" spans="1:23" x14ac:dyDescent="0.2">
      <c r="B59" s="31"/>
      <c r="C59" s="28" t="s">
        <v>75</v>
      </c>
      <c r="F59" s="23"/>
      <c r="G59" s="24"/>
      <c r="H59" s="23"/>
      <c r="I59" s="23"/>
      <c r="J59" s="23"/>
      <c r="K59" s="23"/>
      <c r="L59" s="23"/>
      <c r="M59" s="23"/>
      <c r="N59" s="23"/>
      <c r="O59" s="23">
        <v>101000</v>
      </c>
      <c r="P59" s="23"/>
      <c r="Q59" s="23"/>
      <c r="R59" s="23"/>
      <c r="S59" s="23"/>
      <c r="T59" s="23">
        <v>0</v>
      </c>
      <c r="U59" s="23"/>
      <c r="V59" s="23"/>
      <c r="W59" s="24">
        <f t="shared" si="6"/>
        <v>101000</v>
      </c>
    </row>
    <row r="60" spans="1:23" x14ac:dyDescent="0.2">
      <c r="B60" s="31"/>
      <c r="C60" s="28" t="s">
        <v>88</v>
      </c>
      <c r="F60" s="26"/>
      <c r="G60" s="24"/>
      <c r="H60" s="26"/>
      <c r="I60" s="23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>
        <v>-78000</v>
      </c>
      <c r="V60" s="26"/>
      <c r="W60" s="26">
        <f t="shared" si="6"/>
        <v>-78000</v>
      </c>
    </row>
    <row r="61" spans="1:23" x14ac:dyDescent="0.2">
      <c r="C61" s="11" t="s">
        <v>13</v>
      </c>
      <c r="F61" s="23"/>
      <c r="G61" s="23"/>
      <c r="H61" s="23">
        <f>SUM(H53:H60)</f>
        <v>0</v>
      </c>
      <c r="I61" s="23"/>
      <c r="J61" s="23"/>
      <c r="K61" s="23">
        <f>SUM(K53:K60)</f>
        <v>0</v>
      </c>
      <c r="L61" s="23"/>
      <c r="M61" s="23"/>
      <c r="N61" s="23">
        <f t="shared" ref="N61:W61" si="7">SUM(N53:N60)</f>
        <v>691092</v>
      </c>
      <c r="O61" s="23">
        <f t="shared" si="7"/>
        <v>-599000</v>
      </c>
      <c r="P61" s="23">
        <f t="shared" si="7"/>
        <v>330502</v>
      </c>
      <c r="Q61" s="23">
        <f t="shared" si="7"/>
        <v>486498</v>
      </c>
      <c r="R61" s="23">
        <f t="shared" si="7"/>
        <v>0</v>
      </c>
      <c r="S61" s="23">
        <f t="shared" si="7"/>
        <v>-183528</v>
      </c>
      <c r="T61" s="23">
        <f t="shared" si="7"/>
        <v>0</v>
      </c>
      <c r="U61" s="23">
        <f t="shared" si="7"/>
        <v>-78000</v>
      </c>
      <c r="V61" s="23">
        <f t="shared" si="7"/>
        <v>0</v>
      </c>
      <c r="W61" s="23">
        <f t="shared" si="7"/>
        <v>647564</v>
      </c>
    </row>
    <row r="62" spans="1:23" x14ac:dyDescent="0.2"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9.5" customHeight="1" thickBot="1" x14ac:dyDescent="0.25">
      <c r="A63" s="18" t="s">
        <v>36</v>
      </c>
      <c r="F63" s="34">
        <f>+F61+F42+F34+F29+F23+F14+F49+F38</f>
        <v>-54815</v>
      </c>
      <c r="G63" s="35"/>
      <c r="H63" s="34">
        <f>+H61+H42+H34+H29+H23+H14+H49+H38</f>
        <v>536279</v>
      </c>
      <c r="I63" s="25"/>
      <c r="J63" s="34">
        <f t="shared" ref="J63:T63" si="8">+J61+J42+J34+J29+J23+J14+J49+J38</f>
        <v>8847</v>
      </c>
      <c r="K63" s="34">
        <f t="shared" si="8"/>
        <v>-20838</v>
      </c>
      <c r="L63" s="34">
        <f t="shared" si="8"/>
        <v>7559</v>
      </c>
      <c r="M63" s="34">
        <f t="shared" si="8"/>
        <v>357428</v>
      </c>
      <c r="N63" s="34">
        <f t="shared" si="8"/>
        <v>873321</v>
      </c>
      <c r="O63" s="34">
        <f t="shared" si="8"/>
        <v>-662869</v>
      </c>
      <c r="P63" s="34">
        <f t="shared" si="8"/>
        <v>331969.8</v>
      </c>
      <c r="Q63" s="34">
        <f t="shared" si="8"/>
        <v>443959</v>
      </c>
      <c r="R63" s="34">
        <f t="shared" si="8"/>
        <v>1775818</v>
      </c>
      <c r="S63" s="34">
        <f t="shared" si="8"/>
        <v>729733</v>
      </c>
      <c r="T63" s="34">
        <f t="shared" si="8"/>
        <v>1099521</v>
      </c>
      <c r="U63" s="34">
        <f>+U61+V42+U34+U29+U23+U14+U49+U38</f>
        <v>-4414005</v>
      </c>
      <c r="V63" s="34">
        <f>+V61+W42+V34+V29+V23+V14+V49+V38</f>
        <v>3687469</v>
      </c>
      <c r="W63" s="34">
        <f>+W61+W42+W34+W29+W23+W14+W49+W38</f>
        <v>4699376.8</v>
      </c>
    </row>
    <row r="64" spans="1:23" ht="10.8" thickTop="1" x14ac:dyDescent="0.2">
      <c r="F64" s="35"/>
      <c r="G64" s="36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">
      <c r="A65" s="18" t="s">
        <v>37</v>
      </c>
      <c r="F65" s="35">
        <f>F8-F63</f>
        <v>0</v>
      </c>
      <c r="G65" s="35"/>
      <c r="H65" s="35">
        <f>H8-H63</f>
        <v>0</v>
      </c>
      <c r="I65" s="35"/>
      <c r="J65" s="35">
        <f t="shared" ref="J65:W65" si="9">J8-J63</f>
        <v>0</v>
      </c>
      <c r="K65" s="35">
        <f t="shared" si="9"/>
        <v>0</v>
      </c>
      <c r="L65" s="35">
        <f t="shared" si="9"/>
        <v>0</v>
      </c>
      <c r="M65" s="35">
        <f t="shared" si="9"/>
        <v>0</v>
      </c>
      <c r="N65" s="35">
        <f t="shared" si="9"/>
        <v>0</v>
      </c>
      <c r="O65" s="35">
        <f t="shared" si="9"/>
        <v>804918</v>
      </c>
      <c r="P65" s="35">
        <f t="shared" si="9"/>
        <v>168452.2</v>
      </c>
      <c r="Q65" s="35">
        <f t="shared" si="9"/>
        <v>0</v>
      </c>
      <c r="R65" s="35">
        <f t="shared" si="9"/>
        <v>0</v>
      </c>
      <c r="S65" s="35">
        <f t="shared" si="9"/>
        <v>-417489</v>
      </c>
      <c r="T65" s="35">
        <f t="shared" si="9"/>
        <v>176439</v>
      </c>
      <c r="U65" s="35">
        <f t="shared" si="9"/>
        <v>-108398</v>
      </c>
      <c r="V65" s="35">
        <f t="shared" si="9"/>
        <v>0</v>
      </c>
      <c r="W65" s="35">
        <f t="shared" si="9"/>
        <v>623922.20000000019</v>
      </c>
    </row>
    <row r="67" spans="1:23" hidden="1" x14ac:dyDescent="0.2">
      <c r="O67" s="52">
        <v>693327</v>
      </c>
      <c r="P67" s="38" t="s">
        <v>81</v>
      </c>
    </row>
    <row r="68" spans="1:23" x14ac:dyDescent="0.2">
      <c r="W68" s="39"/>
    </row>
    <row r="69" spans="1:23" x14ac:dyDescent="0.2">
      <c r="S69" s="10" t="s">
        <v>13</v>
      </c>
    </row>
  </sheetData>
  <mergeCells count="4">
    <mergeCell ref="A1:V1"/>
    <mergeCell ref="A2:V2"/>
    <mergeCell ref="A3:V3"/>
    <mergeCell ref="A4:V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69"/>
  <sheetViews>
    <sheetView workbookViewId="0">
      <pane xSplit="3" ySplit="14" topLeftCell="S47" activePane="bottomRight" state="frozen"/>
      <selection pane="topRight" activeCell="D1" sqref="D1"/>
      <selection pane="bottomLeft" activeCell="A15" sqref="A15"/>
      <selection pane="bottomRight" activeCell="U60" sqref="U60"/>
    </sheetView>
  </sheetViews>
  <sheetFormatPr defaultColWidth="9.109375" defaultRowHeight="10.199999999999999" x14ac:dyDescent="0.2"/>
  <cols>
    <col min="1" max="1" width="2.6640625" style="10" customWidth="1"/>
    <col min="2" max="2" width="4.33203125" style="10" customWidth="1"/>
    <col min="3" max="3" width="50.5546875" style="11" customWidth="1"/>
    <col min="4" max="4" width="0.88671875" style="10" customWidth="1"/>
    <col min="5" max="5" width="4.33203125" style="11" customWidth="1"/>
    <col min="6" max="6" width="14" style="10" customWidth="1"/>
    <col min="7" max="7" width="3.44140625" style="11" customWidth="1"/>
    <col min="8" max="8" width="11.6640625" style="10" customWidth="1"/>
    <col min="9" max="9" width="4.88671875" style="10" customWidth="1"/>
    <col min="10" max="10" width="11.6640625" style="10" customWidth="1"/>
    <col min="11" max="11" width="13" style="10" customWidth="1"/>
    <col min="12" max="13" width="11.6640625" style="10" customWidth="1"/>
    <col min="14" max="14" width="13" style="38" customWidth="1"/>
    <col min="15" max="15" width="13" style="10" customWidth="1"/>
    <col min="16" max="16" width="13.5546875" style="38" customWidth="1"/>
    <col min="17" max="17" width="13.109375" style="11" customWidth="1"/>
    <col min="18" max="18" width="13.5546875" style="10" customWidth="1"/>
    <col min="19" max="20" width="11.5546875" style="10" customWidth="1"/>
    <col min="21" max="21" width="12.33203125" style="10" customWidth="1"/>
    <col min="22" max="22" width="11.5546875" style="10" customWidth="1"/>
    <col min="23" max="23" width="13.5546875" style="10" customWidth="1"/>
    <col min="24" max="16384" width="9.109375" style="10"/>
  </cols>
  <sheetData>
    <row r="1" spans="1:256" s="42" customFormat="1" ht="15.75" customHeight="1" x14ac:dyDescent="0.3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56" s="43" customFormat="1" ht="20.399999999999999" x14ac:dyDescent="0.35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</row>
    <row r="3" spans="1:256" s="44" customFormat="1" ht="15.6" x14ac:dyDescent="0.3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6" s="45" customFormat="1" ht="13.2" x14ac:dyDescent="0.25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6" s="45" customFormat="1" ht="13.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6"/>
      <c r="Y5" s="6"/>
      <c r="Z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30.75" customHeight="1" x14ac:dyDescent="0.25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</row>
    <row r="7" spans="1:256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40" t="s">
        <v>70</v>
      </c>
      <c r="V7" s="40" t="s">
        <v>80</v>
      </c>
      <c r="W7" s="12" t="s">
        <v>6</v>
      </c>
    </row>
    <row r="8" spans="1:256" s="14" customFormat="1" ht="21.75" customHeight="1" x14ac:dyDescent="0.25">
      <c r="A8" s="14" t="s">
        <v>7</v>
      </c>
      <c r="C8" s="15"/>
      <c r="F8" s="16">
        <v>-54815</v>
      </c>
      <c r="G8" s="16"/>
      <c r="H8" s="16">
        <f>-52407-41341+630027</f>
        <v>536279</v>
      </c>
      <c r="I8" s="16"/>
      <c r="J8" s="16">
        <v>8847</v>
      </c>
      <c r="K8" s="16">
        <v>-20838</v>
      </c>
      <c r="L8" s="16">
        <v>7559</v>
      </c>
      <c r="M8" s="16">
        <v>357428</v>
      </c>
      <c r="N8" s="17">
        <v>873321</v>
      </c>
      <c r="O8" s="16">
        <v>142049</v>
      </c>
      <c r="P8" s="17">
        <v>500422</v>
      </c>
      <c r="Q8" s="16">
        <v>443959</v>
      </c>
      <c r="R8" s="16">
        <v>1775818</v>
      </c>
      <c r="S8" s="16">
        <v>312244</v>
      </c>
      <c r="T8" s="16">
        <v>1275960</v>
      </c>
      <c r="U8" s="16">
        <v>-4522403</v>
      </c>
      <c r="V8" s="16">
        <v>3687469</v>
      </c>
      <c r="W8" s="16">
        <f>SUM(F8:V8)</f>
        <v>5323299</v>
      </c>
    </row>
    <row r="9" spans="1:256" s="18" customFormat="1" ht="12" customHeight="1" x14ac:dyDescent="0.2">
      <c r="B9" s="18" t="s">
        <v>78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  <c r="V9" s="20"/>
      <c r="W9" s="20"/>
    </row>
    <row r="10" spans="1:256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  <c r="V10" s="20"/>
      <c r="W10" s="20"/>
    </row>
    <row r="11" spans="1:256" ht="12" x14ac:dyDescent="0.25">
      <c r="B11" s="22" t="s">
        <v>79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56" ht="12" x14ac:dyDescent="0.25">
      <c r="B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0</v>
      </c>
      <c r="T12" s="23"/>
      <c r="U12" s="23"/>
      <c r="V12" s="23"/>
      <c r="W12" s="24">
        <f>SUM(F12:V12)</f>
        <v>0</v>
      </c>
    </row>
    <row r="13" spans="1:256" ht="12" x14ac:dyDescent="0.25">
      <c r="B13" s="22"/>
      <c r="C13" s="11" t="s">
        <v>10</v>
      </c>
      <c r="F13" s="26">
        <v>-54815</v>
      </c>
      <c r="G13" s="24"/>
      <c r="H13" s="26">
        <v>536279</v>
      </c>
      <c r="I13" s="24"/>
      <c r="J13" s="26">
        <v>8847</v>
      </c>
      <c r="K13" s="26">
        <v>-20838</v>
      </c>
      <c r="L13" s="26">
        <v>7559</v>
      </c>
      <c r="M13" s="26">
        <v>-18645</v>
      </c>
      <c r="N13" s="26">
        <v>9943</v>
      </c>
      <c r="O13" s="26">
        <v>-63869</v>
      </c>
      <c r="P13" s="26">
        <v>-98200</v>
      </c>
      <c r="Q13" s="26">
        <v>26174</v>
      </c>
      <c r="R13" s="26">
        <v>147456</v>
      </c>
      <c r="S13" s="26"/>
      <c r="T13" s="26"/>
      <c r="U13" s="26">
        <v>218690</v>
      </c>
      <c r="V13" s="26"/>
      <c r="W13" s="26">
        <f>SUM(F13:V13)</f>
        <v>698581</v>
      </c>
    </row>
    <row r="14" spans="1:256" x14ac:dyDescent="0.2">
      <c r="C14" s="11" t="s">
        <v>13</v>
      </c>
      <c r="F14" s="23">
        <f>SUM(F13:F13)</f>
        <v>-54815</v>
      </c>
      <c r="G14" s="23"/>
      <c r="H14" s="23">
        <f>SUM(H13:H13)</f>
        <v>536279</v>
      </c>
      <c r="I14" s="23"/>
      <c r="J14" s="23">
        <f>SUM(J13:J13)</f>
        <v>8847</v>
      </c>
      <c r="K14" s="23">
        <f>SUM(K13:K13)</f>
        <v>-20838</v>
      </c>
      <c r="L14" s="23">
        <f>SUM(L13:L13)</f>
        <v>7559</v>
      </c>
      <c r="M14" s="23">
        <f>SUM(M13:M13)</f>
        <v>-18645</v>
      </c>
      <c r="N14" s="23">
        <f>SUM(N13:N13)</f>
        <v>9943</v>
      </c>
      <c r="O14" s="23">
        <f>SUM(O11:O13)</f>
        <v>-63869</v>
      </c>
      <c r="P14" s="23">
        <f>SUM(P11:P13)</f>
        <v>-98200</v>
      </c>
      <c r="Q14" s="23">
        <f>SUM(Q13:Q13)</f>
        <v>26174</v>
      </c>
      <c r="R14" s="23">
        <f>SUM(R13:R13)</f>
        <v>147456</v>
      </c>
      <c r="S14" s="23">
        <f>SUM(S12:S13)</f>
        <v>0</v>
      </c>
      <c r="T14" s="23">
        <f>SUM(T12:T13)</f>
        <v>0</v>
      </c>
      <c r="U14" s="23">
        <f>SUM(U12:U13)</f>
        <v>218690</v>
      </c>
      <c r="V14" s="23">
        <f>SUM(V12:V13)</f>
        <v>0</v>
      </c>
      <c r="W14" s="23">
        <f>SUM(W11:W13)</f>
        <v>698581</v>
      </c>
    </row>
    <row r="15" spans="1:256" ht="12" x14ac:dyDescent="0.25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56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2:23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hidden="1" x14ac:dyDescent="0.2">
      <c r="B18" s="31"/>
      <c r="C18" s="30"/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>
        <f>SUM(F18:V18)</f>
        <v>0</v>
      </c>
    </row>
    <row r="19" spans="2:23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>
        <v>-15014</v>
      </c>
      <c r="U19" s="23"/>
      <c r="V19" s="23"/>
      <c r="W19" s="24">
        <f>SUM(F19:V19)</f>
        <v>-33904</v>
      </c>
    </row>
    <row r="20" spans="2:23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3"/>
      <c r="V20" s="23"/>
      <c r="W20" s="24">
        <f>SUM(F20:V20)</f>
        <v>-20213</v>
      </c>
    </row>
    <row r="21" spans="2:23" x14ac:dyDescent="0.2">
      <c r="B21" s="31"/>
      <c r="C21" s="11" t="s">
        <v>61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109826</v>
      </c>
      <c r="R21" s="23"/>
      <c r="S21" s="23"/>
      <c r="T21" s="23"/>
      <c r="U21" s="23"/>
      <c r="V21" s="23"/>
      <c r="W21" s="24">
        <f>SUM(F21:V21)</f>
        <v>109826</v>
      </c>
    </row>
    <row r="22" spans="2:23" x14ac:dyDescent="0.2">
      <c r="B22" s="31"/>
      <c r="C22" s="10" t="s">
        <v>25</v>
      </c>
      <c r="F22" s="26"/>
      <c r="G22" s="24"/>
      <c r="H22" s="26"/>
      <c r="I22" s="24"/>
      <c r="J22" s="32"/>
      <c r="K22" s="26"/>
      <c r="L22" s="26"/>
      <c r="M22" s="26"/>
      <c r="N22" s="26">
        <v>172286</v>
      </c>
      <c r="O22" s="26"/>
      <c r="P22" s="26"/>
      <c r="Q22" s="26"/>
      <c r="R22" s="26"/>
      <c r="S22" s="26"/>
      <c r="T22" s="26"/>
      <c r="U22" s="26"/>
      <c r="V22" s="26"/>
      <c r="W22" s="26">
        <f>SUM(F22:V22)</f>
        <v>172286</v>
      </c>
    </row>
    <row r="23" spans="2:23" x14ac:dyDescent="0.2">
      <c r="B23" s="31"/>
      <c r="C23" s="30"/>
      <c r="F23" s="23"/>
      <c r="G23" s="24"/>
      <c r="H23" s="23">
        <f>SUM(H19:H22)</f>
        <v>0</v>
      </c>
      <c r="I23" s="23"/>
      <c r="J23" s="23"/>
      <c r="K23" s="23">
        <f>SUM(K19:K22)</f>
        <v>0</v>
      </c>
      <c r="L23" s="23"/>
      <c r="M23" s="23">
        <f t="shared" ref="M23:W23" si="0">SUM(M19:M22)</f>
        <v>0</v>
      </c>
      <c r="N23" s="23">
        <f t="shared" si="0"/>
        <v>172286</v>
      </c>
      <c r="O23" s="23">
        <f t="shared" si="0"/>
        <v>0</v>
      </c>
      <c r="P23" s="23">
        <f t="shared" si="0"/>
        <v>0</v>
      </c>
      <c r="Q23" s="23">
        <f t="shared" si="0"/>
        <v>109826</v>
      </c>
      <c r="R23" s="23">
        <f t="shared" si="0"/>
        <v>0</v>
      </c>
      <c r="S23" s="23">
        <f t="shared" si="0"/>
        <v>-39103</v>
      </c>
      <c r="T23" s="23">
        <f t="shared" si="0"/>
        <v>-15014</v>
      </c>
      <c r="U23" s="23">
        <f>SUM(U18:U22)</f>
        <v>0</v>
      </c>
      <c r="V23" s="23">
        <f t="shared" si="0"/>
        <v>0</v>
      </c>
      <c r="W23" s="23">
        <f t="shared" si="0"/>
        <v>227995</v>
      </c>
    </row>
    <row r="24" spans="2:23" x14ac:dyDescent="0.2">
      <c r="B24" s="31"/>
      <c r="C24" s="30"/>
      <c r="F24" s="23"/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2:23" x14ac:dyDescent="0.2">
      <c r="B25" s="31"/>
      <c r="C25" s="30" t="s">
        <v>26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2:23" x14ac:dyDescent="0.2">
      <c r="B26" s="31"/>
      <c r="C26" s="11" t="s">
        <v>57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>
        <v>15932</v>
      </c>
      <c r="T26" s="23"/>
      <c r="U26" s="23"/>
      <c r="V26" s="23"/>
      <c r="W26" s="24">
        <f>SUM(F26:V26)</f>
        <v>15932</v>
      </c>
    </row>
    <row r="27" spans="2:23" x14ac:dyDescent="0.2">
      <c r="B27" s="31"/>
      <c r="C27" s="11" t="s">
        <v>47</v>
      </c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>
        <f>90105.5+9562.3+77796-77796</f>
        <v>99667.799999999988</v>
      </c>
      <c r="Q27" s="23"/>
      <c r="R27" s="23"/>
      <c r="S27" s="23"/>
      <c r="T27" s="23"/>
      <c r="U27" s="23"/>
      <c r="V27" s="23"/>
      <c r="W27" s="24">
        <f>SUM(F27:V27)</f>
        <v>99667.799999999988</v>
      </c>
    </row>
    <row r="28" spans="2:23" x14ac:dyDescent="0.2">
      <c r="B28" s="31"/>
      <c r="F28" s="26"/>
      <c r="G28" s="24"/>
      <c r="H28" s="26">
        <v>0</v>
      </c>
      <c r="I28" s="23"/>
      <c r="J28" s="26">
        <v>0</v>
      </c>
      <c r="K28" s="26">
        <v>0</v>
      </c>
      <c r="L28" s="26">
        <v>0</v>
      </c>
      <c r="M28" s="26">
        <v>0</v>
      </c>
      <c r="N28" s="26"/>
      <c r="O28" s="26">
        <v>0</v>
      </c>
      <c r="P28" s="26"/>
      <c r="Q28" s="26">
        <v>0</v>
      </c>
      <c r="R28" s="26"/>
      <c r="S28" s="26"/>
      <c r="T28" s="26"/>
      <c r="U28" s="26"/>
      <c r="V28" s="26"/>
      <c r="W28" s="26">
        <f>SUM(F28:V28)</f>
        <v>0</v>
      </c>
    </row>
    <row r="29" spans="2:23" x14ac:dyDescent="0.2">
      <c r="B29" s="31"/>
      <c r="C29" s="30"/>
      <c r="F29" s="23">
        <f>SUM(F26:F28)</f>
        <v>0</v>
      </c>
      <c r="G29" s="24"/>
      <c r="H29" s="23">
        <f>SUM(H26:H28)</f>
        <v>0</v>
      </c>
      <c r="I29" s="23"/>
      <c r="J29" s="23">
        <f t="shared" ref="J29:P29" si="1">SUM(J26:J28)</f>
        <v>0</v>
      </c>
      <c r="K29" s="23">
        <f t="shared" si="1"/>
        <v>0</v>
      </c>
      <c r="L29" s="23">
        <f t="shared" si="1"/>
        <v>0</v>
      </c>
      <c r="M29" s="23">
        <f t="shared" si="1"/>
        <v>0</v>
      </c>
      <c r="N29" s="23">
        <f t="shared" si="1"/>
        <v>0</v>
      </c>
      <c r="O29" s="23">
        <f t="shared" si="1"/>
        <v>0</v>
      </c>
      <c r="P29" s="23">
        <f t="shared" si="1"/>
        <v>99667.799999999988</v>
      </c>
      <c r="Q29" s="23">
        <f>SUM(Q28:Q28)</f>
        <v>0</v>
      </c>
      <c r="R29" s="23">
        <f t="shared" ref="R29:W29" si="2">SUM(R26:R28)</f>
        <v>0</v>
      </c>
      <c r="S29" s="23">
        <f t="shared" si="2"/>
        <v>15932</v>
      </c>
      <c r="T29" s="23">
        <f t="shared" si="2"/>
        <v>0</v>
      </c>
      <c r="U29" s="23">
        <f t="shared" si="2"/>
        <v>0</v>
      </c>
      <c r="V29" s="23">
        <f t="shared" si="2"/>
        <v>0</v>
      </c>
      <c r="W29" s="23">
        <f t="shared" si="2"/>
        <v>115599.79999999999</v>
      </c>
    </row>
    <row r="30" spans="2:23" x14ac:dyDescent="0.2">
      <c r="B30" s="31"/>
      <c r="C30" s="30" t="s">
        <v>15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2:23" x14ac:dyDescent="0.2">
      <c r="B31" s="31"/>
      <c r="C31" s="11" t="s">
        <v>65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>
        <v>1428734</v>
      </c>
      <c r="S31" s="23">
        <f>-555624+57040+282570+131440+201500</f>
        <v>116926</v>
      </c>
      <c r="T31" s="23">
        <f>2406575-2231985-48921+764073</f>
        <v>889742</v>
      </c>
      <c r="U31" s="23">
        <v>-4554695</v>
      </c>
      <c r="V31" s="23"/>
      <c r="W31" s="24">
        <f>SUM(F31:V31)</f>
        <v>-2119293</v>
      </c>
    </row>
    <row r="32" spans="2:23" x14ac:dyDescent="0.2">
      <c r="B32" s="31"/>
      <c r="C32" s="11" t="s">
        <v>82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 t="s">
        <v>13</v>
      </c>
      <c r="Q32" s="23"/>
      <c r="R32" s="23">
        <v>199628</v>
      </c>
      <c r="S32" s="23">
        <v>181104</v>
      </c>
      <c r="T32" s="23">
        <v>162842</v>
      </c>
      <c r="U32" s="23"/>
      <c r="V32" s="23"/>
      <c r="W32" s="24">
        <f>SUM(F32:V32)</f>
        <v>543574</v>
      </c>
    </row>
    <row r="33" spans="2:23" x14ac:dyDescent="0.2">
      <c r="B33" s="31"/>
      <c r="C33" s="11" t="s">
        <v>56</v>
      </c>
      <c r="F33" s="26"/>
      <c r="G33" s="24"/>
      <c r="H33" s="26">
        <v>0</v>
      </c>
      <c r="I33" s="24"/>
      <c r="J33" s="26"/>
      <c r="K33" s="26"/>
      <c r="L33" s="26"/>
      <c r="M33" s="26">
        <v>376073</v>
      </c>
      <c r="N33" s="56"/>
      <c r="O33" s="53">
        <v>0</v>
      </c>
      <c r="P33" s="53"/>
      <c r="Q33" s="53">
        <v>-178539</v>
      </c>
      <c r="R33" s="26">
        <v>0</v>
      </c>
      <c r="S33" s="26">
        <v>0</v>
      </c>
      <c r="T33" s="26"/>
      <c r="U33" s="26"/>
      <c r="V33" s="26"/>
      <c r="W33" s="26">
        <f>SUM(F33:V33)</f>
        <v>197534</v>
      </c>
    </row>
    <row r="34" spans="2:23" x14ac:dyDescent="0.2">
      <c r="B34" s="31"/>
      <c r="C34" s="28"/>
      <c r="F34" s="23"/>
      <c r="G34" s="24"/>
      <c r="H34" s="23">
        <f>SUM(H31:H33)</f>
        <v>0</v>
      </c>
      <c r="I34" s="23"/>
      <c r="J34" s="23"/>
      <c r="K34" s="23">
        <f>SUM(K33:K33)</f>
        <v>0</v>
      </c>
      <c r="L34" s="23"/>
      <c r="M34" s="23">
        <f>SUM(M33:M33)</f>
        <v>376073</v>
      </c>
      <c r="N34" s="23">
        <f>SUM(N31:N33)</f>
        <v>0</v>
      </c>
      <c r="O34" s="54">
        <f>SUM(O32:O33)</f>
        <v>0</v>
      </c>
      <c r="P34" s="54">
        <f>SUM(P32:P33)</f>
        <v>0</v>
      </c>
      <c r="Q34" s="54">
        <f t="shared" ref="Q34:W34" si="3">SUM(Q31:Q33)</f>
        <v>-178539</v>
      </c>
      <c r="R34" s="23">
        <f t="shared" si="3"/>
        <v>1628362</v>
      </c>
      <c r="S34" s="23">
        <f t="shared" si="3"/>
        <v>298030</v>
      </c>
      <c r="T34" s="23">
        <f t="shared" si="3"/>
        <v>1052584</v>
      </c>
      <c r="U34" s="23">
        <f t="shared" si="3"/>
        <v>-4554695</v>
      </c>
      <c r="V34" s="23">
        <f t="shared" si="3"/>
        <v>0</v>
      </c>
      <c r="W34" s="23">
        <f t="shared" si="3"/>
        <v>-1378185</v>
      </c>
    </row>
    <row r="35" spans="2:23" x14ac:dyDescent="0.2">
      <c r="B35" s="31"/>
      <c r="F35" s="24"/>
      <c r="G35" s="24"/>
      <c r="H35" s="24"/>
      <c r="I35" s="24"/>
      <c r="J35" s="24"/>
      <c r="K35" s="24"/>
      <c r="L35" s="24"/>
      <c r="M35" s="24"/>
      <c r="N35" s="24"/>
      <c r="O35" s="55"/>
      <c r="P35" s="55"/>
      <c r="Q35" s="55"/>
      <c r="R35" s="24"/>
      <c r="S35" s="24"/>
      <c r="T35" s="24"/>
      <c r="U35" s="24"/>
      <c r="V35" s="24"/>
      <c r="W35" s="24"/>
    </row>
    <row r="36" spans="2:23" x14ac:dyDescent="0.2">
      <c r="B36" s="31"/>
      <c r="C36" s="30" t="s">
        <v>33</v>
      </c>
      <c r="F36" s="24"/>
      <c r="G36" s="24"/>
      <c r="H36" s="24"/>
      <c r="I36" s="24"/>
      <c r="J36" s="24"/>
      <c r="K36" s="24"/>
      <c r="L36" s="24"/>
      <c r="M36" s="24"/>
      <c r="N36" s="24"/>
      <c r="O36" s="55"/>
      <c r="P36" s="55"/>
      <c r="Q36" s="55"/>
      <c r="R36" s="24"/>
      <c r="S36" s="24"/>
      <c r="T36" s="24"/>
      <c r="U36" s="24"/>
      <c r="V36" s="24"/>
      <c r="W36" s="24"/>
    </row>
    <row r="37" spans="2:23" x14ac:dyDescent="0.2">
      <c r="B37" s="31"/>
      <c r="C37" s="11" t="s">
        <v>86</v>
      </c>
      <c r="F37" s="26"/>
      <c r="G37" s="24"/>
      <c r="H37" s="26"/>
      <c r="I37" s="24"/>
      <c r="J37" s="26"/>
      <c r="K37" s="26"/>
      <c r="L37" s="26"/>
      <c r="M37" s="26"/>
      <c r="N37" s="26"/>
      <c r="O37" s="53"/>
      <c r="P37" s="53"/>
      <c r="Q37" s="53"/>
      <c r="R37" s="26"/>
      <c r="S37" s="26"/>
      <c r="T37" s="26">
        <v>61951</v>
      </c>
      <c r="U37" s="26"/>
      <c r="V37" s="26"/>
      <c r="W37" s="26">
        <f>SUM(F37:V37)</f>
        <v>61951</v>
      </c>
    </row>
    <row r="38" spans="2:23" x14ac:dyDescent="0.2">
      <c r="F38" s="48">
        <f t="shared" ref="F38:S38" si="4">SUM(F37)</f>
        <v>0</v>
      </c>
      <c r="H38" s="48">
        <f t="shared" si="4"/>
        <v>0</v>
      </c>
      <c r="J38" s="48">
        <f t="shared" si="4"/>
        <v>0</v>
      </c>
      <c r="K38" s="48">
        <f t="shared" si="4"/>
        <v>0</v>
      </c>
      <c r="L38" s="48">
        <f t="shared" si="4"/>
        <v>0</v>
      </c>
      <c r="M38" s="48">
        <f t="shared" si="4"/>
        <v>0</v>
      </c>
      <c r="N38" s="48">
        <f t="shared" si="4"/>
        <v>0</v>
      </c>
      <c r="O38" s="48">
        <f t="shared" si="4"/>
        <v>0</v>
      </c>
      <c r="P38" s="48">
        <f t="shared" si="4"/>
        <v>0</v>
      </c>
      <c r="Q38" s="48">
        <f t="shared" si="4"/>
        <v>0</v>
      </c>
      <c r="R38" s="48">
        <f t="shared" si="4"/>
        <v>0</v>
      </c>
      <c r="S38" s="48">
        <f t="shared" si="4"/>
        <v>0</v>
      </c>
      <c r="T38" s="48">
        <f>SUM(T37)</f>
        <v>61951</v>
      </c>
      <c r="U38" s="48">
        <f>SUM(U37)</f>
        <v>0</v>
      </c>
      <c r="V38" s="48">
        <f>SUM(V37)</f>
        <v>0</v>
      </c>
      <c r="W38" s="23">
        <f>SUM(W37)</f>
        <v>61951</v>
      </c>
    </row>
    <row r="40" spans="2:23" x14ac:dyDescent="0.2">
      <c r="B40" s="31"/>
      <c r="C40" s="27" t="s">
        <v>30</v>
      </c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2:23" customFormat="1" ht="13.2" x14ac:dyDescent="0.25">
      <c r="C41" s="24" t="s">
        <v>55</v>
      </c>
      <c r="D41" s="10"/>
      <c r="E41" s="11"/>
      <c r="F41" s="26"/>
      <c r="G41" s="23"/>
      <c r="H41" s="26">
        <v>0</v>
      </c>
      <c r="I41" s="24"/>
      <c r="J41" s="26"/>
      <c r="K41" s="26">
        <v>0</v>
      </c>
      <c r="L41" s="26"/>
      <c r="M41" s="26"/>
      <c r="N41" s="26"/>
      <c r="O41" s="26"/>
      <c r="P41" s="26"/>
      <c r="Q41" s="26"/>
      <c r="R41" s="26">
        <v>0</v>
      </c>
      <c r="S41" s="26">
        <v>0</v>
      </c>
      <c r="T41" s="26">
        <v>0</v>
      </c>
      <c r="U41" s="26"/>
      <c r="V41" s="26">
        <v>3687469</v>
      </c>
      <c r="W41" s="26">
        <f>SUM(F41:V41)</f>
        <v>3687469</v>
      </c>
    </row>
    <row r="42" spans="2:23" x14ac:dyDescent="0.2">
      <c r="C42" s="11" t="s">
        <v>13</v>
      </c>
      <c r="F42" s="23"/>
      <c r="G42" s="23"/>
      <c r="H42" s="23">
        <f>+H41</f>
        <v>0</v>
      </c>
      <c r="I42" s="23"/>
      <c r="J42" s="23"/>
      <c r="K42" s="23">
        <f>+K41</f>
        <v>0</v>
      </c>
      <c r="L42" s="23"/>
      <c r="M42" s="23"/>
      <c r="N42" s="23"/>
      <c r="O42" s="23"/>
      <c r="P42" s="23"/>
      <c r="Q42" s="23"/>
      <c r="R42" s="23">
        <f>+R41</f>
        <v>0</v>
      </c>
      <c r="S42" s="23">
        <f>+S41</f>
        <v>0</v>
      </c>
      <c r="T42" s="23">
        <f>+T41</f>
        <v>0</v>
      </c>
      <c r="U42" s="23">
        <f>+U41</f>
        <v>0</v>
      </c>
      <c r="V42" s="23">
        <f>+U41</f>
        <v>0</v>
      </c>
      <c r="W42" s="23">
        <f>SUM(W41)</f>
        <v>3687469</v>
      </c>
    </row>
    <row r="43" spans="2:23" x14ac:dyDescent="0.2">
      <c r="C43" s="30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2:23" ht="12" x14ac:dyDescent="0.25">
      <c r="B44" s="22" t="s">
        <v>85</v>
      </c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2:23" ht="12" x14ac:dyDescent="0.25">
      <c r="C45" s="22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2:23" ht="12" x14ac:dyDescent="0.25">
      <c r="C46" s="46" t="s">
        <v>18</v>
      </c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spans="2:23" ht="11.4" x14ac:dyDescent="0.2">
      <c r="C47" s="47" t="s">
        <v>53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 t="s">
        <v>13</v>
      </c>
      <c r="S47" s="23">
        <v>638402</v>
      </c>
      <c r="T47" s="23"/>
      <c r="U47" s="23"/>
      <c r="V47" s="23"/>
      <c r="W47" s="24">
        <f>SUM(F47:V47)</f>
        <v>638402</v>
      </c>
    </row>
    <row r="48" spans="2:23" ht="11.4" x14ac:dyDescent="0.2">
      <c r="B48" s="31"/>
      <c r="C48" s="51" t="s">
        <v>19</v>
      </c>
      <c r="F48" s="26"/>
      <c r="G48" s="24"/>
      <c r="H48" s="26"/>
      <c r="I48" s="23"/>
      <c r="J48" s="26"/>
      <c r="K48" s="26"/>
      <c r="L48" s="26"/>
      <c r="M48" s="26"/>
      <c r="N48" s="26">
        <v>0</v>
      </c>
      <c r="O48" s="26"/>
      <c r="P48" s="26"/>
      <c r="Q48" s="26">
        <v>0</v>
      </c>
      <c r="R48" s="26">
        <v>0</v>
      </c>
      <c r="S48" s="26"/>
      <c r="T48" s="26"/>
      <c r="U48" s="26"/>
      <c r="V48" s="26"/>
      <c r="W48" s="26">
        <f>SUM(F48:V48)</f>
        <v>0</v>
      </c>
    </row>
    <row r="49" spans="1:23" ht="12" x14ac:dyDescent="0.25">
      <c r="C49" s="22"/>
      <c r="F49" s="23">
        <f>SUM(F47:F48)</f>
        <v>0</v>
      </c>
      <c r="G49" s="24"/>
      <c r="H49" s="23">
        <f>SUM(H47:H48)</f>
        <v>0</v>
      </c>
      <c r="I49" s="24"/>
      <c r="J49" s="23">
        <f t="shared" ref="J49:T49" si="5">SUM(J47:J48)</f>
        <v>0</v>
      </c>
      <c r="K49" s="23">
        <f t="shared" si="5"/>
        <v>0</v>
      </c>
      <c r="L49" s="23">
        <f t="shared" si="5"/>
        <v>0</v>
      </c>
      <c r="M49" s="23">
        <f t="shared" si="5"/>
        <v>0</v>
      </c>
      <c r="N49" s="23">
        <f t="shared" si="5"/>
        <v>0</v>
      </c>
      <c r="O49" s="23">
        <f t="shared" si="5"/>
        <v>0</v>
      </c>
      <c r="P49" s="23">
        <f t="shared" si="5"/>
        <v>0</v>
      </c>
      <c r="Q49" s="23">
        <f t="shared" si="5"/>
        <v>0</v>
      </c>
      <c r="R49" s="23">
        <f t="shared" si="5"/>
        <v>0</v>
      </c>
      <c r="S49" s="23">
        <f t="shared" si="5"/>
        <v>638402</v>
      </c>
      <c r="T49" s="23">
        <f t="shared" si="5"/>
        <v>0</v>
      </c>
      <c r="U49" s="23">
        <f>SUM(U47:U48)</f>
        <v>0</v>
      </c>
      <c r="V49" s="23">
        <f>SUM(V47:V48)</f>
        <v>0</v>
      </c>
      <c r="W49" s="23">
        <f>SUM(W47:W48)</f>
        <v>638402</v>
      </c>
    </row>
    <row r="50" spans="1:23" ht="12" x14ac:dyDescent="0.25">
      <c r="C50" s="22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23" ht="12" hidden="1" x14ac:dyDescent="0.25">
      <c r="C51" s="22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x14ac:dyDescent="0.2">
      <c r="B52" s="31"/>
      <c r="C52" s="30" t="s">
        <v>33</v>
      </c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3" hidden="1" x14ac:dyDescent="0.2">
      <c r="B53" s="31"/>
      <c r="C53" s="28" t="s">
        <v>72</v>
      </c>
      <c r="F53" s="23"/>
      <c r="G53" s="24"/>
      <c r="H53" s="23">
        <v>0</v>
      </c>
      <c r="I53" s="23"/>
      <c r="J53" s="23"/>
      <c r="K53" s="23">
        <v>0</v>
      </c>
      <c r="L53" s="23"/>
      <c r="M53" s="23"/>
      <c r="N53" s="23"/>
      <c r="O53" s="23"/>
      <c r="P53" s="23"/>
      <c r="Q53" s="23"/>
      <c r="R53" s="23"/>
      <c r="S53" s="23">
        <v>0</v>
      </c>
      <c r="T53" s="23"/>
      <c r="U53" s="23"/>
      <c r="V53" s="23"/>
      <c r="W53" s="24">
        <f t="shared" ref="W53:W60" si="6">SUM(F53:V53)</f>
        <v>0</v>
      </c>
    </row>
    <row r="54" spans="1:23" hidden="1" x14ac:dyDescent="0.2">
      <c r="B54" s="31"/>
      <c r="C54" s="28" t="s">
        <v>76</v>
      </c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4">
        <f t="shared" si="6"/>
        <v>0</v>
      </c>
    </row>
    <row r="55" spans="1:23" x14ac:dyDescent="0.2">
      <c r="B55" s="31"/>
      <c r="C55" s="11" t="s">
        <v>83</v>
      </c>
      <c r="F55" s="23"/>
      <c r="G55" s="24"/>
      <c r="H55" s="23"/>
      <c r="I55" s="23"/>
      <c r="J55" s="23"/>
      <c r="K55" s="23"/>
      <c r="L55" s="23"/>
      <c r="M55" s="23"/>
      <c r="N55" s="23"/>
      <c r="O55" s="54">
        <v>-700000</v>
      </c>
      <c r="P55" s="54">
        <v>817000</v>
      </c>
      <c r="Q55" s="54"/>
      <c r="R55" s="23"/>
      <c r="S55" s="23"/>
      <c r="T55" s="23"/>
      <c r="U55" s="23"/>
      <c r="V55" s="23"/>
      <c r="W55" s="24">
        <f t="shared" si="6"/>
        <v>117000</v>
      </c>
    </row>
    <row r="56" spans="1:23" x14ac:dyDescent="0.2">
      <c r="B56" s="31"/>
      <c r="C56" s="11" t="s">
        <v>84</v>
      </c>
      <c r="F56" s="24"/>
      <c r="G56" s="24"/>
      <c r="H56" s="24"/>
      <c r="I56" s="24"/>
      <c r="J56" s="24"/>
      <c r="K56" s="24"/>
      <c r="L56" s="24"/>
      <c r="M56" s="24"/>
      <c r="N56" s="24"/>
      <c r="O56" s="55"/>
      <c r="P56" s="55">
        <v>-486498</v>
      </c>
      <c r="Q56" s="55">
        <v>486498</v>
      </c>
      <c r="R56" s="24"/>
      <c r="S56" s="24">
        <v>0</v>
      </c>
      <c r="T56" s="24"/>
      <c r="U56" s="24"/>
      <c r="V56" s="24"/>
      <c r="W56" s="24">
        <f t="shared" si="6"/>
        <v>0</v>
      </c>
    </row>
    <row r="57" spans="1:23" x14ac:dyDescent="0.2">
      <c r="B57" s="31"/>
      <c r="C57" s="11" t="s">
        <v>87</v>
      </c>
      <c r="F57" s="24"/>
      <c r="G57" s="24"/>
      <c r="H57" s="24"/>
      <c r="I57" s="24"/>
      <c r="J57" s="24"/>
      <c r="K57" s="24"/>
      <c r="L57" s="24"/>
      <c r="M57" s="24"/>
      <c r="N57" s="24">
        <f>865970-174878</f>
        <v>691092</v>
      </c>
      <c r="O57" s="55"/>
      <c r="P57" s="55"/>
      <c r="Q57" s="55"/>
      <c r="R57" s="24"/>
      <c r="S57" s="24"/>
      <c r="T57" s="24"/>
      <c r="U57" s="24"/>
      <c r="V57" s="24"/>
      <c r="W57" s="24">
        <f t="shared" si="6"/>
        <v>691092</v>
      </c>
    </row>
    <row r="58" spans="1:23" x14ac:dyDescent="0.2">
      <c r="B58" s="31"/>
      <c r="C58" s="28" t="s">
        <v>77</v>
      </c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>
        <v>-183528</v>
      </c>
      <c r="T58" s="23"/>
      <c r="U58" s="23"/>
      <c r="V58" s="23"/>
      <c r="W58" s="24">
        <f t="shared" si="6"/>
        <v>-183528</v>
      </c>
    </row>
    <row r="59" spans="1:23" x14ac:dyDescent="0.2">
      <c r="B59" s="31"/>
      <c r="C59" s="28" t="s">
        <v>75</v>
      </c>
      <c r="F59" s="23"/>
      <c r="G59" s="24"/>
      <c r="H59" s="23"/>
      <c r="I59" s="23"/>
      <c r="J59" s="23"/>
      <c r="K59" s="23"/>
      <c r="L59" s="23"/>
      <c r="M59" s="23"/>
      <c r="N59" s="23"/>
      <c r="O59" s="23">
        <v>101000</v>
      </c>
      <c r="P59" s="23"/>
      <c r="Q59" s="23"/>
      <c r="R59" s="23"/>
      <c r="S59" s="23"/>
      <c r="T59" s="23">
        <v>0</v>
      </c>
      <c r="U59" s="23"/>
      <c r="V59" s="23"/>
      <c r="W59" s="24">
        <f t="shared" si="6"/>
        <v>101000</v>
      </c>
    </row>
    <row r="60" spans="1:23" x14ac:dyDescent="0.2">
      <c r="B60" s="31"/>
      <c r="C60" s="28" t="s">
        <v>89</v>
      </c>
      <c r="F60" s="26"/>
      <c r="G60" s="24"/>
      <c r="H60" s="26"/>
      <c r="I60" s="23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>
        <v>-78000</v>
      </c>
      <c r="V60" s="26"/>
      <c r="W60" s="26">
        <f t="shared" si="6"/>
        <v>-78000</v>
      </c>
    </row>
    <row r="61" spans="1:23" x14ac:dyDescent="0.2">
      <c r="C61" s="11" t="s">
        <v>13</v>
      </c>
      <c r="F61" s="23"/>
      <c r="G61" s="23"/>
      <c r="H61" s="23">
        <f>SUM(H53:H60)</f>
        <v>0</v>
      </c>
      <c r="I61" s="23"/>
      <c r="J61" s="23"/>
      <c r="K61" s="23">
        <f>SUM(K53:K60)</f>
        <v>0</v>
      </c>
      <c r="L61" s="23"/>
      <c r="M61" s="23"/>
      <c r="N61" s="23">
        <f t="shared" ref="N61:W61" si="7">SUM(N53:N60)</f>
        <v>691092</v>
      </c>
      <c r="O61" s="23">
        <f t="shared" si="7"/>
        <v>-599000</v>
      </c>
      <c r="P61" s="23">
        <f t="shared" si="7"/>
        <v>330502</v>
      </c>
      <c r="Q61" s="23">
        <f t="shared" si="7"/>
        <v>486498</v>
      </c>
      <c r="R61" s="23">
        <f t="shared" si="7"/>
        <v>0</v>
      </c>
      <c r="S61" s="23">
        <f t="shared" si="7"/>
        <v>-183528</v>
      </c>
      <c r="T61" s="23">
        <f t="shared" si="7"/>
        <v>0</v>
      </c>
      <c r="U61" s="23">
        <f t="shared" si="7"/>
        <v>-78000</v>
      </c>
      <c r="V61" s="23">
        <f t="shared" si="7"/>
        <v>0</v>
      </c>
      <c r="W61" s="23">
        <f t="shared" si="7"/>
        <v>647564</v>
      </c>
    </row>
    <row r="62" spans="1:23" x14ac:dyDescent="0.2"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9.5" customHeight="1" thickBot="1" x14ac:dyDescent="0.25">
      <c r="A63" s="18" t="s">
        <v>36</v>
      </c>
      <c r="F63" s="34">
        <f>+F61+F42+F34+F29+F23+F14+F49+F38</f>
        <v>-54815</v>
      </c>
      <c r="G63" s="35"/>
      <c r="H63" s="34">
        <f>+H61+H42+H34+H29+H23+H14+H49+H38</f>
        <v>536279</v>
      </c>
      <c r="I63" s="25"/>
      <c r="J63" s="34">
        <f t="shared" ref="J63:T63" si="8">+J61+J42+J34+J29+J23+J14+J49+J38</f>
        <v>8847</v>
      </c>
      <c r="K63" s="34">
        <f t="shared" si="8"/>
        <v>-20838</v>
      </c>
      <c r="L63" s="34">
        <f t="shared" si="8"/>
        <v>7559</v>
      </c>
      <c r="M63" s="34">
        <f t="shared" si="8"/>
        <v>357428</v>
      </c>
      <c r="N63" s="34">
        <f t="shared" si="8"/>
        <v>873321</v>
      </c>
      <c r="O63" s="34">
        <f t="shared" si="8"/>
        <v>-662869</v>
      </c>
      <c r="P63" s="34">
        <f t="shared" si="8"/>
        <v>331969.8</v>
      </c>
      <c r="Q63" s="34">
        <f t="shared" si="8"/>
        <v>443959</v>
      </c>
      <c r="R63" s="34">
        <f t="shared" si="8"/>
        <v>1775818</v>
      </c>
      <c r="S63" s="34">
        <f t="shared" si="8"/>
        <v>729733</v>
      </c>
      <c r="T63" s="34">
        <f t="shared" si="8"/>
        <v>1099521</v>
      </c>
      <c r="U63" s="34">
        <f>+U61+V42+U34+U29+U23+U14+U49+U38</f>
        <v>-4414005</v>
      </c>
      <c r="V63" s="34">
        <f>+V61+W42+V34+V29+V23+V14+V49+V38</f>
        <v>3687469</v>
      </c>
      <c r="W63" s="34">
        <f>+W61+W42+W34+W29+W23+W14+W49+W38</f>
        <v>4699376.8</v>
      </c>
    </row>
    <row r="64" spans="1:23" ht="10.8" thickTop="1" x14ac:dyDescent="0.2">
      <c r="F64" s="35"/>
      <c r="G64" s="36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">
      <c r="A65" s="18" t="s">
        <v>37</v>
      </c>
      <c r="F65" s="35">
        <f>F8-F63</f>
        <v>0</v>
      </c>
      <c r="G65" s="35"/>
      <c r="H65" s="35">
        <f>H8-H63</f>
        <v>0</v>
      </c>
      <c r="I65" s="35"/>
      <c r="J65" s="35">
        <f t="shared" ref="J65:W65" si="9">J8-J63</f>
        <v>0</v>
      </c>
      <c r="K65" s="35">
        <f t="shared" si="9"/>
        <v>0</v>
      </c>
      <c r="L65" s="35">
        <f t="shared" si="9"/>
        <v>0</v>
      </c>
      <c r="M65" s="35">
        <f t="shared" si="9"/>
        <v>0</v>
      </c>
      <c r="N65" s="35">
        <f t="shared" si="9"/>
        <v>0</v>
      </c>
      <c r="O65" s="35">
        <f t="shared" si="9"/>
        <v>804918</v>
      </c>
      <c r="P65" s="35">
        <f t="shared" si="9"/>
        <v>168452.2</v>
      </c>
      <c r="Q65" s="35">
        <f t="shared" si="9"/>
        <v>0</v>
      </c>
      <c r="R65" s="35">
        <f t="shared" si="9"/>
        <v>0</v>
      </c>
      <c r="S65" s="35">
        <f t="shared" si="9"/>
        <v>-417489</v>
      </c>
      <c r="T65" s="35">
        <f t="shared" si="9"/>
        <v>176439</v>
      </c>
      <c r="U65" s="35">
        <f t="shared" si="9"/>
        <v>-108398</v>
      </c>
      <c r="V65" s="35">
        <f t="shared" si="9"/>
        <v>0</v>
      </c>
      <c r="W65" s="35">
        <f t="shared" si="9"/>
        <v>623922.20000000019</v>
      </c>
    </row>
    <row r="67" spans="1:23" hidden="1" x14ac:dyDescent="0.2">
      <c r="O67" s="52">
        <v>693327</v>
      </c>
      <c r="P67" s="38" t="s">
        <v>81</v>
      </c>
    </row>
    <row r="68" spans="1:23" x14ac:dyDescent="0.2">
      <c r="W68" s="39"/>
    </row>
    <row r="69" spans="1:23" x14ac:dyDescent="0.2">
      <c r="S69" s="10" t="s">
        <v>13</v>
      </c>
    </row>
  </sheetData>
  <mergeCells count="4">
    <mergeCell ref="A1:V1"/>
    <mergeCell ref="A2:V2"/>
    <mergeCell ref="A3:V3"/>
    <mergeCell ref="A4:V4"/>
  </mergeCells>
  <pageMargins left="0.75" right="0.75" top="1" bottom="1" header="0.5" footer="0.5"/>
  <pageSetup scale="4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75"/>
  <sheetViews>
    <sheetView workbookViewId="0">
      <pane xSplit="5" ySplit="14" topLeftCell="M65" activePane="bottomRight" state="frozen"/>
      <selection pane="topRight" activeCell="F1" sqref="F1"/>
      <selection pane="bottomLeft" activeCell="A15" sqref="A15"/>
      <selection pane="bottomRight" activeCell="S39" sqref="S39"/>
    </sheetView>
  </sheetViews>
  <sheetFormatPr defaultColWidth="9.109375" defaultRowHeight="10.199999999999999" x14ac:dyDescent="0.2"/>
  <cols>
    <col min="1" max="1" width="2.6640625" style="10" customWidth="1"/>
    <col min="2" max="2" width="4.33203125" style="10" customWidth="1"/>
    <col min="3" max="3" width="54.88671875" style="11" customWidth="1"/>
    <col min="4" max="4" width="5.6640625" style="10" customWidth="1"/>
    <col min="5" max="5" width="4.33203125" style="11" customWidth="1"/>
    <col min="6" max="6" width="14" style="10" customWidth="1"/>
    <col min="7" max="7" width="3.44140625" style="11" customWidth="1"/>
    <col min="8" max="8" width="11.6640625" style="10" customWidth="1"/>
    <col min="9" max="9" width="4.88671875" style="10" customWidth="1"/>
    <col min="10" max="10" width="11.6640625" style="10" customWidth="1"/>
    <col min="11" max="11" width="13" style="10" customWidth="1"/>
    <col min="12" max="13" width="11.6640625" style="10" customWidth="1"/>
    <col min="14" max="14" width="13" style="38" customWidth="1"/>
    <col min="15" max="15" width="13" style="10" customWidth="1"/>
    <col min="16" max="16" width="13.5546875" style="38" customWidth="1"/>
    <col min="17" max="17" width="13.109375" style="11" customWidth="1"/>
    <col min="18" max="18" width="13.5546875" style="10" customWidth="1"/>
    <col min="19" max="21" width="11.5546875" style="10" customWidth="1"/>
    <col min="22" max="22" width="13.5546875" style="10" customWidth="1"/>
    <col min="23" max="16384" width="9.109375" style="10"/>
  </cols>
  <sheetData>
    <row r="1" spans="1:255" s="42" customFormat="1" ht="15.75" customHeight="1" x14ac:dyDescent="0.3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55" s="43" customFormat="1" ht="20.399999999999999" x14ac:dyDescent="0.35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</row>
    <row r="3" spans="1:255" s="44" customFormat="1" ht="15.6" x14ac:dyDescent="0.3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5" s="45" customFormat="1" ht="13.2" x14ac:dyDescent="0.25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ht="13.2" x14ac:dyDescent="0.25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5" ht="30.75" customHeight="1" x14ac:dyDescent="0.25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5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40" t="s">
        <v>70</v>
      </c>
      <c r="V7" s="12" t="s">
        <v>6</v>
      </c>
    </row>
    <row r="8" spans="1:255" s="14" customFormat="1" ht="21.75" customHeight="1" x14ac:dyDescent="0.25">
      <c r="A8" s="14" t="s">
        <v>7</v>
      </c>
      <c r="C8" s="15"/>
      <c r="F8" s="16">
        <v>-54815</v>
      </c>
      <c r="G8" s="16"/>
      <c r="H8" s="16">
        <f>-52407-41341+630027</f>
        <v>536279</v>
      </c>
      <c r="I8" s="16"/>
      <c r="J8" s="16">
        <v>6647</v>
      </c>
      <c r="K8" s="16">
        <v>-20838</v>
      </c>
      <c r="L8" s="16">
        <v>7559</v>
      </c>
      <c r="M8" s="16">
        <v>357428</v>
      </c>
      <c r="N8" s="17">
        <v>873321</v>
      </c>
      <c r="O8" s="16">
        <v>229173</v>
      </c>
      <c r="P8" s="17">
        <v>567850</v>
      </c>
      <c r="Q8" s="16">
        <v>445632</v>
      </c>
      <c r="R8" s="16">
        <v>-484465</v>
      </c>
      <c r="S8" s="16">
        <v>354719</v>
      </c>
      <c r="T8" s="16">
        <v>1454631</v>
      </c>
      <c r="U8" s="16">
        <v>-4972851</v>
      </c>
      <c r="V8" s="16">
        <f>SUM(F8:U8)</f>
        <v>-699730</v>
      </c>
    </row>
    <row r="9" spans="1:255" s="18" customFormat="1" ht="12" customHeight="1" x14ac:dyDescent="0.2">
      <c r="B9" s="18" t="s">
        <v>67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  <c r="V9" s="20"/>
    </row>
    <row r="10" spans="1:255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  <c r="V10" s="20"/>
    </row>
    <row r="11" spans="1:255" ht="12" x14ac:dyDescent="0.25">
      <c r="B11" s="22" t="s">
        <v>68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255" ht="12" x14ac:dyDescent="0.25">
      <c r="B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0</v>
      </c>
      <c r="T12" s="23">
        <f>249084</f>
        <v>249084</v>
      </c>
      <c r="U12" s="23">
        <v>-249084</v>
      </c>
      <c r="V12" s="24">
        <f>SUM(F12:U12)</f>
        <v>0</v>
      </c>
    </row>
    <row r="13" spans="1:255" ht="12" x14ac:dyDescent="0.25">
      <c r="B13" s="22"/>
      <c r="C13" s="11" t="s">
        <v>10</v>
      </c>
      <c r="F13" s="26"/>
      <c r="G13" s="24"/>
      <c r="H13" s="26"/>
      <c r="I13" s="24"/>
      <c r="J13" s="26"/>
      <c r="K13" s="26"/>
      <c r="L13" s="26"/>
      <c r="M13" s="26"/>
      <c r="N13" s="26"/>
      <c r="O13" s="26"/>
      <c r="P13" s="26"/>
      <c r="Q13" s="26">
        <v>0</v>
      </c>
      <c r="R13" s="26" t="s">
        <v>13</v>
      </c>
      <c r="S13" s="26">
        <v>-201500</v>
      </c>
      <c r="T13" s="26">
        <v>289513</v>
      </c>
      <c r="U13" s="26"/>
      <c r="V13" s="26">
        <f>SUM(F13:U13)</f>
        <v>88013</v>
      </c>
    </row>
    <row r="14" spans="1:255" x14ac:dyDescent="0.2">
      <c r="C14" s="11" t="s">
        <v>13</v>
      </c>
      <c r="F14" s="23">
        <f>SUM(F13:F13)</f>
        <v>0</v>
      </c>
      <c r="G14" s="23"/>
      <c r="H14" s="23">
        <f>SUM(H13:H13)</f>
        <v>0</v>
      </c>
      <c r="I14" s="23"/>
      <c r="J14" s="23">
        <f>SUM(J13:J13)</f>
        <v>0</v>
      </c>
      <c r="K14" s="23">
        <f>SUM(K13:K13)</f>
        <v>0</v>
      </c>
      <c r="L14" s="23">
        <f>SUM(L13:L13)</f>
        <v>0</v>
      </c>
      <c r="M14" s="23">
        <f>SUM(M13:M13)</f>
        <v>0</v>
      </c>
      <c r="N14" s="23">
        <f>SUM(N13:N13)</f>
        <v>0</v>
      </c>
      <c r="O14" s="23">
        <f>SUM(O11:O13)</f>
        <v>0</v>
      </c>
      <c r="P14" s="23">
        <f>SUM(P11:P13)</f>
        <v>0</v>
      </c>
      <c r="Q14" s="23">
        <f>SUM(Q13:Q13)</f>
        <v>0</v>
      </c>
      <c r="R14" s="23">
        <f>SUM(R13:R13)</f>
        <v>0</v>
      </c>
      <c r="S14" s="23">
        <f>SUM(S12:S13)</f>
        <v>-201500</v>
      </c>
      <c r="T14" s="23">
        <f>SUM(T12:T13)</f>
        <v>538597</v>
      </c>
      <c r="U14" s="23">
        <f>SUM(U12:U13)</f>
        <v>-249084</v>
      </c>
      <c r="V14" s="23">
        <f>SUM(V11:V13)</f>
        <v>88013</v>
      </c>
    </row>
    <row r="15" spans="1:255" ht="12" x14ac:dyDescent="0.25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255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2:22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2:22" x14ac:dyDescent="0.2">
      <c r="B18" s="31"/>
      <c r="C18" s="11" t="s">
        <v>45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>
        <v>-60251</v>
      </c>
      <c r="R18" s="23"/>
      <c r="S18" s="23"/>
      <c r="T18" s="23"/>
      <c r="U18" s="23"/>
      <c r="V18" s="24">
        <f t="shared" ref="V18:V25" si="0">SUM(F18:U18)</f>
        <v>-60251</v>
      </c>
    </row>
    <row r="19" spans="2:22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>
        <v>-15014</v>
      </c>
      <c r="U19" s="23"/>
      <c r="V19" s="24">
        <f t="shared" si="0"/>
        <v>-33904</v>
      </c>
    </row>
    <row r="20" spans="2:22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3"/>
      <c r="V20" s="24">
        <f t="shared" si="0"/>
        <v>-20213</v>
      </c>
    </row>
    <row r="21" spans="2:22" x14ac:dyDescent="0.2">
      <c r="B21" s="31"/>
      <c r="C21" s="11" t="s">
        <v>46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42413</v>
      </c>
      <c r="R21" s="23"/>
      <c r="S21" s="23"/>
      <c r="T21" s="23"/>
      <c r="U21" s="23"/>
      <c r="V21" s="24">
        <f t="shared" si="0"/>
        <v>42413</v>
      </c>
    </row>
    <row r="22" spans="2:22" x14ac:dyDescent="0.2">
      <c r="B22" s="31"/>
      <c r="C22" s="11" t="s">
        <v>59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5050</v>
      </c>
      <c r="S22" s="23"/>
      <c r="T22" s="23"/>
      <c r="U22" s="23"/>
      <c r="V22" s="24">
        <f t="shared" si="0"/>
        <v>5050</v>
      </c>
    </row>
    <row r="23" spans="2:22" x14ac:dyDescent="0.2">
      <c r="B23" s="31"/>
      <c r="C23" s="11" t="s">
        <v>61</v>
      </c>
      <c r="F23" s="23"/>
      <c r="G23" s="24"/>
      <c r="H23" s="23"/>
      <c r="I23" s="23"/>
      <c r="J23" s="23"/>
      <c r="K23" s="23"/>
      <c r="L23" s="23"/>
      <c r="M23" s="23"/>
      <c r="N23" s="23"/>
      <c r="O23" s="23">
        <v>27478</v>
      </c>
      <c r="P23" s="23">
        <v>-29943</v>
      </c>
      <c r="Q23" s="23">
        <v>109826</v>
      </c>
      <c r="R23" s="23"/>
      <c r="S23" s="23"/>
      <c r="T23" s="23"/>
      <c r="U23" s="23"/>
      <c r="V23" s="24">
        <f t="shared" si="0"/>
        <v>107361</v>
      </c>
    </row>
    <row r="24" spans="2:22" x14ac:dyDescent="0.2">
      <c r="B24" s="31"/>
      <c r="C24" s="11" t="s">
        <v>60</v>
      </c>
      <c r="F24" s="23"/>
      <c r="G24" s="24"/>
      <c r="H24" s="23"/>
      <c r="I24" s="23"/>
      <c r="J24" s="23"/>
      <c r="K24" s="23"/>
      <c r="L24" s="23"/>
      <c r="M24" s="23"/>
      <c r="N24" s="23"/>
      <c r="O24" s="23">
        <v>-40599</v>
      </c>
      <c r="P24" s="23">
        <v>-31258</v>
      </c>
      <c r="Q24" s="23">
        <v>-80684</v>
      </c>
      <c r="R24" s="23">
        <v>-29782</v>
      </c>
      <c r="S24" s="23"/>
      <c r="T24" s="23"/>
      <c r="U24" s="23"/>
      <c r="V24" s="24">
        <f t="shared" si="0"/>
        <v>-182323</v>
      </c>
    </row>
    <row r="25" spans="2:22" x14ac:dyDescent="0.2">
      <c r="B25" s="31"/>
      <c r="C25" s="11" t="s">
        <v>58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>
        <v>58347</v>
      </c>
      <c r="S25" s="23"/>
      <c r="T25" s="23"/>
      <c r="U25" s="23"/>
      <c r="V25" s="24">
        <f t="shared" si="0"/>
        <v>58347</v>
      </c>
    </row>
    <row r="26" spans="2:22" x14ac:dyDescent="0.2">
      <c r="B26" s="31"/>
      <c r="C26" s="10" t="s">
        <v>25</v>
      </c>
      <c r="F26" s="26"/>
      <c r="G26" s="24"/>
      <c r="H26" s="26"/>
      <c r="I26" s="24"/>
      <c r="J26" s="32"/>
      <c r="K26" s="26"/>
      <c r="L26" s="26"/>
      <c r="M26" s="26"/>
      <c r="N26" s="26">
        <v>172286</v>
      </c>
      <c r="O26" s="26"/>
      <c r="P26" s="26"/>
      <c r="Q26" s="26"/>
      <c r="R26" s="26"/>
      <c r="S26" s="26"/>
      <c r="T26" s="26"/>
      <c r="U26" s="26"/>
      <c r="V26" s="26">
        <f>SUM(F26:U26)</f>
        <v>172286</v>
      </c>
    </row>
    <row r="27" spans="2:22" x14ac:dyDescent="0.2">
      <c r="B27" s="31"/>
      <c r="C27" s="30"/>
      <c r="F27" s="23"/>
      <c r="G27" s="24"/>
      <c r="H27" s="23">
        <f>SUM(H18:H26)</f>
        <v>0</v>
      </c>
      <c r="I27" s="23"/>
      <c r="J27" s="23"/>
      <c r="K27" s="23">
        <f>SUM(K18:K26)</f>
        <v>0</v>
      </c>
      <c r="L27" s="23"/>
      <c r="M27" s="23">
        <f t="shared" ref="M27:S27" si="1">SUM(M18:M26)</f>
        <v>0</v>
      </c>
      <c r="N27" s="23">
        <f t="shared" si="1"/>
        <v>172286</v>
      </c>
      <c r="O27" s="23">
        <f t="shared" si="1"/>
        <v>-13121</v>
      </c>
      <c r="P27" s="23">
        <f t="shared" si="1"/>
        <v>-61201</v>
      </c>
      <c r="Q27" s="23">
        <f t="shared" si="1"/>
        <v>11304</v>
      </c>
      <c r="R27" s="23">
        <f t="shared" si="1"/>
        <v>33615</v>
      </c>
      <c r="S27" s="23">
        <f t="shared" si="1"/>
        <v>-39103</v>
      </c>
      <c r="T27" s="23">
        <f>SUM(T18:T26)</f>
        <v>-15014</v>
      </c>
      <c r="U27" s="23"/>
      <c r="V27" s="23">
        <f>SUM(V18:V26)</f>
        <v>88766</v>
      </c>
    </row>
    <row r="28" spans="2:22" x14ac:dyDescent="0.2">
      <c r="B28" s="31"/>
      <c r="C28" s="30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pans="2:22" x14ac:dyDescent="0.2">
      <c r="B29" s="31"/>
      <c r="C29" s="30" t="s">
        <v>26</v>
      </c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2:22" x14ac:dyDescent="0.2">
      <c r="B30" s="31"/>
      <c r="C30" s="11" t="s">
        <v>71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 t="s">
        <v>13</v>
      </c>
      <c r="Q30" s="23"/>
      <c r="R30" s="23">
        <v>199628</v>
      </c>
      <c r="S30" s="23"/>
      <c r="T30" s="23"/>
      <c r="U30" s="23"/>
      <c r="V30" s="24">
        <f t="shared" ref="V30:V35" si="2">SUM(F30:U30)</f>
        <v>199628</v>
      </c>
    </row>
    <row r="31" spans="2:22" x14ac:dyDescent="0.2">
      <c r="B31" s="31"/>
      <c r="C31" s="11" t="s">
        <v>57</v>
      </c>
      <c r="F31" s="23"/>
      <c r="G31" s="24"/>
      <c r="H31" s="23"/>
      <c r="I31" s="23"/>
      <c r="J31" s="23"/>
      <c r="K31" s="23"/>
      <c r="L31" s="23"/>
      <c r="M31" s="23"/>
      <c r="N31" s="23"/>
      <c r="O31" s="23">
        <v>20241</v>
      </c>
      <c r="P31" s="23"/>
      <c r="Q31" s="23"/>
      <c r="R31" s="23"/>
      <c r="S31" s="23">
        <v>15932</v>
      </c>
      <c r="T31" s="23"/>
      <c r="U31" s="23"/>
      <c r="V31" s="24">
        <f t="shared" si="2"/>
        <v>36173</v>
      </c>
    </row>
    <row r="32" spans="2:22" x14ac:dyDescent="0.2">
      <c r="B32" s="31"/>
      <c r="C32" s="11" t="s">
        <v>47</v>
      </c>
      <c r="F32" s="23"/>
      <c r="G32" s="24"/>
      <c r="H32" s="23"/>
      <c r="I32" s="23"/>
      <c r="J32" s="23"/>
      <c r="K32" s="23"/>
      <c r="L32" s="23"/>
      <c r="M32" s="23"/>
      <c r="N32" s="23"/>
      <c r="O32" s="23">
        <v>104918</v>
      </c>
      <c r="P32" s="23">
        <f>90105.5+9562.3+77796</f>
        <v>177463.8</v>
      </c>
      <c r="Q32" s="23"/>
      <c r="R32" s="23"/>
      <c r="S32" s="23"/>
      <c r="T32" s="23"/>
      <c r="U32" s="23"/>
      <c r="V32" s="24">
        <f t="shared" si="2"/>
        <v>282381.8</v>
      </c>
    </row>
    <row r="33" spans="2:22" x14ac:dyDescent="0.2">
      <c r="B33" s="31"/>
      <c r="C33" s="11" t="s">
        <v>74</v>
      </c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>
        <v>-22955</v>
      </c>
      <c r="S33" s="23"/>
      <c r="T33" s="23"/>
      <c r="U33" s="23"/>
      <c r="V33" s="24">
        <f t="shared" si="2"/>
        <v>-22955</v>
      </c>
    </row>
    <row r="34" spans="2:22" x14ac:dyDescent="0.2">
      <c r="B34" s="31"/>
      <c r="C34" s="11" t="s">
        <v>62</v>
      </c>
      <c r="F34" s="23">
        <f>139305-202133.07</f>
        <v>-62828.070000000007</v>
      </c>
      <c r="G34" s="24"/>
      <c r="H34" s="23">
        <f>9502+5868+2879</f>
        <v>18249</v>
      </c>
      <c r="I34" s="23"/>
      <c r="J34" s="23">
        <v>8194</v>
      </c>
      <c r="K34" s="23">
        <v>2204</v>
      </c>
      <c r="L34" s="23">
        <v>9719</v>
      </c>
      <c r="M34" s="23">
        <v>7479</v>
      </c>
      <c r="N34" s="23">
        <v>7727</v>
      </c>
      <c r="O34" s="23" t="s">
        <v>13</v>
      </c>
      <c r="P34" s="23"/>
      <c r="Q34" s="23"/>
      <c r="R34" s="23"/>
      <c r="S34" s="23"/>
      <c r="T34" s="23"/>
      <c r="U34" s="23"/>
      <c r="V34" s="24">
        <f t="shared" si="2"/>
        <v>-9256.070000000007</v>
      </c>
    </row>
    <row r="35" spans="2:22" x14ac:dyDescent="0.2">
      <c r="B35" s="31"/>
      <c r="C35" s="11" t="s">
        <v>44</v>
      </c>
      <c r="F35" s="26"/>
      <c r="G35" s="24"/>
      <c r="H35" s="26">
        <v>0</v>
      </c>
      <c r="I35" s="23"/>
      <c r="J35" s="26">
        <v>0</v>
      </c>
      <c r="K35" s="26">
        <v>0</v>
      </c>
      <c r="L35" s="26">
        <v>0</v>
      </c>
      <c r="M35" s="26">
        <v>0</v>
      </c>
      <c r="N35" s="26"/>
      <c r="O35" s="26">
        <v>0</v>
      </c>
      <c r="P35" s="26"/>
      <c r="Q35" s="26">
        <v>0</v>
      </c>
      <c r="R35" s="26"/>
      <c r="S35" s="26"/>
      <c r="T35" s="26"/>
      <c r="U35" s="26"/>
      <c r="V35" s="26">
        <f t="shared" si="2"/>
        <v>0</v>
      </c>
    </row>
    <row r="36" spans="2:22" x14ac:dyDescent="0.2">
      <c r="B36" s="31"/>
      <c r="C36" s="30"/>
      <c r="F36" s="23">
        <f>SUM(F30:F35)</f>
        <v>-62828.070000000007</v>
      </c>
      <c r="G36" s="24"/>
      <c r="H36" s="23">
        <f>SUM(H30:H35)</f>
        <v>18249</v>
      </c>
      <c r="I36" s="23"/>
      <c r="J36" s="23">
        <f t="shared" ref="J36:P36" si="3">SUM(J30:J35)</f>
        <v>8194</v>
      </c>
      <c r="K36" s="23">
        <f t="shared" si="3"/>
        <v>2204</v>
      </c>
      <c r="L36" s="23">
        <f t="shared" si="3"/>
        <v>9719</v>
      </c>
      <c r="M36" s="23">
        <f t="shared" si="3"/>
        <v>7479</v>
      </c>
      <c r="N36" s="23">
        <f t="shared" si="3"/>
        <v>7727</v>
      </c>
      <c r="O36" s="23">
        <f t="shared" si="3"/>
        <v>125159</v>
      </c>
      <c r="P36" s="23">
        <f t="shared" si="3"/>
        <v>177463.8</v>
      </c>
      <c r="Q36" s="23">
        <f>SUM(Q35:Q35)</f>
        <v>0</v>
      </c>
      <c r="R36" s="23">
        <f>SUM(R30:R35)</f>
        <v>176673</v>
      </c>
      <c r="S36" s="23">
        <f>SUM(S30:S35)</f>
        <v>15932</v>
      </c>
      <c r="T36" s="23"/>
      <c r="U36" s="23"/>
      <c r="V36" s="23">
        <f>SUM(V30:V35)</f>
        <v>485971.73</v>
      </c>
    </row>
    <row r="37" spans="2:22" x14ac:dyDescent="0.2">
      <c r="B37" s="31"/>
      <c r="C37" s="30" t="s">
        <v>15</v>
      </c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2:22" x14ac:dyDescent="0.2">
      <c r="B38" s="31"/>
      <c r="C38" s="11" t="s">
        <v>21</v>
      </c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>
        <v>120269</v>
      </c>
      <c r="R38" s="23"/>
      <c r="S38" s="23"/>
      <c r="T38" s="23"/>
      <c r="U38" s="23"/>
      <c r="V38" s="24">
        <f>SUM(F38:U38)</f>
        <v>120269</v>
      </c>
    </row>
    <row r="39" spans="2:22" x14ac:dyDescent="0.2">
      <c r="B39" s="31"/>
      <c r="C39" s="11" t="s">
        <v>65</v>
      </c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>
        <v>1428734</v>
      </c>
      <c r="S39" s="23">
        <f>-555624+57040+282570+131440+201500</f>
        <v>116926</v>
      </c>
      <c r="T39" s="23">
        <f>2406575-2231985+702122-48921+62277</f>
        <v>890068</v>
      </c>
      <c r="U39" s="23"/>
      <c r="V39" s="24">
        <f>SUM(F39:U39)</f>
        <v>2435728</v>
      </c>
    </row>
    <row r="40" spans="2:22" x14ac:dyDescent="0.2">
      <c r="B40" s="31"/>
      <c r="C40" s="11" t="s">
        <v>66</v>
      </c>
      <c r="F40" s="23"/>
      <c r="G40" s="24"/>
      <c r="H40" s="24">
        <v>518978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4">
        <f>SUM(F40:U40)</f>
        <v>518978</v>
      </c>
    </row>
    <row r="41" spans="2:22" x14ac:dyDescent="0.2">
      <c r="B41" s="31"/>
      <c r="F41" s="23"/>
      <c r="G41" s="24"/>
      <c r="H41" s="24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4">
        <f>SUM(F41:U41)</f>
        <v>0</v>
      </c>
    </row>
    <row r="42" spans="2:22" x14ac:dyDescent="0.2">
      <c r="B42" s="31"/>
      <c r="C42" s="11" t="s">
        <v>56</v>
      </c>
      <c r="F42" s="26"/>
      <c r="G42" s="24"/>
      <c r="H42" s="26">
        <v>0</v>
      </c>
      <c r="I42" s="24"/>
      <c r="J42" s="26"/>
      <c r="K42" s="26">
        <v>-24800</v>
      </c>
      <c r="L42" s="26"/>
      <c r="M42" s="26">
        <v>376073</v>
      </c>
      <c r="N42" s="26">
        <f>865970-174878</f>
        <v>691092</v>
      </c>
      <c r="O42" s="26">
        <v>0</v>
      </c>
      <c r="P42" s="26">
        <v>421158</v>
      </c>
      <c r="Q42" s="26">
        <f>-178539+486498</f>
        <v>307959</v>
      </c>
      <c r="R42" s="26">
        <v>0</v>
      </c>
      <c r="S42" s="26">
        <v>0</v>
      </c>
      <c r="T42" s="26"/>
      <c r="U42" s="26"/>
      <c r="V42" s="26">
        <f>SUM(F42:U42)</f>
        <v>1771482</v>
      </c>
    </row>
    <row r="43" spans="2:22" x14ac:dyDescent="0.2">
      <c r="B43" s="31"/>
      <c r="C43" s="28"/>
      <c r="F43" s="23"/>
      <c r="G43" s="24"/>
      <c r="H43" s="23">
        <f>SUM(H38:H42)</f>
        <v>518978</v>
      </c>
      <c r="I43" s="23"/>
      <c r="J43" s="23"/>
      <c r="K43" s="23">
        <f>SUM(K42:K42)</f>
        <v>-24800</v>
      </c>
      <c r="L43" s="23"/>
      <c r="M43" s="23">
        <f>SUM(M42:M42)</f>
        <v>376073</v>
      </c>
      <c r="N43" s="23">
        <f>SUM(N42:N42)</f>
        <v>691092</v>
      </c>
      <c r="O43" s="23">
        <f>+O42</f>
        <v>0</v>
      </c>
      <c r="P43" s="23">
        <f>+P42</f>
        <v>421158</v>
      </c>
      <c r="Q43" s="23">
        <f>SUM(Q38:Q42)</f>
        <v>428228</v>
      </c>
      <c r="R43" s="23">
        <f>SUM(R38:R42)</f>
        <v>1428734</v>
      </c>
      <c r="S43" s="23">
        <f>SUM(S38:S42)</f>
        <v>116926</v>
      </c>
      <c r="T43" s="23">
        <f>SUM(T38:T42)</f>
        <v>890068</v>
      </c>
      <c r="U43" s="23"/>
      <c r="V43" s="23">
        <f>SUM(V38:V42)</f>
        <v>4846457</v>
      </c>
    </row>
    <row r="44" spans="2:22" x14ac:dyDescent="0.2">
      <c r="B44" s="31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2:22" x14ac:dyDescent="0.2">
      <c r="B45" s="31"/>
      <c r="C45" s="30" t="s">
        <v>33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2:22" x14ac:dyDescent="0.2">
      <c r="B46" s="31"/>
      <c r="C46" s="11" t="s">
        <v>56</v>
      </c>
      <c r="F46" s="26"/>
      <c r="G46" s="24"/>
      <c r="H46" s="26"/>
      <c r="I46" s="24"/>
      <c r="J46" s="26"/>
      <c r="K46" s="26"/>
      <c r="L46" s="26"/>
      <c r="M46" s="26"/>
      <c r="N46" s="26"/>
      <c r="O46" s="26"/>
      <c r="P46" s="26"/>
      <c r="Q46" s="26"/>
      <c r="R46" s="26"/>
      <c r="S46" s="26">
        <v>0</v>
      </c>
      <c r="T46" s="26"/>
      <c r="U46" s="26"/>
      <c r="V46" s="26">
        <f>SUM(F46:U46)</f>
        <v>0</v>
      </c>
    </row>
    <row r="47" spans="2:22" x14ac:dyDescent="0.2">
      <c r="Q47" s="49">
        <f>SUM(Q46:Q46)</f>
        <v>0</v>
      </c>
      <c r="S47" s="48">
        <f>SUM(S46:S46)</f>
        <v>0</v>
      </c>
      <c r="V47" s="23">
        <f>SUM(V46:V46)</f>
        <v>0</v>
      </c>
    </row>
    <row r="49" spans="2:22" x14ac:dyDescent="0.2">
      <c r="B49" s="31"/>
      <c r="C49" s="27" t="s">
        <v>30</v>
      </c>
      <c r="F49" s="23"/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2:22" customFormat="1" ht="13.2" x14ac:dyDescent="0.25">
      <c r="C50" s="24" t="s">
        <v>55</v>
      </c>
      <c r="D50" s="10"/>
      <c r="E50" s="11"/>
      <c r="F50" s="26"/>
      <c r="G50" s="23"/>
      <c r="H50" s="26">
        <v>0</v>
      </c>
      <c r="I50" s="24"/>
      <c r="J50" s="26"/>
      <c r="K50" s="26">
        <v>0</v>
      </c>
      <c r="L50" s="26"/>
      <c r="M50" s="26"/>
      <c r="N50" s="26"/>
      <c r="O50" s="26"/>
      <c r="P50" s="26"/>
      <c r="Q50" s="26"/>
      <c r="R50" s="26">
        <v>0</v>
      </c>
      <c r="S50" s="26">
        <v>0</v>
      </c>
      <c r="T50" s="26">
        <v>0</v>
      </c>
      <c r="U50" s="26">
        <f>-4972851+249084</f>
        <v>-4723767</v>
      </c>
      <c r="V50" s="26">
        <f>SUM(F50:U50)</f>
        <v>-4723767</v>
      </c>
    </row>
    <row r="51" spans="2:22" x14ac:dyDescent="0.2">
      <c r="C51" s="11" t="s">
        <v>13</v>
      </c>
      <c r="F51" s="23"/>
      <c r="G51" s="23"/>
      <c r="H51" s="23">
        <f>+H50</f>
        <v>0</v>
      </c>
      <c r="I51" s="23"/>
      <c r="J51" s="23"/>
      <c r="K51" s="23">
        <f>+K50</f>
        <v>0</v>
      </c>
      <c r="L51" s="23"/>
      <c r="M51" s="23"/>
      <c r="N51" s="23"/>
      <c r="O51" s="23"/>
      <c r="P51" s="23"/>
      <c r="Q51" s="23"/>
      <c r="R51" s="23">
        <f>+R50</f>
        <v>0</v>
      </c>
      <c r="S51" s="23">
        <f>+S50</f>
        <v>0</v>
      </c>
      <c r="T51" s="23">
        <f>+T50</f>
        <v>0</v>
      </c>
      <c r="U51" s="23">
        <f>+U50</f>
        <v>-4723767</v>
      </c>
      <c r="V51" s="23">
        <f>SUM(V50)</f>
        <v>-4723767</v>
      </c>
    </row>
    <row r="52" spans="2:22" x14ac:dyDescent="0.2">
      <c r="C52" s="30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2:22" ht="12" x14ac:dyDescent="0.25">
      <c r="B53" s="22" t="s">
        <v>69</v>
      </c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2:22" ht="12" x14ac:dyDescent="0.25">
      <c r="C54" s="22"/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2:22" ht="12" x14ac:dyDescent="0.25">
      <c r="C55" s="46" t="s">
        <v>18</v>
      </c>
      <c r="F55" s="23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2:22" ht="11.4" x14ac:dyDescent="0.2">
      <c r="C56" s="47" t="s">
        <v>53</v>
      </c>
      <c r="F56" s="23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 t="s">
        <v>13</v>
      </c>
      <c r="S56" s="23">
        <v>638402</v>
      </c>
      <c r="T56" s="23">
        <v>175980</v>
      </c>
      <c r="U56" s="23"/>
      <c r="V56" s="24">
        <f>SUM(F56:U56)</f>
        <v>814382</v>
      </c>
    </row>
    <row r="57" spans="2:22" ht="11.4" x14ac:dyDescent="0.2">
      <c r="B57" s="31"/>
      <c r="C57" s="51" t="s">
        <v>19</v>
      </c>
      <c r="F57" s="26"/>
      <c r="G57" s="24"/>
      <c r="H57" s="26"/>
      <c r="I57" s="23"/>
      <c r="J57" s="26"/>
      <c r="K57" s="26"/>
      <c r="L57" s="26"/>
      <c r="M57" s="26">
        <f>437721-462162</f>
        <v>-24441</v>
      </c>
      <c r="N57" s="26">
        <v>0</v>
      </c>
      <c r="O57" s="26">
        <f>463849-431783</f>
        <v>32066</v>
      </c>
      <c r="P57" s="26">
        <f>462076-443589</f>
        <v>18487</v>
      </c>
      <c r="Q57" s="26">
        <v>0</v>
      </c>
      <c r="R57" s="26">
        <v>0</v>
      </c>
      <c r="S57" s="26"/>
      <c r="T57" s="26"/>
      <c r="U57" s="26"/>
      <c r="V57" s="26">
        <f>SUM(F57:U57)</f>
        <v>26112</v>
      </c>
    </row>
    <row r="58" spans="2:22" ht="12" x14ac:dyDescent="0.25">
      <c r="C58" s="22"/>
      <c r="F58" s="23">
        <f>SUM(F56:F57)</f>
        <v>0</v>
      </c>
      <c r="G58" s="24"/>
      <c r="H58" s="23">
        <f>SUM(H56:H57)</f>
        <v>0</v>
      </c>
      <c r="I58" s="24"/>
      <c r="J58" s="23">
        <f t="shared" ref="J58:T58" si="4">SUM(J56:J57)</f>
        <v>0</v>
      </c>
      <c r="K58" s="23">
        <f t="shared" si="4"/>
        <v>0</v>
      </c>
      <c r="L58" s="23">
        <f t="shared" si="4"/>
        <v>0</v>
      </c>
      <c r="M58" s="23">
        <f t="shared" si="4"/>
        <v>-24441</v>
      </c>
      <c r="N58" s="23">
        <f t="shared" si="4"/>
        <v>0</v>
      </c>
      <c r="O58" s="23">
        <f t="shared" si="4"/>
        <v>32066</v>
      </c>
      <c r="P58" s="23">
        <f t="shared" si="4"/>
        <v>18487</v>
      </c>
      <c r="Q58" s="23">
        <f t="shared" si="4"/>
        <v>0</v>
      </c>
      <c r="R58" s="23">
        <f t="shared" si="4"/>
        <v>0</v>
      </c>
      <c r="S58" s="23">
        <f t="shared" si="4"/>
        <v>638402</v>
      </c>
      <c r="T58" s="23">
        <f t="shared" si="4"/>
        <v>175980</v>
      </c>
      <c r="U58" s="23"/>
      <c r="V58" s="23">
        <f>SUM(V56:V57)</f>
        <v>840494</v>
      </c>
    </row>
    <row r="59" spans="2:22" ht="12" x14ac:dyDescent="0.25">
      <c r="C59" s="22"/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pans="2:22" ht="12" x14ac:dyDescent="0.25">
      <c r="C60" s="22"/>
      <c r="F60" s="23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2:22" x14ac:dyDescent="0.2">
      <c r="B61" s="31"/>
      <c r="C61" s="30" t="s">
        <v>33</v>
      </c>
      <c r="F61" s="23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2:22" x14ac:dyDescent="0.2">
      <c r="B62" s="31"/>
      <c r="C62" s="28" t="s">
        <v>72</v>
      </c>
      <c r="F62" s="23"/>
      <c r="G62" s="24"/>
      <c r="H62" s="23">
        <v>0</v>
      </c>
      <c r="I62" s="23"/>
      <c r="J62" s="23"/>
      <c r="K62" s="23">
        <v>0</v>
      </c>
      <c r="L62" s="23"/>
      <c r="M62" s="23"/>
      <c r="N62" s="23"/>
      <c r="O62" s="23"/>
      <c r="P62" s="23"/>
      <c r="Q62" s="23"/>
      <c r="R62" s="23">
        <v>-2133120</v>
      </c>
      <c r="S62" s="23">
        <v>0</v>
      </c>
      <c r="T62" s="23"/>
      <c r="U62" s="23"/>
      <c r="V62" s="24">
        <f>SUM(F62:U62)</f>
        <v>-2133120</v>
      </c>
    </row>
    <row r="63" spans="2:22" x14ac:dyDescent="0.2">
      <c r="B63" s="31"/>
      <c r="C63" s="28" t="s">
        <v>76</v>
      </c>
      <c r="F63" s="23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>
        <v>-135000</v>
      </c>
      <c r="U63" s="23"/>
      <c r="V63" s="24">
        <f>SUM(F63:U63)</f>
        <v>-135000</v>
      </c>
    </row>
    <row r="64" spans="2:22" x14ac:dyDescent="0.2">
      <c r="B64" s="31"/>
      <c r="C64" s="28" t="s">
        <v>77</v>
      </c>
      <c r="F64" s="23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>
        <v>-183528</v>
      </c>
      <c r="T64" s="23"/>
      <c r="U64" s="23"/>
      <c r="V64" s="24">
        <f>SUM(F64:U64)</f>
        <v>-183528</v>
      </c>
    </row>
    <row r="65" spans="1:22" x14ac:dyDescent="0.2">
      <c r="B65" s="31"/>
      <c r="C65" s="28" t="s">
        <v>75</v>
      </c>
      <c r="F65" s="23"/>
      <c r="G65" s="24"/>
      <c r="H65" s="23"/>
      <c r="I65" s="23"/>
      <c r="J65" s="23"/>
      <c r="K65" s="23"/>
      <c r="L65" s="23"/>
      <c r="M65" s="23"/>
      <c r="N65" s="23"/>
      <c r="O65" s="23">
        <v>101000</v>
      </c>
      <c r="P65" s="23"/>
      <c r="Q65" s="23"/>
      <c r="R65" s="23"/>
      <c r="S65" s="23"/>
      <c r="T65" s="23">
        <v>0</v>
      </c>
      <c r="U65" s="23"/>
      <c r="V65" s="24">
        <f>SUM(F65:U65)</f>
        <v>101000</v>
      </c>
    </row>
    <row r="66" spans="1:22" x14ac:dyDescent="0.2">
      <c r="B66" s="31"/>
      <c r="C66" s="28" t="s">
        <v>73</v>
      </c>
      <c r="F66" s="26"/>
      <c r="G66" s="24"/>
      <c r="H66" s="26"/>
      <c r="I66" s="23"/>
      <c r="J66" s="26"/>
      <c r="K66" s="26"/>
      <c r="L66" s="26"/>
      <c r="M66" s="26"/>
      <c r="N66" s="26"/>
      <c r="O66" s="26"/>
      <c r="P66" s="26"/>
      <c r="Q66" s="26"/>
      <c r="R66" s="26">
        <v>11450</v>
      </c>
      <c r="S66" s="26"/>
      <c r="T66" s="26"/>
      <c r="U66" s="26"/>
      <c r="V66" s="26">
        <f>SUM(F66:U66)</f>
        <v>11450</v>
      </c>
    </row>
    <row r="67" spans="1:22" x14ac:dyDescent="0.2">
      <c r="C67" s="11" t="s">
        <v>13</v>
      </c>
      <c r="F67" s="23"/>
      <c r="G67" s="23"/>
      <c r="H67" s="23">
        <f>SUM(H62:H66)</f>
        <v>0</v>
      </c>
      <c r="I67" s="23"/>
      <c r="J67" s="23"/>
      <c r="K67" s="23">
        <f>SUM(K62:K66)</f>
        <v>0</v>
      </c>
      <c r="L67" s="23"/>
      <c r="M67" s="23"/>
      <c r="N67" s="23">
        <f>SUM(N62:N66)</f>
        <v>0</v>
      </c>
      <c r="O67" s="23">
        <f>SUM(O62:O66)</f>
        <v>101000</v>
      </c>
      <c r="P67" s="23"/>
      <c r="Q67" s="23">
        <f>SUM(Q62:Q66)</f>
        <v>0</v>
      </c>
      <c r="R67" s="23">
        <f>SUM(R62:R66)</f>
        <v>-2121670</v>
      </c>
      <c r="S67" s="23">
        <f>SUM(S62:S66)</f>
        <v>-183528</v>
      </c>
      <c r="T67" s="23">
        <f>SUM(T62:T66)</f>
        <v>-135000</v>
      </c>
      <c r="U67" s="23"/>
      <c r="V67" s="23">
        <f>SUM(V62:V66)</f>
        <v>-2339198</v>
      </c>
    </row>
    <row r="68" spans="1:22" x14ac:dyDescent="0.2"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ht="19.5" customHeight="1" thickBot="1" x14ac:dyDescent="0.25">
      <c r="A69" s="18" t="s">
        <v>36</v>
      </c>
      <c r="F69" s="34">
        <f>+F67+F51+F43+F36+F27+F14+F58+F47</f>
        <v>-62828.070000000007</v>
      </c>
      <c r="G69" s="35"/>
      <c r="H69" s="34">
        <f>+H67+H51+H43+H36+H27+H14+H58+H47</f>
        <v>537227</v>
      </c>
      <c r="I69" s="25"/>
      <c r="J69" s="34">
        <f t="shared" ref="J69:V69" si="5">+J67+J51+J43+J36+J27+J14+J58+J47</f>
        <v>8194</v>
      </c>
      <c r="K69" s="34">
        <f t="shared" si="5"/>
        <v>-22596</v>
      </c>
      <c r="L69" s="34">
        <f t="shared" si="5"/>
        <v>9719</v>
      </c>
      <c r="M69" s="34">
        <f t="shared" si="5"/>
        <v>359111</v>
      </c>
      <c r="N69" s="34">
        <f t="shared" si="5"/>
        <v>871105</v>
      </c>
      <c r="O69" s="34">
        <f t="shared" si="5"/>
        <v>245104</v>
      </c>
      <c r="P69" s="34">
        <f t="shared" si="5"/>
        <v>555907.80000000005</v>
      </c>
      <c r="Q69" s="34">
        <f t="shared" si="5"/>
        <v>439532</v>
      </c>
      <c r="R69" s="34">
        <f t="shared" si="5"/>
        <v>-482648</v>
      </c>
      <c r="S69" s="34">
        <f t="shared" si="5"/>
        <v>347129</v>
      </c>
      <c r="T69" s="34">
        <f t="shared" si="5"/>
        <v>1454631</v>
      </c>
      <c r="U69" s="34">
        <f>+U67+U51+U43+U36+U27+U14+U58+U47</f>
        <v>-4972851</v>
      </c>
      <c r="V69" s="34">
        <f t="shared" si="5"/>
        <v>-713263.27</v>
      </c>
    </row>
    <row r="70" spans="1:22" ht="10.8" thickTop="1" x14ac:dyDescent="0.2">
      <c r="F70" s="35"/>
      <c r="G70" s="36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x14ac:dyDescent="0.2">
      <c r="A71" s="18" t="s">
        <v>37</v>
      </c>
      <c r="F71" s="35">
        <f>F8-F69</f>
        <v>8013.070000000007</v>
      </c>
      <c r="G71" s="35"/>
      <c r="H71" s="35">
        <f>H8-H69</f>
        <v>-948</v>
      </c>
      <c r="I71" s="35"/>
      <c r="J71" s="35">
        <f t="shared" ref="J71:V71" si="6">J8-J69</f>
        <v>-1547</v>
      </c>
      <c r="K71" s="35">
        <f t="shared" si="6"/>
        <v>1758</v>
      </c>
      <c r="L71" s="35">
        <f t="shared" si="6"/>
        <v>-2160</v>
      </c>
      <c r="M71" s="35">
        <f t="shared" si="6"/>
        <v>-1683</v>
      </c>
      <c r="N71" s="35">
        <f t="shared" si="6"/>
        <v>2216</v>
      </c>
      <c r="O71" s="35">
        <f t="shared" si="6"/>
        <v>-15931</v>
      </c>
      <c r="P71" s="35">
        <f t="shared" si="6"/>
        <v>11942.199999999953</v>
      </c>
      <c r="Q71" s="35">
        <f t="shared" si="6"/>
        <v>6100</v>
      </c>
      <c r="R71" s="35">
        <f t="shared" si="6"/>
        <v>-1817</v>
      </c>
      <c r="S71" s="35">
        <f t="shared" si="6"/>
        <v>7590</v>
      </c>
      <c r="T71" s="35">
        <f t="shared" si="6"/>
        <v>0</v>
      </c>
      <c r="U71" s="35">
        <f>U8-U69</f>
        <v>0</v>
      </c>
      <c r="V71" s="35">
        <f t="shared" si="6"/>
        <v>13533.270000000019</v>
      </c>
    </row>
    <row r="74" spans="1:22" x14ac:dyDescent="0.2">
      <c r="V74" s="39"/>
    </row>
    <row r="75" spans="1:22" x14ac:dyDescent="0.2">
      <c r="S75" s="10" t="s">
        <v>13</v>
      </c>
    </row>
  </sheetData>
  <mergeCells count="4">
    <mergeCell ref="A1:V1"/>
    <mergeCell ref="A2:V2"/>
    <mergeCell ref="A3:V3"/>
    <mergeCell ref="A4:V4"/>
  </mergeCells>
  <pageMargins left="0.75" right="0.75" top="1" bottom="1" header="0.5" footer="0.5"/>
  <pageSetup scale="4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70"/>
  <sheetViews>
    <sheetView topLeftCell="A30" workbookViewId="0">
      <pane xSplit="3" topLeftCell="P1" activePane="topRight" state="frozen"/>
      <selection activeCell="A6" sqref="A6"/>
      <selection pane="topRight" activeCell="S60" sqref="S60"/>
    </sheetView>
  </sheetViews>
  <sheetFormatPr defaultColWidth="9.109375" defaultRowHeight="10.199999999999999" x14ac:dyDescent="0.2"/>
  <cols>
    <col min="1" max="1" width="2.6640625" style="10" customWidth="1"/>
    <col min="2" max="2" width="4.33203125" style="10" customWidth="1"/>
    <col min="3" max="3" width="54.88671875" style="11" customWidth="1"/>
    <col min="4" max="4" width="5.6640625" style="10" customWidth="1"/>
    <col min="5" max="5" width="4.33203125" style="11" customWidth="1"/>
    <col min="6" max="6" width="14" style="10" customWidth="1"/>
    <col min="7" max="7" width="3.44140625" style="11" customWidth="1"/>
    <col min="8" max="8" width="11.6640625" style="10" customWidth="1"/>
    <col min="9" max="9" width="4.88671875" style="10" customWidth="1"/>
    <col min="10" max="10" width="11.6640625" style="10" customWidth="1"/>
    <col min="11" max="11" width="13" style="10" customWidth="1"/>
    <col min="12" max="13" width="11.6640625" style="10" customWidth="1"/>
    <col min="14" max="14" width="13" style="38" customWidth="1"/>
    <col min="15" max="15" width="13" style="10" customWidth="1"/>
    <col min="16" max="16" width="13.5546875" style="38" customWidth="1"/>
    <col min="17" max="17" width="13.109375" style="11" customWidth="1"/>
    <col min="18" max="18" width="13.5546875" style="10" customWidth="1"/>
    <col min="19" max="20" width="11.5546875" style="10" customWidth="1"/>
    <col min="21" max="21" width="13.5546875" style="10" customWidth="1"/>
    <col min="22" max="16384" width="9.109375" style="10"/>
  </cols>
  <sheetData>
    <row r="1" spans="1:254" s="42" customFormat="1" ht="15.75" customHeight="1" x14ac:dyDescent="0.3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54" s="43" customFormat="1" ht="20.399999999999999" x14ac:dyDescent="0.35">
      <c r="A2" s="59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</row>
    <row r="3" spans="1:254" s="44" customFormat="1" ht="15.6" x14ac:dyDescent="0.3">
      <c r="A3" s="57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</row>
    <row r="4" spans="1:254" s="45" customFormat="1" ht="13.2" x14ac:dyDescent="0.25">
      <c r="A4" s="61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 spans="1:254" ht="13.2" x14ac:dyDescent="0.25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</row>
    <row r="6" spans="1:254" ht="30.75" customHeight="1" x14ac:dyDescent="0.25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</row>
    <row r="7" spans="1:254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40" t="s">
        <v>51</v>
      </c>
      <c r="U7" s="12" t="s">
        <v>6</v>
      </c>
    </row>
    <row r="8" spans="1:254" s="14" customFormat="1" ht="21.75" customHeight="1" x14ac:dyDescent="0.25">
      <c r="A8" s="14" t="s">
        <v>7</v>
      </c>
      <c r="C8" s="15"/>
      <c r="F8" s="16">
        <v>-64030</v>
      </c>
      <c r="G8" s="16"/>
      <c r="H8" s="16">
        <f>-52284-38219+897021</f>
        <v>806518</v>
      </c>
      <c r="I8" s="16"/>
      <c r="J8" s="16">
        <v>101811</v>
      </c>
      <c r="K8" s="16">
        <v>-167483</v>
      </c>
      <c r="L8" s="16">
        <v>45019</v>
      </c>
      <c r="M8" s="16">
        <v>941950</v>
      </c>
      <c r="N8" s="17">
        <v>1492733</v>
      </c>
      <c r="O8" s="16">
        <v>452663</v>
      </c>
      <c r="P8" s="17">
        <v>921391</v>
      </c>
      <c r="Q8" s="16">
        <v>465831</v>
      </c>
      <c r="R8" s="16">
        <v>2154695</v>
      </c>
      <c r="S8" s="16">
        <v>3741019</v>
      </c>
      <c r="T8" s="16">
        <v>1125508</v>
      </c>
      <c r="U8" s="16">
        <f>SUM(F8:T8)</f>
        <v>12017625</v>
      </c>
    </row>
    <row r="9" spans="1:254" s="18" customFormat="1" ht="12" customHeight="1" x14ac:dyDescent="0.2">
      <c r="B9" s="18" t="s">
        <v>48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  <c r="U9" s="20"/>
    </row>
    <row r="10" spans="1:254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  <c r="U10" s="20"/>
    </row>
    <row r="11" spans="1:254" ht="12" x14ac:dyDescent="0.25">
      <c r="B11" s="22" t="s">
        <v>49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54" ht="12" x14ac:dyDescent="0.25">
      <c r="B12" s="22"/>
      <c r="C12" s="28" t="s">
        <v>16</v>
      </c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50">
        <v>-249804</v>
      </c>
      <c r="R12" s="23"/>
      <c r="S12" s="23"/>
      <c r="T12" s="23"/>
      <c r="U12" s="24">
        <f>SUM(F12:T12)</f>
        <v>-249804</v>
      </c>
    </row>
    <row r="13" spans="1:254" ht="12" x14ac:dyDescent="0.25">
      <c r="B13" s="22"/>
      <c r="C13" s="11" t="s">
        <v>10</v>
      </c>
      <c r="F13" s="26"/>
      <c r="G13" s="24"/>
      <c r="H13" s="26"/>
      <c r="I13" s="24"/>
      <c r="J13" s="26"/>
      <c r="K13" s="26"/>
      <c r="L13" s="26"/>
      <c r="M13" s="26"/>
      <c r="N13" s="26"/>
      <c r="O13" s="26"/>
      <c r="P13" s="26"/>
      <c r="Q13" s="26">
        <v>0</v>
      </c>
      <c r="R13" s="26" t="s">
        <v>13</v>
      </c>
      <c r="S13" s="26">
        <v>3273126</v>
      </c>
      <c r="T13" s="26"/>
      <c r="U13" s="26">
        <f>SUM(F13:T13)</f>
        <v>3273126</v>
      </c>
    </row>
    <row r="14" spans="1:254" x14ac:dyDescent="0.2">
      <c r="C14" s="11" t="s">
        <v>13</v>
      </c>
      <c r="F14" s="23">
        <f>SUM(F13:F13)</f>
        <v>0</v>
      </c>
      <c r="G14" s="23"/>
      <c r="H14" s="23">
        <f>SUM(H13:H13)</f>
        <v>0</v>
      </c>
      <c r="I14" s="23"/>
      <c r="J14" s="23">
        <f>SUM(J13:J13)</f>
        <v>0</v>
      </c>
      <c r="K14" s="23">
        <f>SUM(K13:K13)</f>
        <v>0</v>
      </c>
      <c r="L14" s="23">
        <f>SUM(L13:L13)</f>
        <v>0</v>
      </c>
      <c r="M14" s="23">
        <f>SUM(M13:M13)</f>
        <v>0</v>
      </c>
      <c r="N14" s="23">
        <f>SUM(N13:N13)</f>
        <v>0</v>
      </c>
      <c r="O14" s="23">
        <f>SUM(O11:O13)</f>
        <v>0</v>
      </c>
      <c r="P14" s="23">
        <f>SUM(P11:P13)</f>
        <v>0</v>
      </c>
      <c r="Q14" s="23">
        <f>SUM(Q12:Q13)</f>
        <v>-249804</v>
      </c>
      <c r="R14" s="23">
        <f>SUM(R13:R13)</f>
        <v>0</v>
      </c>
      <c r="S14" s="23">
        <f>SUM(S13:S13)</f>
        <v>3273126</v>
      </c>
      <c r="T14" s="23"/>
      <c r="U14" s="23">
        <f>SUM(U11:U13)</f>
        <v>3023322</v>
      </c>
    </row>
    <row r="15" spans="1:254" ht="12" x14ac:dyDescent="0.25">
      <c r="B15" s="22" t="s">
        <v>14</v>
      </c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54" x14ac:dyDescent="0.2">
      <c r="B16" s="31"/>
      <c r="C16" s="30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2:21" x14ac:dyDescent="0.2">
      <c r="B17" s="31"/>
      <c r="C17" s="30" t="s">
        <v>18</v>
      </c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2:21" x14ac:dyDescent="0.2">
      <c r="B18" s="31"/>
      <c r="C18" s="11" t="s">
        <v>45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>
        <v>-60251</v>
      </c>
      <c r="R18" s="23"/>
      <c r="S18" s="23"/>
      <c r="T18" s="23"/>
      <c r="U18" s="24">
        <f t="shared" ref="U18:U25" si="0">SUM(F18:T18)</f>
        <v>-60251</v>
      </c>
    </row>
    <row r="19" spans="2:21" x14ac:dyDescent="0.2">
      <c r="B19" s="31"/>
      <c r="C19" s="11" t="s">
        <v>52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>
        <v>-18890</v>
      </c>
      <c r="T19" s="23"/>
      <c r="U19" s="24">
        <f t="shared" si="0"/>
        <v>-18890</v>
      </c>
    </row>
    <row r="20" spans="2:21" x14ac:dyDescent="0.2">
      <c r="B20" s="31"/>
      <c r="C20" s="11" t="s">
        <v>54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-20213</v>
      </c>
      <c r="T20" s="23"/>
      <c r="U20" s="24">
        <f t="shared" si="0"/>
        <v>-20213</v>
      </c>
    </row>
    <row r="21" spans="2:21" x14ac:dyDescent="0.2">
      <c r="B21" s="31"/>
      <c r="C21" s="11" t="s">
        <v>46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42413</v>
      </c>
      <c r="R21" s="23"/>
      <c r="S21" s="23"/>
      <c r="T21" s="23"/>
      <c r="U21" s="24">
        <f t="shared" si="0"/>
        <v>42413</v>
      </c>
    </row>
    <row r="22" spans="2:21" x14ac:dyDescent="0.2">
      <c r="B22" s="31"/>
      <c r="C22" s="11" t="s">
        <v>59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5050</v>
      </c>
      <c r="S22" s="23"/>
      <c r="T22" s="23"/>
      <c r="U22" s="24">
        <f t="shared" si="0"/>
        <v>5050</v>
      </c>
    </row>
    <row r="23" spans="2:21" x14ac:dyDescent="0.2">
      <c r="B23" s="31"/>
      <c r="C23" s="11" t="s">
        <v>61</v>
      </c>
      <c r="F23" s="23"/>
      <c r="G23" s="24"/>
      <c r="H23" s="23"/>
      <c r="I23" s="23"/>
      <c r="J23" s="23"/>
      <c r="K23" s="23"/>
      <c r="L23" s="23"/>
      <c r="M23" s="23"/>
      <c r="N23" s="23"/>
      <c r="O23" s="23">
        <v>27478</v>
      </c>
      <c r="P23" s="23">
        <v>-29943</v>
      </c>
      <c r="Q23" s="23">
        <v>109826</v>
      </c>
      <c r="R23" s="23"/>
      <c r="S23" s="23"/>
      <c r="T23" s="23"/>
      <c r="U23" s="24">
        <f t="shared" si="0"/>
        <v>107361</v>
      </c>
    </row>
    <row r="24" spans="2:21" x14ac:dyDescent="0.2">
      <c r="B24" s="31"/>
      <c r="C24" s="11" t="s">
        <v>60</v>
      </c>
      <c r="F24" s="23"/>
      <c r="G24" s="24"/>
      <c r="H24" s="23"/>
      <c r="I24" s="23"/>
      <c r="J24" s="23"/>
      <c r="K24" s="23"/>
      <c r="L24" s="23"/>
      <c r="M24" s="23"/>
      <c r="N24" s="23"/>
      <c r="O24" s="23">
        <v>-40599</v>
      </c>
      <c r="P24" s="23">
        <v>-31258</v>
      </c>
      <c r="Q24" s="23">
        <v>-80684</v>
      </c>
      <c r="R24" s="23">
        <v>-29782</v>
      </c>
      <c r="S24" s="23"/>
      <c r="T24" s="23"/>
      <c r="U24" s="24">
        <f t="shared" si="0"/>
        <v>-182323</v>
      </c>
    </row>
    <row r="25" spans="2:21" x14ac:dyDescent="0.2">
      <c r="B25" s="31"/>
      <c r="C25" s="11" t="s">
        <v>58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>
        <v>58347</v>
      </c>
      <c r="S25" s="23"/>
      <c r="T25" s="23"/>
      <c r="U25" s="24">
        <f t="shared" si="0"/>
        <v>58347</v>
      </c>
    </row>
    <row r="26" spans="2:21" x14ac:dyDescent="0.2">
      <c r="B26" s="31"/>
      <c r="C26" s="10" t="s">
        <v>25</v>
      </c>
      <c r="F26" s="26"/>
      <c r="G26" s="24"/>
      <c r="H26" s="26"/>
      <c r="I26" s="24"/>
      <c r="J26" s="32"/>
      <c r="K26" s="26"/>
      <c r="L26" s="26"/>
      <c r="M26" s="26"/>
      <c r="N26" s="26">
        <v>172286</v>
      </c>
      <c r="O26" s="26"/>
      <c r="P26" s="26"/>
      <c r="Q26" s="26"/>
      <c r="R26" s="26"/>
      <c r="S26" s="26"/>
      <c r="T26" s="26"/>
      <c r="U26" s="26">
        <f>SUM(F26:T26)</f>
        <v>172286</v>
      </c>
    </row>
    <row r="27" spans="2:21" x14ac:dyDescent="0.2">
      <c r="B27" s="31"/>
      <c r="C27" s="30"/>
      <c r="F27" s="23"/>
      <c r="G27" s="24"/>
      <c r="H27" s="23">
        <f>SUM(H18:H26)</f>
        <v>0</v>
      </c>
      <c r="I27" s="23"/>
      <c r="J27" s="23"/>
      <c r="K27" s="23">
        <f>SUM(K18:K26)</f>
        <v>0</v>
      </c>
      <c r="L27" s="23"/>
      <c r="M27" s="23">
        <f t="shared" ref="M27:S27" si="1">SUM(M18:M26)</f>
        <v>0</v>
      </c>
      <c r="N27" s="23">
        <f t="shared" si="1"/>
        <v>172286</v>
      </c>
      <c r="O27" s="23">
        <f t="shared" si="1"/>
        <v>-13121</v>
      </c>
      <c r="P27" s="23">
        <f t="shared" si="1"/>
        <v>-61201</v>
      </c>
      <c r="Q27" s="23">
        <f t="shared" si="1"/>
        <v>11304</v>
      </c>
      <c r="R27" s="23">
        <f t="shared" si="1"/>
        <v>33615</v>
      </c>
      <c r="S27" s="23">
        <f t="shared" si="1"/>
        <v>-39103</v>
      </c>
      <c r="T27" s="23"/>
      <c r="U27" s="23">
        <f>SUM(U18:U26)</f>
        <v>103780</v>
      </c>
    </row>
    <row r="28" spans="2:21" x14ac:dyDescent="0.2">
      <c r="B28" s="31"/>
      <c r="C28" s="30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2:21" x14ac:dyDescent="0.2">
      <c r="B29" s="31"/>
      <c r="C29" s="30" t="s">
        <v>26</v>
      </c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2:21" x14ac:dyDescent="0.2">
      <c r="B30" s="31"/>
      <c r="C30" s="11" t="s">
        <v>41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 t="s">
        <v>13</v>
      </c>
      <c r="Q30" s="23"/>
      <c r="R30" s="23">
        <v>199628</v>
      </c>
      <c r="S30" s="23"/>
      <c r="T30" s="23"/>
      <c r="U30" s="24">
        <f>SUM(F30:T30)</f>
        <v>199628</v>
      </c>
    </row>
    <row r="31" spans="2:21" x14ac:dyDescent="0.2">
      <c r="B31" s="31"/>
      <c r="C31" s="11" t="s">
        <v>57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>
        <v>15932</v>
      </c>
      <c r="T31" s="23"/>
      <c r="U31" s="24">
        <f>SUM(F31:T31)</f>
        <v>15932</v>
      </c>
    </row>
    <row r="32" spans="2:21" x14ac:dyDescent="0.2">
      <c r="B32" s="31"/>
      <c r="C32" s="11" t="s">
        <v>47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>
        <f>90105.5+9562.3</f>
        <v>99667.8</v>
      </c>
      <c r="Q32" s="23"/>
      <c r="R32" s="23"/>
      <c r="S32" s="23"/>
      <c r="T32" s="23"/>
      <c r="U32" s="24">
        <f>SUM(F32:T32)</f>
        <v>99667.8</v>
      </c>
    </row>
    <row r="33" spans="2:21" x14ac:dyDescent="0.2">
      <c r="B33" s="31"/>
      <c r="C33" s="11" t="s">
        <v>62</v>
      </c>
      <c r="F33" s="23">
        <f>139305-202133.07</f>
        <v>-62828.070000000007</v>
      </c>
      <c r="G33" s="24"/>
      <c r="H33" s="23">
        <f>9502+5868+2879</f>
        <v>18249</v>
      </c>
      <c r="I33" s="23"/>
      <c r="J33" s="23">
        <v>8194</v>
      </c>
      <c r="K33" s="23">
        <v>2204</v>
      </c>
      <c r="L33" s="23">
        <v>9719</v>
      </c>
      <c r="M33" s="23">
        <v>7479</v>
      </c>
      <c r="N33" s="23">
        <v>7727</v>
      </c>
      <c r="O33" s="23" t="s">
        <v>13</v>
      </c>
      <c r="P33" s="23"/>
      <c r="Q33" s="23"/>
      <c r="R33" s="23"/>
      <c r="S33" s="23"/>
      <c r="T33" s="23"/>
      <c r="U33" s="24">
        <f>SUM(F33:T33)</f>
        <v>-9256.070000000007</v>
      </c>
    </row>
    <row r="34" spans="2:21" x14ac:dyDescent="0.2">
      <c r="B34" s="31"/>
      <c r="C34" s="11" t="s">
        <v>44</v>
      </c>
      <c r="F34" s="26"/>
      <c r="G34" s="24"/>
      <c r="H34" s="26">
        <v>18599</v>
      </c>
      <c r="I34" s="23"/>
      <c r="J34" s="26">
        <v>94094</v>
      </c>
      <c r="K34" s="26">
        <v>62069</v>
      </c>
      <c r="L34" s="26">
        <v>37307</v>
      </c>
      <c r="M34" s="26">
        <v>122360</v>
      </c>
      <c r="N34" s="26"/>
      <c r="O34" s="26">
        <v>-106337</v>
      </c>
      <c r="P34" s="26"/>
      <c r="Q34" s="26">
        <v>-126586</v>
      </c>
      <c r="R34" s="26"/>
      <c r="S34" s="26"/>
      <c r="T34" s="26"/>
      <c r="U34" s="26">
        <f>SUM(F34:T34)</f>
        <v>101506</v>
      </c>
    </row>
    <row r="35" spans="2:21" x14ac:dyDescent="0.2">
      <c r="B35" s="31"/>
      <c r="C35" s="30"/>
      <c r="F35" s="23">
        <f>SUM(F30:F34)</f>
        <v>-62828.070000000007</v>
      </c>
      <c r="G35" s="24"/>
      <c r="H35" s="23">
        <f>SUM(H30:H34)</f>
        <v>36848</v>
      </c>
      <c r="I35" s="23"/>
      <c r="J35" s="23">
        <f t="shared" ref="J35:P35" si="2">SUM(J30:J34)</f>
        <v>102288</v>
      </c>
      <c r="K35" s="23">
        <f t="shared" si="2"/>
        <v>64273</v>
      </c>
      <c r="L35" s="23">
        <f t="shared" si="2"/>
        <v>47026</v>
      </c>
      <c r="M35" s="23">
        <f t="shared" si="2"/>
        <v>129839</v>
      </c>
      <c r="N35" s="23">
        <f t="shared" si="2"/>
        <v>7727</v>
      </c>
      <c r="O35" s="23">
        <f t="shared" si="2"/>
        <v>-106337</v>
      </c>
      <c r="P35" s="23">
        <f t="shared" si="2"/>
        <v>99667.8</v>
      </c>
      <c r="Q35" s="23">
        <f>SUM(Q34:Q34)</f>
        <v>-126586</v>
      </c>
      <c r="R35" s="23">
        <f>SUM(R30:R34)</f>
        <v>199628</v>
      </c>
      <c r="S35" s="23">
        <f>SUM(S30:S34)</f>
        <v>15932</v>
      </c>
      <c r="T35" s="23"/>
      <c r="U35" s="23">
        <f>SUM(U30:U34)</f>
        <v>407477.73</v>
      </c>
    </row>
    <row r="36" spans="2:21" x14ac:dyDescent="0.2">
      <c r="B36" s="31"/>
      <c r="C36" s="30" t="s">
        <v>15</v>
      </c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2:21" x14ac:dyDescent="0.2">
      <c r="B37" s="31"/>
      <c r="C37" s="11" t="s">
        <v>21</v>
      </c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>
        <v>120269</v>
      </c>
      <c r="R37" s="23"/>
      <c r="S37" s="23"/>
      <c r="T37" s="23"/>
      <c r="U37" s="24">
        <f>SUM(F37:T37)</f>
        <v>120269</v>
      </c>
    </row>
    <row r="38" spans="2:21" x14ac:dyDescent="0.2">
      <c r="B38" s="31"/>
      <c r="C38" s="11" t="s">
        <v>65</v>
      </c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1428734</v>
      </c>
      <c r="S38" s="23">
        <f>-555624+57040+282570-2088</f>
        <v>-218102</v>
      </c>
      <c r="T38" s="23"/>
      <c r="U38" s="24">
        <f>SUM(F38:T38)</f>
        <v>1210632</v>
      </c>
    </row>
    <row r="39" spans="2:21" x14ac:dyDescent="0.2">
      <c r="B39" s="31"/>
      <c r="C39" s="11" t="s">
        <v>66</v>
      </c>
      <c r="F39" s="23"/>
      <c r="G39" s="24"/>
      <c r="H39" s="24">
        <v>518978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>
        <f>SUM(F39:T39)</f>
        <v>518978</v>
      </c>
    </row>
    <row r="40" spans="2:21" x14ac:dyDescent="0.2">
      <c r="B40" s="31"/>
      <c r="C40" s="11" t="s">
        <v>56</v>
      </c>
      <c r="F40" s="26"/>
      <c r="G40" s="24"/>
      <c r="H40" s="26">
        <v>0</v>
      </c>
      <c r="I40" s="24"/>
      <c r="J40" s="26"/>
      <c r="K40" s="26">
        <v>-24800</v>
      </c>
      <c r="L40" s="26"/>
      <c r="M40" s="26">
        <v>376073</v>
      </c>
      <c r="N40" s="26">
        <f>865970-174878</f>
        <v>691092</v>
      </c>
      <c r="O40" s="26">
        <v>102820</v>
      </c>
      <c r="P40" s="26">
        <v>421158</v>
      </c>
      <c r="Q40" s="26">
        <f>-178539+486498</f>
        <v>307959</v>
      </c>
      <c r="R40" s="26">
        <v>0</v>
      </c>
      <c r="S40" s="26">
        <v>0</v>
      </c>
      <c r="T40" s="26"/>
      <c r="U40" s="26">
        <f>SUM(F40:T40)</f>
        <v>1874302</v>
      </c>
    </row>
    <row r="41" spans="2:21" x14ac:dyDescent="0.2">
      <c r="B41" s="31"/>
      <c r="C41" s="28"/>
      <c r="F41" s="23"/>
      <c r="G41" s="24"/>
      <c r="H41" s="23">
        <f>SUM(H37:H40)</f>
        <v>518978</v>
      </c>
      <c r="I41" s="23"/>
      <c r="J41" s="23"/>
      <c r="K41" s="23">
        <f>SUM(K40:K40)</f>
        <v>-24800</v>
      </c>
      <c r="L41" s="23"/>
      <c r="M41" s="23">
        <f>SUM(M40:M40)</f>
        <v>376073</v>
      </c>
      <c r="N41" s="23">
        <f>SUM(N40:N40)</f>
        <v>691092</v>
      </c>
      <c r="O41" s="23">
        <f>+O40</f>
        <v>102820</v>
      </c>
      <c r="P41" s="23">
        <f>+P40</f>
        <v>421158</v>
      </c>
      <c r="Q41" s="23">
        <f>SUM(Q37:Q40)</f>
        <v>428228</v>
      </c>
      <c r="R41" s="23">
        <f>SUM(R37:R40)</f>
        <v>1428734</v>
      </c>
      <c r="S41" s="23">
        <f>SUM(S37:S40)</f>
        <v>-218102</v>
      </c>
      <c r="T41" s="23"/>
      <c r="U41" s="23">
        <f>SUM(U37:U40)</f>
        <v>3724181</v>
      </c>
    </row>
    <row r="42" spans="2:21" x14ac:dyDescent="0.2">
      <c r="B42" s="31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2:21" x14ac:dyDescent="0.2">
      <c r="B43" s="31"/>
      <c r="C43" s="30" t="s">
        <v>33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2:21" x14ac:dyDescent="0.2">
      <c r="B44" s="31"/>
      <c r="C44" s="11" t="s">
        <v>56</v>
      </c>
      <c r="F44" s="26"/>
      <c r="G44" s="24"/>
      <c r="H44" s="26"/>
      <c r="I44" s="24"/>
      <c r="J44" s="26"/>
      <c r="K44" s="26"/>
      <c r="L44" s="26"/>
      <c r="M44" s="26"/>
      <c r="N44" s="26"/>
      <c r="O44" s="26"/>
      <c r="P44" s="26"/>
      <c r="Q44" s="26"/>
      <c r="R44" s="26"/>
      <c r="S44" s="26">
        <f>12423+150105</f>
        <v>162528</v>
      </c>
      <c r="T44" s="26"/>
      <c r="U44" s="26">
        <f>SUM(F44:T44)</f>
        <v>162528</v>
      </c>
    </row>
    <row r="45" spans="2:21" x14ac:dyDescent="0.2">
      <c r="Q45" s="49">
        <f>SUM(Q44:Q44)</f>
        <v>0</v>
      </c>
      <c r="S45" s="48">
        <f>SUM(S44:S44)</f>
        <v>162528</v>
      </c>
      <c r="U45" s="23">
        <f>SUM(U44:U44)</f>
        <v>162528</v>
      </c>
    </row>
    <row r="47" spans="2:21" x14ac:dyDescent="0.2">
      <c r="B47" s="31"/>
      <c r="C47" s="27" t="s">
        <v>30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2:21" customFormat="1" ht="13.2" x14ac:dyDescent="0.25">
      <c r="C48" s="24" t="s">
        <v>55</v>
      </c>
      <c r="D48" s="10"/>
      <c r="E48" s="11"/>
      <c r="F48" s="26"/>
      <c r="G48" s="23"/>
      <c r="H48" s="26">
        <v>0</v>
      </c>
      <c r="I48" s="24"/>
      <c r="J48" s="26"/>
      <c r="K48" s="26">
        <v>0</v>
      </c>
      <c r="L48" s="26"/>
      <c r="M48" s="26"/>
      <c r="N48" s="26"/>
      <c r="O48" s="26"/>
      <c r="P48" s="26"/>
      <c r="Q48" s="26"/>
      <c r="R48" s="26">
        <v>0</v>
      </c>
      <c r="S48" s="26">
        <v>0</v>
      </c>
      <c r="T48" s="26">
        <v>1125508</v>
      </c>
      <c r="U48" s="26">
        <f>SUM(F48:T48)</f>
        <v>1125508</v>
      </c>
    </row>
    <row r="49" spans="2:21" x14ac:dyDescent="0.2">
      <c r="C49" s="11" t="s">
        <v>13</v>
      </c>
      <c r="F49" s="23"/>
      <c r="G49" s="23"/>
      <c r="H49" s="23">
        <f>+H48</f>
        <v>0</v>
      </c>
      <c r="I49" s="23"/>
      <c r="J49" s="23"/>
      <c r="K49" s="23">
        <f>+K48</f>
        <v>0</v>
      </c>
      <c r="L49" s="23"/>
      <c r="M49" s="23"/>
      <c r="N49" s="23"/>
      <c r="O49" s="23"/>
      <c r="P49" s="23"/>
      <c r="Q49" s="23"/>
      <c r="R49" s="23">
        <f>+R48</f>
        <v>0</v>
      </c>
      <c r="S49" s="23">
        <f>+S48</f>
        <v>0</v>
      </c>
      <c r="T49" s="23">
        <f>+T48</f>
        <v>1125508</v>
      </c>
      <c r="U49" s="23">
        <f>SUM(U48)</f>
        <v>1125508</v>
      </c>
    </row>
    <row r="50" spans="2:21" x14ac:dyDescent="0.2">
      <c r="C50" s="30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2:21" ht="12" x14ac:dyDescent="0.25">
      <c r="B51" s="22" t="s">
        <v>50</v>
      </c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2:21" ht="12" x14ac:dyDescent="0.25">
      <c r="C52" s="22"/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2:21" ht="12" x14ac:dyDescent="0.25">
      <c r="C53" s="46" t="s">
        <v>18</v>
      </c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2:21" ht="11.4" x14ac:dyDescent="0.2">
      <c r="C54" s="47" t="s">
        <v>53</v>
      </c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 t="s">
        <v>13</v>
      </c>
      <c r="S54" s="23">
        <v>638402</v>
      </c>
      <c r="T54" s="23"/>
      <c r="U54" s="24">
        <f>SUM(F54:T54)</f>
        <v>638402</v>
      </c>
    </row>
    <row r="55" spans="2:21" ht="11.4" x14ac:dyDescent="0.2">
      <c r="B55" s="31"/>
      <c r="C55" s="51" t="s">
        <v>19</v>
      </c>
      <c r="F55" s="26"/>
      <c r="G55" s="24"/>
      <c r="H55" s="26"/>
      <c r="I55" s="23"/>
      <c r="J55" s="26"/>
      <c r="K55" s="26"/>
      <c r="L55" s="26"/>
      <c r="M55" s="26">
        <v>437721</v>
      </c>
      <c r="N55" s="26">
        <v>446593</v>
      </c>
      <c r="O55" s="26">
        <v>463849</v>
      </c>
      <c r="P55" s="26">
        <v>462076</v>
      </c>
      <c r="Q55" s="26">
        <v>445761</v>
      </c>
      <c r="R55" s="26">
        <f>489243</f>
        <v>489243</v>
      </c>
      <c r="S55" s="26"/>
      <c r="T55" s="26"/>
      <c r="U55" s="26">
        <f>SUM(F55:T55)</f>
        <v>2745243</v>
      </c>
    </row>
    <row r="56" spans="2:21" ht="12" x14ac:dyDescent="0.25">
      <c r="C56" s="22"/>
      <c r="F56" s="23">
        <f>SUM(F54:F55)</f>
        <v>0</v>
      </c>
      <c r="G56" s="24"/>
      <c r="H56" s="23">
        <f>SUM(H54:H55)</f>
        <v>0</v>
      </c>
      <c r="I56" s="24"/>
      <c r="J56" s="23">
        <f t="shared" ref="J56:S56" si="3">SUM(J54:J55)</f>
        <v>0</v>
      </c>
      <c r="K56" s="23">
        <f t="shared" si="3"/>
        <v>0</v>
      </c>
      <c r="L56" s="23">
        <f t="shared" si="3"/>
        <v>0</v>
      </c>
      <c r="M56" s="23">
        <f t="shared" si="3"/>
        <v>437721</v>
      </c>
      <c r="N56" s="23">
        <f t="shared" si="3"/>
        <v>446593</v>
      </c>
      <c r="O56" s="23">
        <f t="shared" si="3"/>
        <v>463849</v>
      </c>
      <c r="P56" s="23">
        <f t="shared" si="3"/>
        <v>462076</v>
      </c>
      <c r="Q56" s="23">
        <f t="shared" si="3"/>
        <v>445761</v>
      </c>
      <c r="R56" s="23">
        <f t="shared" si="3"/>
        <v>489243</v>
      </c>
      <c r="S56" s="23">
        <f t="shared" si="3"/>
        <v>638402</v>
      </c>
      <c r="T56" s="23"/>
      <c r="U56" s="23">
        <f>SUM(U54:U55)</f>
        <v>3383645</v>
      </c>
    </row>
    <row r="57" spans="2:21" ht="12" x14ac:dyDescent="0.25">
      <c r="C57" s="22"/>
      <c r="F57" s="23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2:21" ht="12" x14ac:dyDescent="0.25">
      <c r="C58" s="22"/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2:21" x14ac:dyDescent="0.2">
      <c r="B59" s="31"/>
      <c r="C59" s="30" t="s">
        <v>33</v>
      </c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2:21" x14ac:dyDescent="0.2">
      <c r="B60" s="31"/>
      <c r="C60" s="28" t="s">
        <v>42</v>
      </c>
      <c r="F60" s="23"/>
      <c r="G60" s="24"/>
      <c r="H60" s="23">
        <v>0</v>
      </c>
      <c r="I60" s="23"/>
      <c r="J60" s="23"/>
      <c r="K60" s="23">
        <v>0</v>
      </c>
      <c r="L60" s="23"/>
      <c r="M60" s="23"/>
      <c r="N60" s="23"/>
      <c r="O60" s="23"/>
      <c r="P60" s="23"/>
      <c r="Q60" s="23"/>
      <c r="R60" s="23">
        <v>0</v>
      </c>
      <c r="S60" s="23">
        <v>-91764</v>
      </c>
      <c r="T60" s="23"/>
      <c r="U60" s="24">
        <f>SUM(F60:T60)</f>
        <v>-91764</v>
      </c>
    </row>
    <row r="61" spans="2:21" x14ac:dyDescent="0.2">
      <c r="B61" s="31"/>
      <c r="C61" s="28" t="s">
        <v>64</v>
      </c>
      <c r="F61" s="23"/>
      <c r="G61" s="24"/>
      <c r="H61" s="23"/>
      <c r="I61" s="23"/>
      <c r="J61" s="23"/>
      <c r="K61" s="23"/>
      <c r="L61" s="23"/>
      <c r="M61" s="23"/>
      <c r="N61" s="23">
        <v>174878</v>
      </c>
      <c r="O61" s="23"/>
      <c r="P61" s="23"/>
      <c r="Q61" s="23"/>
      <c r="R61" s="23">
        <v>0</v>
      </c>
      <c r="S61" s="23"/>
      <c r="T61" s="23"/>
      <c r="U61" s="24">
        <f>SUM(F61:T61)</f>
        <v>174878</v>
      </c>
    </row>
    <row r="62" spans="2:21" x14ac:dyDescent="0.2">
      <c r="B62" s="31"/>
      <c r="C62" s="28" t="s">
        <v>63</v>
      </c>
      <c r="F62" s="26"/>
      <c r="G62" s="24"/>
      <c r="H62" s="26">
        <v>251640</v>
      </c>
      <c r="I62" s="24"/>
      <c r="J62" s="26"/>
      <c r="K62" s="26">
        <v>-209637</v>
      </c>
      <c r="L62" s="26"/>
      <c r="M62" s="26"/>
      <c r="N62" s="26"/>
      <c r="O62" s="26"/>
      <c r="P62" s="26"/>
      <c r="Q62" s="26">
        <v>-42003</v>
      </c>
      <c r="R62" s="26"/>
      <c r="S62" s="26"/>
      <c r="T62" s="26"/>
      <c r="U62" s="26">
        <f>SUM(F62:T62)</f>
        <v>0</v>
      </c>
    </row>
    <row r="63" spans="2:21" x14ac:dyDescent="0.2">
      <c r="C63" s="11" t="s">
        <v>13</v>
      </c>
      <c r="F63" s="23"/>
      <c r="G63" s="23"/>
      <c r="H63" s="23">
        <f>SUM(H60:H62)</f>
        <v>251640</v>
      </c>
      <c r="I63" s="23"/>
      <c r="J63" s="23"/>
      <c r="K63" s="23">
        <f>SUM(K60:K62)</f>
        <v>-209637</v>
      </c>
      <c r="L63" s="23"/>
      <c r="M63" s="23"/>
      <c r="N63" s="23">
        <f>SUM(N60:N62)</f>
        <v>174878</v>
      </c>
      <c r="O63" s="23"/>
      <c r="P63" s="23"/>
      <c r="Q63" s="23">
        <f>SUM(Q62:Q62)</f>
        <v>-42003</v>
      </c>
      <c r="R63" s="23">
        <f>SUM(R60:R62)</f>
        <v>0</v>
      </c>
      <c r="S63" s="23">
        <f>SUM(S60:S62)</f>
        <v>-91764</v>
      </c>
      <c r="T63" s="23"/>
      <c r="U63" s="23">
        <f>SUM(U60:U62)</f>
        <v>83114</v>
      </c>
    </row>
    <row r="64" spans="2:21" x14ac:dyDescent="0.2"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ht="19.5" customHeight="1" thickBot="1" x14ac:dyDescent="0.25">
      <c r="A65" s="18" t="s">
        <v>36</v>
      </c>
      <c r="F65" s="34">
        <f>+F63+F49+F41+F35+F27+F14+F56+F45</f>
        <v>-62828.070000000007</v>
      </c>
      <c r="G65" s="35"/>
      <c r="H65" s="34">
        <f>+H63+H49+H41+H35+H27+H14+H56+H45</f>
        <v>807466</v>
      </c>
      <c r="I65" s="25"/>
      <c r="J65" s="34">
        <f t="shared" ref="J65:U65" si="4">+J63+J49+J41+J35+J27+J14+J56+J45</f>
        <v>102288</v>
      </c>
      <c r="K65" s="34">
        <f t="shared" si="4"/>
        <v>-170164</v>
      </c>
      <c r="L65" s="34">
        <f t="shared" si="4"/>
        <v>47026</v>
      </c>
      <c r="M65" s="34">
        <f t="shared" si="4"/>
        <v>943633</v>
      </c>
      <c r="N65" s="34">
        <f t="shared" si="4"/>
        <v>1492576</v>
      </c>
      <c r="O65" s="34">
        <f t="shared" si="4"/>
        <v>447211</v>
      </c>
      <c r="P65" s="34">
        <f t="shared" si="4"/>
        <v>921700.8</v>
      </c>
      <c r="Q65" s="34">
        <f t="shared" si="4"/>
        <v>466900</v>
      </c>
      <c r="R65" s="34">
        <f t="shared" si="4"/>
        <v>2151220</v>
      </c>
      <c r="S65" s="34">
        <f t="shared" si="4"/>
        <v>3741019</v>
      </c>
      <c r="T65" s="34">
        <f t="shared" si="4"/>
        <v>1125508</v>
      </c>
      <c r="U65" s="34">
        <f t="shared" si="4"/>
        <v>12013555.73</v>
      </c>
    </row>
    <row r="66" spans="1:21" ht="10.8" thickTop="1" x14ac:dyDescent="0.2">
      <c r="F66" s="35"/>
      <c r="G66" s="36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x14ac:dyDescent="0.2">
      <c r="A67" s="18" t="s">
        <v>37</v>
      </c>
      <c r="F67" s="35">
        <f>F8-F65</f>
        <v>-1201.929999999993</v>
      </c>
      <c r="G67" s="35"/>
      <c r="H67" s="35">
        <f>H8-H65</f>
        <v>-948</v>
      </c>
      <c r="I67" s="35"/>
      <c r="J67" s="35">
        <f t="shared" ref="J67:U67" si="5">J8-J65</f>
        <v>-477</v>
      </c>
      <c r="K67" s="35">
        <f t="shared" si="5"/>
        <v>2681</v>
      </c>
      <c r="L67" s="35">
        <f t="shared" si="5"/>
        <v>-2007</v>
      </c>
      <c r="M67" s="35">
        <f t="shared" si="5"/>
        <v>-1683</v>
      </c>
      <c r="N67" s="35">
        <f t="shared" si="5"/>
        <v>157</v>
      </c>
      <c r="O67" s="35">
        <f t="shared" si="5"/>
        <v>5452</v>
      </c>
      <c r="P67" s="35">
        <f t="shared" si="5"/>
        <v>-309.80000000004657</v>
      </c>
      <c r="Q67" s="35">
        <f t="shared" si="5"/>
        <v>-1069</v>
      </c>
      <c r="R67" s="35">
        <f t="shared" si="5"/>
        <v>3475</v>
      </c>
      <c r="S67" s="35">
        <f t="shared" si="5"/>
        <v>0</v>
      </c>
      <c r="T67" s="35">
        <f t="shared" si="5"/>
        <v>0</v>
      </c>
      <c r="U67" s="35">
        <f t="shared" si="5"/>
        <v>4069.269999999553</v>
      </c>
    </row>
    <row r="70" spans="1:21" x14ac:dyDescent="0.2">
      <c r="U70" s="39"/>
    </row>
  </sheetData>
  <mergeCells count="4">
    <mergeCell ref="A1:U1"/>
    <mergeCell ref="A2:U2"/>
    <mergeCell ref="A3:U3"/>
    <mergeCell ref="A4:U4"/>
  </mergeCells>
  <pageMargins left="0.75" right="0.75" top="1" bottom="1" header="0.5" footer="0.5"/>
  <pageSetup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56"/>
  <sheetViews>
    <sheetView topLeftCell="B17" workbookViewId="0">
      <pane xSplit="2" topLeftCell="G1" activePane="topRight" state="frozen"/>
      <selection activeCell="B6" sqref="B6"/>
      <selection pane="topRight" activeCell="G47" sqref="G47"/>
    </sheetView>
  </sheetViews>
  <sheetFormatPr defaultColWidth="9.109375" defaultRowHeight="10.199999999999999" x14ac:dyDescent="0.2"/>
  <cols>
    <col min="1" max="1" width="2.6640625" style="10" customWidth="1"/>
    <col min="2" max="2" width="4.33203125" style="10" customWidth="1"/>
    <col min="3" max="3" width="54.88671875" style="11" customWidth="1"/>
    <col min="4" max="4" width="5.6640625" style="10" customWidth="1"/>
    <col min="5" max="5" width="4.33203125" style="11" customWidth="1"/>
    <col min="6" max="6" width="14" style="10" customWidth="1"/>
    <col min="7" max="7" width="3.44140625" style="11" customWidth="1"/>
    <col min="8" max="8" width="11.6640625" style="10" customWidth="1"/>
    <col min="9" max="9" width="4.88671875" style="10" customWidth="1"/>
    <col min="10" max="10" width="11.6640625" style="10" customWidth="1"/>
    <col min="11" max="11" width="13" style="10" customWidth="1"/>
    <col min="12" max="13" width="11.6640625" style="10" customWidth="1"/>
    <col min="14" max="14" width="13" style="38" customWidth="1"/>
    <col min="15" max="15" width="13" style="10" customWidth="1"/>
    <col min="16" max="16" width="13.5546875" style="38" customWidth="1"/>
    <col min="17" max="17" width="13.109375" style="11" customWidth="1"/>
    <col min="18" max="18" width="13.5546875" style="10" customWidth="1"/>
    <col min="19" max="19" width="11.5546875" style="10" customWidth="1"/>
    <col min="20" max="20" width="13.5546875" style="10" customWidth="1"/>
    <col min="21" max="16384" width="9.109375" style="10"/>
  </cols>
  <sheetData>
    <row r="1" spans="1:253" s="1" customFormat="1" ht="15.7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53" s="3" customFormat="1" ht="20.399999999999999" x14ac:dyDescent="0.3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</row>
    <row r="3" spans="1:253" s="5" customFormat="1" ht="15.6" x14ac:dyDescent="0.3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</row>
    <row r="4" spans="1:253" s="7" customFormat="1" x14ac:dyDescent="0.2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</row>
    <row r="5" spans="1:253" ht="13.2" x14ac:dyDescent="0.25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</row>
    <row r="6" spans="1:253" ht="30.75" customHeight="1" x14ac:dyDescent="0.25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</row>
    <row r="7" spans="1:253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40" t="s">
        <v>40</v>
      </c>
      <c r="T7" s="12" t="s">
        <v>6</v>
      </c>
    </row>
    <row r="8" spans="1:253" s="14" customFormat="1" ht="21.75" customHeight="1" x14ac:dyDescent="0.25">
      <c r="A8" s="14" t="s">
        <v>7</v>
      </c>
      <c r="C8" s="15"/>
      <c r="F8" s="16">
        <v>-2354</v>
      </c>
      <c r="G8" s="16"/>
      <c r="H8" s="16">
        <f>888771-44088-55467</f>
        <v>789216</v>
      </c>
      <c r="I8" s="16"/>
      <c r="J8" s="16">
        <v>94094</v>
      </c>
      <c r="K8" s="16">
        <v>-172368</v>
      </c>
      <c r="L8" s="16">
        <v>37306</v>
      </c>
      <c r="M8" s="16">
        <v>765506</v>
      </c>
      <c r="N8" s="17">
        <v>1315224</v>
      </c>
      <c r="O8" s="16">
        <v>364793</v>
      </c>
      <c r="P8" s="17">
        <v>813675</v>
      </c>
      <c r="Q8" s="16">
        <v>257722</v>
      </c>
      <c r="R8" s="16">
        <v>1687718</v>
      </c>
      <c r="S8" s="16">
        <v>173266</v>
      </c>
      <c r="T8" s="16">
        <f>SUM(F8:S8)</f>
        <v>6123798</v>
      </c>
    </row>
    <row r="9" spans="1:253" s="18" customFormat="1" ht="12" customHeight="1" x14ac:dyDescent="0.2">
      <c r="B9" s="18" t="s">
        <v>38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</row>
    <row r="10" spans="1:253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</row>
    <row r="11" spans="1:253" ht="12" x14ac:dyDescent="0.25">
      <c r="B11" s="22" t="s">
        <v>39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53" x14ac:dyDescent="0.2">
      <c r="C12" s="28" t="s">
        <v>17</v>
      </c>
      <c r="D12" s="29"/>
      <c r="F12" s="24">
        <v>-2354</v>
      </c>
      <c r="G12" s="24"/>
      <c r="H12" s="24"/>
      <c r="I12" s="24"/>
      <c r="J12" s="24"/>
      <c r="K12" s="24"/>
      <c r="L12" s="24"/>
      <c r="M12" s="24">
        <f>-170648</f>
        <v>-170648</v>
      </c>
      <c r="N12" s="24">
        <v>-169625</v>
      </c>
      <c r="O12" s="24">
        <f>-163000+38876+28585</f>
        <v>-95539</v>
      </c>
      <c r="P12" s="24">
        <f>-167628+-1599</f>
        <v>-169227</v>
      </c>
      <c r="Q12" s="24">
        <f>-161325-12640</f>
        <v>-173965</v>
      </c>
      <c r="R12" s="24">
        <v>-165730</v>
      </c>
      <c r="S12" s="24"/>
      <c r="T12" s="24">
        <f>SUM(F12:S12)</f>
        <v>-947088</v>
      </c>
    </row>
    <row r="13" spans="1:253" x14ac:dyDescent="0.2">
      <c r="C13" s="28" t="s">
        <v>16</v>
      </c>
      <c r="D13" s="29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>
        <v>-249804</v>
      </c>
      <c r="R13" s="24"/>
      <c r="S13" s="24"/>
      <c r="T13" s="24">
        <f>SUM(F13:S13)</f>
        <v>-249804</v>
      </c>
    </row>
    <row r="14" spans="1:253" ht="12" x14ac:dyDescent="0.25">
      <c r="B14" s="22"/>
      <c r="C14" s="11" t="s">
        <v>10</v>
      </c>
      <c r="F14" s="26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>
        <v>0</v>
      </c>
      <c r="R14" s="26">
        <v>-245663</v>
      </c>
      <c r="S14" s="26"/>
      <c r="T14" s="26">
        <f>SUM(F14:S14)</f>
        <v>-245663</v>
      </c>
    </row>
    <row r="15" spans="1:253" x14ac:dyDescent="0.2">
      <c r="C15" s="11" t="s">
        <v>13</v>
      </c>
      <c r="F15" s="23">
        <f>SUM(F12:F14)</f>
        <v>-2354</v>
      </c>
      <c r="G15" s="23"/>
      <c r="H15" s="23">
        <f>SUM(H14:H14)</f>
        <v>0</v>
      </c>
      <c r="I15" s="23"/>
      <c r="J15" s="23">
        <f>SUM(J14:J14)</f>
        <v>0</v>
      </c>
      <c r="K15" s="23">
        <f>SUM(K14:K14)</f>
        <v>0</v>
      </c>
      <c r="L15" s="23">
        <f>SUM(L14:L14)</f>
        <v>0</v>
      </c>
      <c r="M15" s="23">
        <f>SUM(M12:M14)</f>
        <v>-170648</v>
      </c>
      <c r="N15" s="23">
        <f>SUM(N12:N14)</f>
        <v>-169625</v>
      </c>
      <c r="O15" s="23">
        <f>SUM(O11:O14)</f>
        <v>-95539</v>
      </c>
      <c r="P15" s="23">
        <f>SUM(P11:P14)</f>
        <v>-169227</v>
      </c>
      <c r="Q15" s="23">
        <f>SUM(Q12:Q14)</f>
        <v>-423769</v>
      </c>
      <c r="R15" s="23">
        <f>SUM(R12:R14)</f>
        <v>-411393</v>
      </c>
      <c r="S15" s="23"/>
      <c r="T15" s="23">
        <f>SUM(T11:T14)</f>
        <v>-1442555</v>
      </c>
    </row>
    <row r="16" spans="1:253" ht="12" x14ac:dyDescent="0.25">
      <c r="B16" s="22" t="s">
        <v>14</v>
      </c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2:20" x14ac:dyDescent="0.2">
      <c r="B17" s="31"/>
      <c r="C17" s="30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2:20" x14ac:dyDescent="0.2">
      <c r="B18" s="31"/>
      <c r="C18" s="30" t="s">
        <v>18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2:20" x14ac:dyDescent="0.2">
      <c r="B19" s="31"/>
      <c r="C19" s="11" t="s">
        <v>19</v>
      </c>
      <c r="F19" s="23"/>
      <c r="G19" s="24"/>
      <c r="H19" s="23"/>
      <c r="I19" s="23"/>
      <c r="J19" s="23"/>
      <c r="K19" s="23"/>
      <c r="L19" s="23"/>
      <c r="M19" s="23">
        <v>437721</v>
      </c>
      <c r="N19" s="23">
        <v>446593</v>
      </c>
      <c r="O19" s="23">
        <v>463849</v>
      </c>
      <c r="P19" s="23">
        <v>462076</v>
      </c>
      <c r="Q19" s="23">
        <v>445761</v>
      </c>
      <c r="R19" s="23">
        <v>489243</v>
      </c>
      <c r="S19" s="23"/>
      <c r="T19" s="24">
        <f t="shared" ref="T19:T27" si="0">SUM(F19:S19)</f>
        <v>2745243</v>
      </c>
    </row>
    <row r="20" spans="2:20" x14ac:dyDescent="0.2">
      <c r="B20" s="31"/>
      <c r="C20" s="11" t="s">
        <v>20</v>
      </c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>
        <v>-834970</v>
      </c>
      <c r="R20" s="23"/>
      <c r="S20" s="23"/>
      <c r="T20" s="24">
        <f t="shared" si="0"/>
        <v>-834970</v>
      </c>
    </row>
    <row r="21" spans="2:20" x14ac:dyDescent="0.2">
      <c r="B21" s="31"/>
      <c r="C21" s="11" t="s">
        <v>21</v>
      </c>
      <c r="F21" s="23"/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>
        <v>120269</v>
      </c>
      <c r="R21" s="23"/>
      <c r="S21" s="23"/>
      <c r="T21" s="24">
        <f t="shared" si="0"/>
        <v>120269</v>
      </c>
    </row>
    <row r="22" spans="2:20" x14ac:dyDescent="0.2">
      <c r="B22" s="31"/>
      <c r="C22" s="11" t="s">
        <v>22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>
        <v>786896</v>
      </c>
      <c r="R22" s="23"/>
      <c r="S22" s="23"/>
      <c r="T22" s="24">
        <f t="shared" si="0"/>
        <v>786896</v>
      </c>
    </row>
    <row r="23" spans="2:20" x14ac:dyDescent="0.2">
      <c r="B23" s="31"/>
      <c r="C23" s="11" t="s">
        <v>23</v>
      </c>
      <c r="F23" s="23"/>
      <c r="G23" s="24"/>
      <c r="H23" s="23"/>
      <c r="I23" s="23"/>
      <c r="J23" s="23"/>
      <c r="K23" s="23">
        <f>-1169010+959373</f>
        <v>-209637</v>
      </c>
      <c r="L23" s="23"/>
      <c r="M23" s="23"/>
      <c r="N23" s="23"/>
      <c r="O23" s="23"/>
      <c r="P23" s="23"/>
      <c r="Q23" s="23"/>
      <c r="R23" s="23"/>
      <c r="S23" s="23"/>
      <c r="T23" s="24">
        <f t="shared" si="0"/>
        <v>-209637</v>
      </c>
    </row>
    <row r="24" spans="2:20" x14ac:dyDescent="0.2">
      <c r="B24" s="31"/>
      <c r="C24" s="11" t="s">
        <v>24</v>
      </c>
      <c r="F24" s="23"/>
      <c r="G24" s="24"/>
      <c r="H24" s="23">
        <v>251640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>
        <f t="shared" si="0"/>
        <v>251640</v>
      </c>
    </row>
    <row r="25" spans="2:20" x14ac:dyDescent="0.2">
      <c r="B25" s="31"/>
      <c r="C25" s="11" t="s">
        <v>45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>
        <v>-60251</v>
      </c>
      <c r="R25" s="23"/>
      <c r="S25" s="23"/>
      <c r="T25" s="24">
        <f t="shared" si="0"/>
        <v>-60251</v>
      </c>
    </row>
    <row r="26" spans="2:20" x14ac:dyDescent="0.2">
      <c r="B26" s="31"/>
      <c r="C26" s="11" t="s">
        <v>46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>
        <v>42413</v>
      </c>
      <c r="R26" s="23"/>
      <c r="S26" s="23"/>
      <c r="T26" s="24">
        <f t="shared" si="0"/>
        <v>42413</v>
      </c>
    </row>
    <row r="27" spans="2:20" x14ac:dyDescent="0.2">
      <c r="B27" s="31"/>
      <c r="C27" s="10" t="s">
        <v>25</v>
      </c>
      <c r="F27" s="26"/>
      <c r="G27" s="24"/>
      <c r="H27" s="26"/>
      <c r="I27" s="26"/>
      <c r="J27" s="32"/>
      <c r="K27" s="26"/>
      <c r="L27" s="26"/>
      <c r="M27" s="26"/>
      <c r="N27" s="26">
        <v>172286</v>
      </c>
      <c r="O27" s="26"/>
      <c r="P27" s="26"/>
      <c r="Q27" s="26"/>
      <c r="R27" s="26"/>
      <c r="S27" s="26"/>
      <c r="T27" s="26">
        <f t="shared" si="0"/>
        <v>172286</v>
      </c>
    </row>
    <row r="28" spans="2:20" x14ac:dyDescent="0.2">
      <c r="B28" s="31"/>
      <c r="C28" s="30"/>
      <c r="F28" s="23"/>
      <c r="G28" s="24"/>
      <c r="H28" s="23">
        <f>SUM(H19:H27)</f>
        <v>251640</v>
      </c>
      <c r="I28" s="23"/>
      <c r="J28" s="23"/>
      <c r="K28" s="23">
        <f>SUM(K19:K27)</f>
        <v>-209637</v>
      </c>
      <c r="L28" s="23"/>
      <c r="M28" s="23">
        <f t="shared" ref="M28:R28" si="1">SUM(M19:M27)</f>
        <v>437721</v>
      </c>
      <c r="N28" s="23">
        <f t="shared" si="1"/>
        <v>618879</v>
      </c>
      <c r="O28" s="23">
        <f t="shared" si="1"/>
        <v>463849</v>
      </c>
      <c r="P28" s="23">
        <f t="shared" si="1"/>
        <v>462076</v>
      </c>
      <c r="Q28" s="23">
        <f t="shared" si="1"/>
        <v>500118</v>
      </c>
      <c r="R28" s="23">
        <f t="shared" si="1"/>
        <v>489243</v>
      </c>
      <c r="S28" s="23"/>
      <c r="T28" s="23">
        <f>SUM(T19:T27)</f>
        <v>3013889</v>
      </c>
    </row>
    <row r="29" spans="2:20" x14ac:dyDescent="0.2">
      <c r="B29" s="31"/>
      <c r="C29" s="30"/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2:20" x14ac:dyDescent="0.2">
      <c r="B30" s="31"/>
      <c r="C30" s="30" t="s">
        <v>26</v>
      </c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2:20" x14ac:dyDescent="0.2">
      <c r="B31" s="31"/>
      <c r="C31" s="11" t="s">
        <v>41</v>
      </c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 t="s">
        <v>13</v>
      </c>
      <c r="Q31" s="23"/>
      <c r="R31" s="23">
        <v>199628</v>
      </c>
      <c r="S31" s="23"/>
      <c r="T31" s="24">
        <f>SUM(F31:S31)</f>
        <v>199628</v>
      </c>
    </row>
    <row r="32" spans="2:20" x14ac:dyDescent="0.2">
      <c r="B32" s="31"/>
      <c r="C32" s="11" t="s">
        <v>47</v>
      </c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>
        <f>90105.5+9562.3</f>
        <v>99667.8</v>
      </c>
      <c r="Q32" s="23"/>
      <c r="R32" s="23"/>
      <c r="S32" s="23"/>
      <c r="T32" s="24">
        <f>SUM(F32:S32)</f>
        <v>99667.8</v>
      </c>
    </row>
    <row r="33" spans="2:20" x14ac:dyDescent="0.2">
      <c r="B33" s="31"/>
      <c r="C33" s="11" t="s">
        <v>44</v>
      </c>
      <c r="F33" s="23"/>
      <c r="G33" s="24"/>
      <c r="H33" s="23">
        <v>18599</v>
      </c>
      <c r="I33" s="23"/>
      <c r="J33" s="23">
        <v>94094</v>
      </c>
      <c r="K33" s="23">
        <v>62069</v>
      </c>
      <c r="L33" s="23">
        <v>37307</v>
      </c>
      <c r="M33" s="23">
        <v>122360</v>
      </c>
      <c r="N33" s="23"/>
      <c r="O33" s="23">
        <v>-106337</v>
      </c>
      <c r="P33" s="23"/>
      <c r="Q33" s="23">
        <v>-126586</v>
      </c>
      <c r="R33" s="23"/>
      <c r="S33" s="23"/>
      <c r="T33" s="24">
        <f>SUM(F33:S33)</f>
        <v>101506</v>
      </c>
    </row>
    <row r="34" spans="2:20" x14ac:dyDescent="0.2">
      <c r="B34" s="31"/>
      <c r="C34" s="28" t="s">
        <v>27</v>
      </c>
      <c r="F34" s="26"/>
      <c r="G34" s="24"/>
      <c r="H34" s="26"/>
      <c r="I34" s="26"/>
      <c r="J34" s="26"/>
      <c r="K34" s="26"/>
      <c r="L34" s="26"/>
      <c r="M34" s="26"/>
      <c r="N34" s="26"/>
      <c r="O34" s="26"/>
      <c r="P34" s="26"/>
      <c r="Q34" s="26">
        <v>0</v>
      </c>
      <c r="R34" s="26">
        <f>-81177</f>
        <v>-81177</v>
      </c>
      <c r="S34" s="26"/>
      <c r="T34" s="26">
        <f>SUM(F34:S34)</f>
        <v>-81177</v>
      </c>
    </row>
    <row r="35" spans="2:20" x14ac:dyDescent="0.2">
      <c r="B35" s="31"/>
      <c r="C35" s="30"/>
      <c r="F35" s="23"/>
      <c r="G35" s="24"/>
      <c r="H35" s="23">
        <f>SUM(H33:H34)</f>
        <v>18599</v>
      </c>
      <c r="I35" s="23"/>
      <c r="J35" s="23">
        <f>SUM(J33:J34)</f>
        <v>94094</v>
      </c>
      <c r="K35" s="23">
        <f>SUM(K33:K34)</f>
        <v>62069</v>
      </c>
      <c r="L35" s="23">
        <f>SUM(L33:L34)</f>
        <v>37307</v>
      </c>
      <c r="M35" s="23">
        <f>SUM(M33:M34)</f>
        <v>122360</v>
      </c>
      <c r="N35" s="23"/>
      <c r="O35" s="23">
        <f>SUM(O33:O34)</f>
        <v>-106337</v>
      </c>
      <c r="P35" s="23">
        <f>SUM(P31:P34)</f>
        <v>99667.8</v>
      </c>
      <c r="Q35" s="23">
        <f>SUM(Q33:Q34)</f>
        <v>-126586</v>
      </c>
      <c r="R35" s="23">
        <f>SUM(R31:R34)</f>
        <v>118451</v>
      </c>
      <c r="S35" s="23"/>
      <c r="T35" s="23">
        <f>SUM(T31:T34)</f>
        <v>319624.8</v>
      </c>
    </row>
    <row r="36" spans="2:20" x14ac:dyDescent="0.2">
      <c r="B36" s="31"/>
      <c r="C36" s="30" t="s">
        <v>28</v>
      </c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spans="2:20" x14ac:dyDescent="0.2">
      <c r="B37" s="31"/>
      <c r="C37" s="11" t="s">
        <v>29</v>
      </c>
      <c r="F37" s="26"/>
      <c r="G37" s="24"/>
      <c r="H37" s="26"/>
      <c r="I37" s="26"/>
      <c r="J37" s="26"/>
      <c r="K37" s="26"/>
      <c r="L37" s="26"/>
      <c r="M37" s="26">
        <v>376073</v>
      </c>
      <c r="N37" s="26">
        <f>865970</f>
        <v>865970</v>
      </c>
      <c r="O37" s="26">
        <v>102820</v>
      </c>
      <c r="P37" s="26">
        <v>421158</v>
      </c>
      <c r="Q37" s="26">
        <f>-178539+486498</f>
        <v>307959</v>
      </c>
      <c r="R37" s="26"/>
      <c r="S37" s="26"/>
      <c r="T37" s="26">
        <f>SUM(F37:S37)</f>
        <v>2073980</v>
      </c>
    </row>
    <row r="38" spans="2:20" x14ac:dyDescent="0.2">
      <c r="B38" s="31"/>
      <c r="C38" s="28"/>
      <c r="F38" s="23"/>
      <c r="G38" s="24"/>
      <c r="H38" s="23"/>
      <c r="I38" s="23"/>
      <c r="J38" s="23"/>
      <c r="K38" s="23"/>
      <c r="L38" s="23"/>
      <c r="M38" s="23">
        <f>SUM(M37:M37)</f>
        <v>376073</v>
      </c>
      <c r="N38" s="23">
        <f>SUM(N37:N37)</f>
        <v>865970</v>
      </c>
      <c r="O38" s="23">
        <f>+O37</f>
        <v>102820</v>
      </c>
      <c r="P38" s="23">
        <f>+P37</f>
        <v>421158</v>
      </c>
      <c r="Q38" s="23">
        <f>+Q37</f>
        <v>307959</v>
      </c>
      <c r="R38" s="23">
        <f>+R37</f>
        <v>0</v>
      </c>
      <c r="S38" s="23"/>
      <c r="T38" s="23">
        <f>SUM(T37:T37)</f>
        <v>2073980</v>
      </c>
    </row>
    <row r="39" spans="2:20" x14ac:dyDescent="0.2">
      <c r="B39" s="31"/>
      <c r="C39" s="27" t="s">
        <v>30</v>
      </c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2:20" customFormat="1" ht="13.2" x14ac:dyDescent="0.25">
      <c r="C40" s="24" t="s">
        <v>31</v>
      </c>
      <c r="D40" s="10"/>
      <c r="E40" s="11"/>
      <c r="F40" s="26"/>
      <c r="G40" s="23"/>
      <c r="H40" s="26">
        <v>518978</v>
      </c>
      <c r="I40" s="26"/>
      <c r="J40" s="26"/>
      <c r="K40" s="26">
        <v>-24800</v>
      </c>
      <c r="L40" s="26"/>
      <c r="M40" s="26"/>
      <c r="N40" s="26"/>
      <c r="O40" s="26"/>
      <c r="P40" s="26"/>
      <c r="Q40" s="26"/>
      <c r="R40" s="26">
        <v>1260707</v>
      </c>
      <c r="S40" s="26">
        <v>173266</v>
      </c>
      <c r="T40" s="26">
        <f>SUM(F40:S40)</f>
        <v>1928151</v>
      </c>
    </row>
    <row r="41" spans="2:20" x14ac:dyDescent="0.2">
      <c r="C41" s="11" t="s">
        <v>13</v>
      </c>
      <c r="F41" s="23"/>
      <c r="G41" s="23"/>
      <c r="H41" s="23">
        <f>+H40</f>
        <v>518978</v>
      </c>
      <c r="I41" s="23"/>
      <c r="J41" s="23"/>
      <c r="K41" s="23">
        <f>+K40</f>
        <v>-24800</v>
      </c>
      <c r="L41" s="23"/>
      <c r="M41" s="23"/>
      <c r="N41" s="23"/>
      <c r="O41" s="23"/>
      <c r="P41" s="23"/>
      <c r="Q41" s="23"/>
      <c r="R41" s="23">
        <f>+R40</f>
        <v>1260707</v>
      </c>
      <c r="S41" s="23">
        <f>+S40</f>
        <v>173266</v>
      </c>
      <c r="T41" s="23">
        <f>SUM(T40)</f>
        <v>1928151</v>
      </c>
    </row>
    <row r="42" spans="2:20" x14ac:dyDescent="0.2">
      <c r="C42" s="3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2:20" ht="12" x14ac:dyDescent="0.25">
      <c r="B43" s="22" t="s">
        <v>32</v>
      </c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2:20" ht="12" x14ac:dyDescent="0.25">
      <c r="C44" s="22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2:20" x14ac:dyDescent="0.2">
      <c r="B45" s="31"/>
      <c r="C45" s="30" t="s">
        <v>33</v>
      </c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 spans="2:20" x14ac:dyDescent="0.2">
      <c r="B46" s="31"/>
      <c r="C46" s="28" t="s">
        <v>42</v>
      </c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162912</v>
      </c>
      <c r="S46" s="23"/>
      <c r="T46" s="24">
        <f>SUM(F46:S46)</f>
        <v>162912</v>
      </c>
    </row>
    <row r="47" spans="2:20" x14ac:dyDescent="0.2">
      <c r="B47" s="31"/>
      <c r="C47" s="28" t="s">
        <v>43</v>
      </c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>
        <v>67798</v>
      </c>
      <c r="S47" s="23"/>
      <c r="T47" s="24">
        <f>SUM(F47:S47)</f>
        <v>67798</v>
      </c>
    </row>
    <row r="48" spans="2:20" x14ac:dyDescent="0.2">
      <c r="B48" s="31"/>
      <c r="C48" s="28" t="s">
        <v>35</v>
      </c>
      <c r="F48" s="26"/>
      <c r="G48" s="24"/>
      <c r="H48" s="26"/>
      <c r="I48" s="26"/>
      <c r="J48" s="26"/>
      <c r="K48" s="26"/>
      <c r="L48" s="26"/>
      <c r="M48" s="26"/>
      <c r="N48" s="26"/>
      <c r="O48" s="26"/>
      <c r="P48" s="26"/>
      <c r="Q48" s="26">
        <v>0</v>
      </c>
      <c r="R48" s="26"/>
      <c r="S48" s="26"/>
      <c r="T48" s="26">
        <f>SUM(F48:S48)</f>
        <v>0</v>
      </c>
    </row>
    <row r="49" spans="1:20" x14ac:dyDescent="0.2">
      <c r="C49" s="11" t="s">
        <v>13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>
        <f>SUM(Q48:Q48)</f>
        <v>0</v>
      </c>
      <c r="R49" s="23">
        <f>SUM(R46:R48)</f>
        <v>230710</v>
      </c>
      <c r="S49" s="23"/>
      <c r="T49" s="23">
        <f>SUM(T46:T48)</f>
        <v>230710</v>
      </c>
    </row>
    <row r="50" spans="1:20" x14ac:dyDescent="0.2"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 spans="1:20" ht="19.5" customHeight="1" thickBot="1" x14ac:dyDescent="0.25">
      <c r="A51" s="18" t="s">
        <v>36</v>
      </c>
      <c r="F51" s="34">
        <f>+F49+F41+F38+F35+F28+F15</f>
        <v>-2354</v>
      </c>
      <c r="G51" s="35"/>
      <c r="H51" s="34">
        <f>+H49+H41+H38+H35+H28+H15</f>
        <v>789217</v>
      </c>
      <c r="I51" s="25"/>
      <c r="J51" s="34">
        <f t="shared" ref="J51:S51" si="2">+J49+J41+J38+J35+J28+J15</f>
        <v>94094</v>
      </c>
      <c r="K51" s="34">
        <f t="shared" si="2"/>
        <v>-172368</v>
      </c>
      <c r="L51" s="34">
        <f t="shared" si="2"/>
        <v>37307</v>
      </c>
      <c r="M51" s="34">
        <f t="shared" si="2"/>
        <v>765506</v>
      </c>
      <c r="N51" s="34">
        <f t="shared" si="2"/>
        <v>1315224</v>
      </c>
      <c r="O51" s="34">
        <f t="shared" si="2"/>
        <v>364793</v>
      </c>
      <c r="P51" s="34">
        <f t="shared" si="2"/>
        <v>813674.8</v>
      </c>
      <c r="Q51" s="34">
        <f t="shared" si="2"/>
        <v>257722</v>
      </c>
      <c r="R51" s="34">
        <f t="shared" si="2"/>
        <v>1687718</v>
      </c>
      <c r="S51" s="34">
        <f t="shared" si="2"/>
        <v>173266</v>
      </c>
      <c r="T51" s="34">
        <f>+T49+T41+T38+T35+T28+T15</f>
        <v>6123799.7999999998</v>
      </c>
    </row>
    <row r="52" spans="1:20" ht="10.8" thickTop="1" x14ac:dyDescent="0.2">
      <c r="F52" s="35"/>
      <c r="G52" s="36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</row>
    <row r="53" spans="1:20" x14ac:dyDescent="0.2">
      <c r="A53" s="18" t="s">
        <v>37</v>
      </c>
      <c r="F53" s="35">
        <f>F8-F51</f>
        <v>0</v>
      </c>
      <c r="G53" s="35"/>
      <c r="H53" s="35">
        <f>H8-H51</f>
        <v>-1</v>
      </c>
      <c r="I53" s="35"/>
      <c r="J53" s="35">
        <f t="shared" ref="J53:S53" si="3">J8-J51</f>
        <v>0</v>
      </c>
      <c r="K53" s="35">
        <f t="shared" si="3"/>
        <v>0</v>
      </c>
      <c r="L53" s="35">
        <f t="shared" si="3"/>
        <v>-1</v>
      </c>
      <c r="M53" s="35">
        <f t="shared" si="3"/>
        <v>0</v>
      </c>
      <c r="N53" s="35">
        <f t="shared" si="3"/>
        <v>0</v>
      </c>
      <c r="O53" s="35">
        <f t="shared" si="3"/>
        <v>0</v>
      </c>
      <c r="P53" s="35">
        <f t="shared" si="3"/>
        <v>0.19999999995343387</v>
      </c>
      <c r="Q53" s="35">
        <f t="shared" si="3"/>
        <v>0</v>
      </c>
      <c r="R53" s="35">
        <f t="shared" si="3"/>
        <v>0</v>
      </c>
      <c r="S53" s="35">
        <f t="shared" si="3"/>
        <v>0</v>
      </c>
      <c r="T53" s="35">
        <f>T8-T51</f>
        <v>-1.7999999998137355</v>
      </c>
    </row>
    <row r="56" spans="1:20" x14ac:dyDescent="0.2">
      <c r="T56" s="39"/>
    </row>
  </sheetData>
  <mergeCells count="37">
    <mergeCell ref="IP4:IS4"/>
    <mergeCell ref="FJ4:GD4"/>
    <mergeCell ref="GE4:GY4"/>
    <mergeCell ref="GZ4:HT4"/>
    <mergeCell ref="HU4:IO4"/>
    <mergeCell ref="GZ3:HT3"/>
    <mergeCell ref="HU3:IO3"/>
    <mergeCell ref="IP3:IS3"/>
    <mergeCell ref="A4:R4"/>
    <mergeCell ref="AN4:BH4"/>
    <mergeCell ref="BI4:CC4"/>
    <mergeCell ref="CD4:CX4"/>
    <mergeCell ref="CY4:DS4"/>
    <mergeCell ref="DT4:EN4"/>
    <mergeCell ref="EO4:FI4"/>
    <mergeCell ref="IP2:IS2"/>
    <mergeCell ref="A3:R3"/>
    <mergeCell ref="AN3:BH3"/>
    <mergeCell ref="BI3:CC3"/>
    <mergeCell ref="CD3:CX3"/>
    <mergeCell ref="CY3:DS3"/>
    <mergeCell ref="DT3:EN3"/>
    <mergeCell ref="EO3:FI3"/>
    <mergeCell ref="FJ3:GD3"/>
    <mergeCell ref="GE3:GY3"/>
    <mergeCell ref="DT2:EN2"/>
    <mergeCell ref="EO2:FI2"/>
    <mergeCell ref="FJ2:GD2"/>
    <mergeCell ref="GE2:GY2"/>
    <mergeCell ref="GZ2:HT2"/>
    <mergeCell ref="HU2:IO2"/>
    <mergeCell ref="A1:R1"/>
    <mergeCell ref="A2:R2"/>
    <mergeCell ref="AN2:BH2"/>
    <mergeCell ref="BI2:CC2"/>
    <mergeCell ref="CD2:CX2"/>
    <mergeCell ref="CY2:DS2"/>
  </mergeCells>
  <pageMargins left="0.26" right="0.2" top="0.5" bottom="0.46" header="0.5" footer="0.5"/>
  <pageSetup scale="5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55"/>
  <sheetViews>
    <sheetView workbookViewId="0">
      <selection activeCell="D5" sqref="D5"/>
    </sheetView>
  </sheetViews>
  <sheetFormatPr defaultColWidth="9.109375" defaultRowHeight="10.199999999999999" x14ac:dyDescent="0.2"/>
  <cols>
    <col min="1" max="1" width="2.6640625" style="10" customWidth="1"/>
    <col min="2" max="2" width="4.33203125" style="10" customWidth="1"/>
    <col min="3" max="3" width="54.88671875" style="11" customWidth="1"/>
    <col min="4" max="4" width="5.6640625" style="10" customWidth="1"/>
    <col min="5" max="5" width="4.33203125" style="11" customWidth="1"/>
    <col min="6" max="6" width="14" style="10" customWidth="1"/>
    <col min="7" max="7" width="3.44140625" style="11" customWidth="1"/>
    <col min="8" max="8" width="11.6640625" style="10" customWidth="1"/>
    <col min="9" max="9" width="4.88671875" style="10" customWidth="1"/>
    <col min="10" max="10" width="11.6640625" style="10" customWidth="1"/>
    <col min="11" max="11" width="13" style="10" customWidth="1"/>
    <col min="12" max="13" width="11.6640625" style="10" customWidth="1"/>
    <col min="14" max="14" width="13" style="38" customWidth="1"/>
    <col min="15" max="15" width="13" style="10" customWidth="1"/>
    <col min="16" max="16" width="13.5546875" style="38" customWidth="1"/>
    <col min="17" max="17" width="13.109375" style="11" customWidth="1"/>
    <col min="18" max="18" width="13.5546875" style="10" customWidth="1"/>
    <col min="19" max="19" width="3.88671875" style="10" customWidth="1"/>
    <col min="20" max="20" width="13.5546875" style="10" customWidth="1"/>
    <col min="21" max="16384" width="9.109375" style="10"/>
  </cols>
  <sheetData>
    <row r="1" spans="1:253" s="1" customFormat="1" ht="15.7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53" s="3" customFormat="1" ht="20.399999999999999" x14ac:dyDescent="0.3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</row>
    <row r="3" spans="1:253" s="5" customFormat="1" ht="15.6" x14ac:dyDescent="0.3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</row>
    <row r="4" spans="1:253" s="7" customFormat="1" x14ac:dyDescent="0.2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</row>
    <row r="5" spans="1:253" ht="13.2" x14ac:dyDescent="0.25">
      <c r="A5" s="8"/>
      <c r="B5" s="8"/>
      <c r="C5" s="9"/>
      <c r="D5" s="8"/>
      <c r="E5" s="9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</row>
    <row r="6" spans="1:253" ht="30.75" customHeight="1" x14ac:dyDescent="0.25">
      <c r="A6" s="8"/>
      <c r="B6" s="8"/>
      <c r="C6" s="9"/>
      <c r="D6" s="8"/>
      <c r="E6" s="9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</row>
    <row r="7" spans="1:253" x14ac:dyDescent="0.2">
      <c r="F7" s="12" t="s">
        <v>4</v>
      </c>
      <c r="G7" s="13"/>
      <c r="H7" s="12" t="s">
        <v>5</v>
      </c>
      <c r="I7" s="12"/>
      <c r="J7" s="12">
        <v>9904</v>
      </c>
      <c r="K7" s="12">
        <v>9905</v>
      </c>
      <c r="L7" s="12">
        <v>9906</v>
      </c>
      <c r="M7" s="12">
        <v>9907</v>
      </c>
      <c r="N7" s="12">
        <v>9908</v>
      </c>
      <c r="O7" s="12">
        <v>9909</v>
      </c>
      <c r="P7" s="12">
        <v>9910</v>
      </c>
      <c r="Q7" s="12">
        <v>9911</v>
      </c>
      <c r="R7" s="12">
        <v>9912</v>
      </c>
      <c r="S7" s="13"/>
      <c r="T7" s="12" t="s">
        <v>6</v>
      </c>
    </row>
    <row r="8" spans="1:253" s="14" customFormat="1" ht="21.75" customHeight="1" x14ac:dyDescent="0.25">
      <c r="A8" s="14" t="s">
        <v>7</v>
      </c>
      <c r="C8" s="15"/>
      <c r="F8" s="16">
        <f>-573+693560</f>
        <v>692987</v>
      </c>
      <c r="G8" s="16"/>
      <c r="H8" s="16">
        <v>-77847</v>
      </c>
      <c r="I8" s="16"/>
      <c r="J8" s="16">
        <v>35503</v>
      </c>
      <c r="K8" s="16">
        <v>-1277960</v>
      </c>
      <c r="L8" s="16">
        <v>-37460</v>
      </c>
      <c r="M8" s="16">
        <v>521718</v>
      </c>
      <c r="N8" s="17">
        <v>1504996</v>
      </c>
      <c r="O8" s="16">
        <v>100632</v>
      </c>
      <c r="P8" s="17">
        <v>609700</v>
      </c>
      <c r="Q8" s="16">
        <v>723499</v>
      </c>
      <c r="R8" s="16">
        <v>2831546</v>
      </c>
      <c r="S8" s="16"/>
      <c r="T8" s="16">
        <f>SUM(F8:S8)</f>
        <v>5627314</v>
      </c>
    </row>
    <row r="9" spans="1:253" s="18" customFormat="1" ht="12" customHeight="1" x14ac:dyDescent="0.2">
      <c r="B9" s="18" t="s">
        <v>8</v>
      </c>
      <c r="C9" s="19"/>
      <c r="F9" s="20"/>
      <c r="G9" s="20"/>
      <c r="H9" s="20"/>
      <c r="I9" s="20"/>
      <c r="J9" s="20"/>
      <c r="K9" s="20"/>
      <c r="L9" s="20"/>
      <c r="M9" s="20"/>
      <c r="N9" s="21"/>
      <c r="O9" s="20"/>
      <c r="P9" s="21"/>
      <c r="Q9" s="20"/>
      <c r="R9" s="20"/>
      <c r="S9" s="20"/>
      <c r="T9" s="20"/>
    </row>
    <row r="10" spans="1:253" s="18" customFormat="1" ht="12" customHeight="1" x14ac:dyDescent="0.2">
      <c r="C10" s="19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1"/>
      <c r="Q10" s="20"/>
      <c r="R10" s="20"/>
      <c r="S10" s="20"/>
      <c r="T10" s="20"/>
    </row>
    <row r="11" spans="1:253" ht="12" x14ac:dyDescent="0.25">
      <c r="B11" s="22" t="s">
        <v>9</v>
      </c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  <c r="T11" s="23"/>
    </row>
    <row r="12" spans="1:253" ht="12" x14ac:dyDescent="0.25">
      <c r="B12" s="22"/>
      <c r="C12" s="11" t="s">
        <v>10</v>
      </c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>
        <v>308597</v>
      </c>
      <c r="R12" s="23"/>
      <c r="S12" s="24"/>
      <c r="T12" s="24">
        <f>SUM(F12:S12)</f>
        <v>308597</v>
      </c>
    </row>
    <row r="13" spans="1:253" ht="12" x14ac:dyDescent="0.25">
      <c r="B13" s="22"/>
      <c r="C13" s="11" t="s">
        <v>11</v>
      </c>
      <c r="F13" s="23">
        <v>692987</v>
      </c>
      <c r="G13" s="24"/>
      <c r="H13" s="23">
        <v>-329487</v>
      </c>
      <c r="I13" s="23"/>
      <c r="J13" s="23"/>
      <c r="K13" s="23"/>
      <c r="L13" s="23"/>
      <c r="M13" s="23">
        <v>-121428</v>
      </c>
      <c r="N13" s="23"/>
      <c r="O13" s="23">
        <v>-303037</v>
      </c>
      <c r="P13" s="23"/>
      <c r="Q13" s="23"/>
      <c r="R13" s="23"/>
      <c r="S13" s="24"/>
      <c r="T13" s="24">
        <f>SUM(F13:S13)</f>
        <v>-60965</v>
      </c>
    </row>
    <row r="14" spans="1:253" ht="12" x14ac:dyDescent="0.25">
      <c r="B14" s="22"/>
      <c r="C14" s="25" t="s">
        <v>12</v>
      </c>
      <c r="F14" s="26"/>
      <c r="G14" s="24"/>
      <c r="H14" s="26"/>
      <c r="I14" s="26"/>
      <c r="J14" s="26">
        <f>126597-91094</f>
        <v>35503</v>
      </c>
      <c r="K14" s="26">
        <v>-108950</v>
      </c>
      <c r="L14" s="26">
        <v>-37460</v>
      </c>
      <c r="M14" s="26"/>
      <c r="N14" s="26">
        <v>189772</v>
      </c>
      <c r="O14" s="26"/>
      <c r="P14" s="26">
        <f>-77214-28692</f>
        <v>-105906</v>
      </c>
      <c r="Q14" s="26"/>
      <c r="R14" s="26"/>
      <c r="S14" s="24"/>
      <c r="T14" s="26">
        <f>SUM(F14:S14)</f>
        <v>-27041</v>
      </c>
    </row>
    <row r="15" spans="1:253" x14ac:dyDescent="0.2">
      <c r="C15" s="11" t="s">
        <v>13</v>
      </c>
      <c r="F15" s="23">
        <f>SUM(F12:F14)</f>
        <v>692987</v>
      </c>
      <c r="G15" s="23"/>
      <c r="H15" s="23">
        <f>SUM(H12:H14)</f>
        <v>-329487</v>
      </c>
      <c r="I15" s="23"/>
      <c r="J15" s="23">
        <f>+J14</f>
        <v>35503</v>
      </c>
      <c r="K15" s="23">
        <f>+K14</f>
        <v>-108950</v>
      </c>
      <c r="L15" s="23">
        <f>+L14</f>
        <v>-37460</v>
      </c>
      <c r="M15" s="23">
        <f>SUM(M12:M14)</f>
        <v>-121428</v>
      </c>
      <c r="N15" s="23">
        <f>+N14</f>
        <v>189772</v>
      </c>
      <c r="O15" s="23">
        <f>SUM(O11:O14)</f>
        <v>-303037</v>
      </c>
      <c r="P15" s="23">
        <f>SUM(P11:P14)</f>
        <v>-105906</v>
      </c>
      <c r="Q15" s="23">
        <f>SUM(Q12:Q14)</f>
        <v>308597</v>
      </c>
      <c r="R15" s="23"/>
      <c r="S15" s="24"/>
      <c r="T15" s="23">
        <f>SUM(T11:T14)</f>
        <v>220591</v>
      </c>
    </row>
    <row r="16" spans="1:253" ht="12" x14ac:dyDescent="0.25">
      <c r="B16" s="22" t="s">
        <v>14</v>
      </c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4"/>
      <c r="T16" s="23"/>
    </row>
    <row r="17" spans="2:20" ht="12" x14ac:dyDescent="0.25">
      <c r="B17" s="22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4"/>
      <c r="T17" s="23"/>
    </row>
    <row r="18" spans="2:20" ht="12" x14ac:dyDescent="0.25">
      <c r="B18" s="22"/>
      <c r="C18" s="27" t="s">
        <v>15</v>
      </c>
      <c r="F18" s="23"/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  <c r="T18" s="23"/>
    </row>
    <row r="19" spans="2:20" ht="12" x14ac:dyDescent="0.25">
      <c r="B19" s="22"/>
      <c r="C19" s="28" t="s">
        <v>16</v>
      </c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>
        <v>-291865</v>
      </c>
      <c r="R19" s="23"/>
      <c r="S19" s="24"/>
      <c r="T19" s="24">
        <f>SUM(F19:S19)</f>
        <v>-291865</v>
      </c>
    </row>
    <row r="20" spans="2:20" x14ac:dyDescent="0.2">
      <c r="C20" s="28" t="s">
        <v>17</v>
      </c>
      <c r="D20" s="29"/>
      <c r="F20" s="26"/>
      <c r="G20" s="24"/>
      <c r="H20" s="26"/>
      <c r="I20" s="26"/>
      <c r="J20" s="26"/>
      <c r="K20" s="26"/>
      <c r="L20" s="26"/>
      <c r="M20" s="26">
        <f>-170648</f>
        <v>-170648</v>
      </c>
      <c r="N20" s="26">
        <v>-169625</v>
      </c>
      <c r="O20" s="26">
        <v>-163000</v>
      </c>
      <c r="P20" s="26">
        <v>-167628</v>
      </c>
      <c r="Q20" s="26">
        <v>-161325</v>
      </c>
      <c r="R20" s="26"/>
      <c r="S20" s="26"/>
      <c r="T20" s="26">
        <f>SUM(F20:S20)</f>
        <v>-832226</v>
      </c>
    </row>
    <row r="21" spans="2:20" x14ac:dyDescent="0.2">
      <c r="C21" s="30"/>
      <c r="F21" s="23"/>
      <c r="G21" s="24"/>
      <c r="H21" s="23"/>
      <c r="I21" s="23"/>
      <c r="J21" s="23"/>
      <c r="K21" s="23"/>
      <c r="L21" s="23"/>
      <c r="M21" s="23">
        <f>SUM(M20:M20)</f>
        <v>-170648</v>
      </c>
      <c r="N21" s="23">
        <f>SUM(N20:N20)</f>
        <v>-169625</v>
      </c>
      <c r="O21" s="23">
        <f>SUM(O20:O20)</f>
        <v>-163000</v>
      </c>
      <c r="P21" s="23">
        <f>SUM(P20:P20)</f>
        <v>-167628</v>
      </c>
      <c r="Q21" s="23">
        <f>SUM(Q19:Q20)</f>
        <v>-453190</v>
      </c>
      <c r="R21" s="23"/>
      <c r="S21" s="24"/>
      <c r="T21" s="23">
        <f>SUM(T19:T20)</f>
        <v>-1124091</v>
      </c>
    </row>
    <row r="22" spans="2:20" x14ac:dyDescent="0.2">
      <c r="B22" s="31"/>
      <c r="C22" s="30"/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  <c r="T22" s="23"/>
    </row>
    <row r="23" spans="2:20" x14ac:dyDescent="0.2">
      <c r="B23" s="31"/>
      <c r="C23" s="30" t="s">
        <v>18</v>
      </c>
      <c r="F23" s="23"/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4"/>
      <c r="T23" s="23"/>
    </row>
    <row r="24" spans="2:20" x14ac:dyDescent="0.2">
      <c r="B24" s="31"/>
      <c r="C24" s="11" t="s">
        <v>19</v>
      </c>
      <c r="F24" s="23"/>
      <c r="G24" s="24"/>
      <c r="H24" s="23"/>
      <c r="I24" s="23"/>
      <c r="J24" s="23"/>
      <c r="K24" s="23"/>
      <c r="L24" s="23"/>
      <c r="M24" s="23">
        <v>437721</v>
      </c>
      <c r="N24" s="23">
        <v>446593</v>
      </c>
      <c r="O24" s="23">
        <v>463849</v>
      </c>
      <c r="P24" s="23">
        <v>462076</v>
      </c>
      <c r="Q24" s="23">
        <v>445761</v>
      </c>
      <c r="R24" s="23"/>
      <c r="S24" s="24"/>
      <c r="T24" s="24">
        <f t="shared" ref="T24:T30" si="0">SUM(F24:S24)</f>
        <v>2256000</v>
      </c>
    </row>
    <row r="25" spans="2:20" x14ac:dyDescent="0.2">
      <c r="B25" s="31"/>
      <c r="C25" s="11" t="s">
        <v>20</v>
      </c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>
        <v>-834970</v>
      </c>
      <c r="R25" s="23"/>
      <c r="S25" s="24"/>
      <c r="T25" s="24">
        <f t="shared" si="0"/>
        <v>-834970</v>
      </c>
    </row>
    <row r="26" spans="2:20" x14ac:dyDescent="0.2">
      <c r="B26" s="31"/>
      <c r="C26" s="11" t="s">
        <v>21</v>
      </c>
      <c r="F26" s="23"/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>
        <v>120269</v>
      </c>
      <c r="R26" s="23"/>
      <c r="S26" s="24"/>
      <c r="T26" s="24">
        <f t="shared" si="0"/>
        <v>120269</v>
      </c>
    </row>
    <row r="27" spans="2:20" x14ac:dyDescent="0.2">
      <c r="B27" s="31"/>
      <c r="C27" s="11" t="s">
        <v>22</v>
      </c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>
        <v>786896</v>
      </c>
      <c r="R27" s="23"/>
      <c r="S27" s="24"/>
      <c r="T27" s="24">
        <f t="shared" si="0"/>
        <v>786896</v>
      </c>
    </row>
    <row r="28" spans="2:20" x14ac:dyDescent="0.2">
      <c r="B28" s="31"/>
      <c r="C28" s="11" t="s">
        <v>23</v>
      </c>
      <c r="F28" s="23"/>
      <c r="G28" s="24"/>
      <c r="H28" s="23"/>
      <c r="I28" s="23"/>
      <c r="J28" s="23"/>
      <c r="K28" s="23">
        <v>-1169010</v>
      </c>
      <c r="L28" s="23"/>
      <c r="M28" s="23"/>
      <c r="N28" s="23"/>
      <c r="O28" s="23"/>
      <c r="P28" s="23"/>
      <c r="Q28" s="23"/>
      <c r="R28" s="23"/>
      <c r="S28" s="24"/>
      <c r="T28" s="24">
        <f t="shared" si="0"/>
        <v>-1169010</v>
      </c>
    </row>
    <row r="29" spans="2:20" x14ac:dyDescent="0.2">
      <c r="B29" s="31"/>
      <c r="C29" s="11" t="s">
        <v>24</v>
      </c>
      <c r="F29" s="23"/>
      <c r="G29" s="24"/>
      <c r="H29" s="23">
        <v>251640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4"/>
      <c r="T29" s="24">
        <f t="shared" si="0"/>
        <v>251640</v>
      </c>
    </row>
    <row r="30" spans="2:20" x14ac:dyDescent="0.2">
      <c r="B30" s="31"/>
      <c r="C30" s="10" t="s">
        <v>25</v>
      </c>
      <c r="F30" s="26"/>
      <c r="G30" s="24"/>
      <c r="H30" s="26"/>
      <c r="I30" s="26"/>
      <c r="J30" s="32"/>
      <c r="K30" s="26"/>
      <c r="L30" s="26"/>
      <c r="M30" s="26"/>
      <c r="N30" s="26">
        <v>172286</v>
      </c>
      <c r="O30" s="26"/>
      <c r="P30" s="26"/>
      <c r="Q30" s="26"/>
      <c r="R30" s="26"/>
      <c r="S30" s="24"/>
      <c r="T30" s="26">
        <f t="shared" si="0"/>
        <v>172286</v>
      </c>
    </row>
    <row r="31" spans="2:20" x14ac:dyDescent="0.2">
      <c r="B31" s="31"/>
      <c r="C31" s="30"/>
      <c r="F31" s="23"/>
      <c r="G31" s="24"/>
      <c r="H31" s="23">
        <f>SUM(H24:H30)</f>
        <v>251640</v>
      </c>
      <c r="I31" s="23"/>
      <c r="J31" s="23"/>
      <c r="K31" s="23">
        <f>SUM(K24:K30)</f>
        <v>-1169010</v>
      </c>
      <c r="L31" s="23"/>
      <c r="M31" s="23">
        <f>SUM(M24:M30)</f>
        <v>437721</v>
      </c>
      <c r="N31" s="23">
        <f>SUM(N24:N30)</f>
        <v>618879</v>
      </c>
      <c r="O31" s="23">
        <f>SUM(O24:O30)</f>
        <v>463849</v>
      </c>
      <c r="P31" s="23">
        <f>SUM(P24:P30)</f>
        <v>462076</v>
      </c>
      <c r="Q31" s="23">
        <f>SUM(Q24:Q30)</f>
        <v>517956</v>
      </c>
      <c r="R31" s="23"/>
      <c r="S31" s="24"/>
      <c r="T31" s="23">
        <f>SUM(T24:T30)</f>
        <v>1583111</v>
      </c>
    </row>
    <row r="32" spans="2:20" x14ac:dyDescent="0.2">
      <c r="B32" s="31"/>
      <c r="C32" s="30"/>
      <c r="F32" s="23"/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4"/>
      <c r="T32" s="23"/>
    </row>
    <row r="33" spans="2:20" x14ac:dyDescent="0.2">
      <c r="B33" s="31"/>
      <c r="C33" s="30" t="s">
        <v>26</v>
      </c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4"/>
      <c r="T33" s="23"/>
    </row>
    <row r="34" spans="2:20" x14ac:dyDescent="0.2">
      <c r="B34" s="31"/>
      <c r="C34" s="28" t="s">
        <v>27</v>
      </c>
      <c r="F34" s="26"/>
      <c r="G34" s="24"/>
      <c r="H34" s="26"/>
      <c r="I34" s="26"/>
      <c r="J34" s="26"/>
      <c r="K34" s="26"/>
      <c r="L34" s="26"/>
      <c r="M34" s="26"/>
      <c r="N34" s="26"/>
      <c r="O34" s="26"/>
      <c r="P34" s="26"/>
      <c r="Q34" s="26">
        <v>42176</v>
      </c>
      <c r="R34" s="26"/>
      <c r="S34" s="24"/>
      <c r="T34" s="26">
        <f>SUM(F34:S34)</f>
        <v>42176</v>
      </c>
    </row>
    <row r="35" spans="2:20" x14ac:dyDescent="0.2">
      <c r="B35" s="31"/>
      <c r="C35" s="30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>
        <f>SUM(Q34:Q34)</f>
        <v>42176</v>
      </c>
      <c r="R35" s="23"/>
      <c r="S35" s="24"/>
      <c r="T35" s="23">
        <f>SUM(T34:T34)</f>
        <v>42176</v>
      </c>
    </row>
    <row r="36" spans="2:20" x14ac:dyDescent="0.2">
      <c r="B36" s="31"/>
      <c r="C36" s="30" t="s">
        <v>28</v>
      </c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/>
      <c r="T36" s="23"/>
    </row>
    <row r="37" spans="2:20" x14ac:dyDescent="0.2">
      <c r="B37" s="31"/>
      <c r="C37" s="11" t="s">
        <v>29</v>
      </c>
      <c r="F37" s="26"/>
      <c r="G37" s="24"/>
      <c r="H37" s="26"/>
      <c r="I37" s="26"/>
      <c r="J37" s="26"/>
      <c r="K37" s="26"/>
      <c r="L37" s="26"/>
      <c r="M37" s="26">
        <v>376073</v>
      </c>
      <c r="N37" s="26">
        <f>865970</f>
        <v>865970</v>
      </c>
      <c r="O37" s="26">
        <v>102820</v>
      </c>
      <c r="P37" s="26">
        <v>421158</v>
      </c>
      <c r="Q37" s="26">
        <v>-178539</v>
      </c>
      <c r="R37" s="26"/>
      <c r="S37" s="24"/>
      <c r="T37" s="26">
        <f>SUM(F37:S37)</f>
        <v>1587482</v>
      </c>
    </row>
    <row r="38" spans="2:20" x14ac:dyDescent="0.2">
      <c r="B38" s="31"/>
      <c r="C38" s="28"/>
      <c r="F38" s="23"/>
      <c r="G38" s="24"/>
      <c r="H38" s="23"/>
      <c r="I38" s="23"/>
      <c r="J38" s="23"/>
      <c r="K38" s="23"/>
      <c r="L38" s="23"/>
      <c r="M38" s="23">
        <f>SUM(M37:M37)</f>
        <v>376073</v>
      </c>
      <c r="N38" s="23">
        <f>SUM(N37:N37)</f>
        <v>865970</v>
      </c>
      <c r="O38" s="23">
        <f>+O37</f>
        <v>102820</v>
      </c>
      <c r="P38" s="23">
        <f>+P37</f>
        <v>421158</v>
      </c>
      <c r="Q38" s="23">
        <f>+Q37</f>
        <v>-178539</v>
      </c>
      <c r="R38" s="23"/>
      <c r="S38" s="24"/>
      <c r="T38" s="23">
        <f>SUM(T37:T37)</f>
        <v>1587482</v>
      </c>
    </row>
    <row r="39" spans="2:20" x14ac:dyDescent="0.2">
      <c r="B39" s="31"/>
      <c r="C39" s="27" t="s">
        <v>30</v>
      </c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4"/>
      <c r="T39" s="23"/>
    </row>
    <row r="40" spans="2:20" customFormat="1" ht="13.2" x14ac:dyDescent="0.25">
      <c r="C40" s="24" t="s">
        <v>31</v>
      </c>
      <c r="D40" s="10"/>
      <c r="E40" s="11"/>
      <c r="F40" s="26"/>
      <c r="G40" s="23"/>
      <c r="H40" s="26">
        <v>518978</v>
      </c>
      <c r="I40" s="26"/>
      <c r="J40" s="26"/>
      <c r="K40" s="26">
        <v>-24800</v>
      </c>
      <c r="L40" s="26"/>
      <c r="M40" s="26"/>
      <c r="N40" s="26"/>
      <c r="O40" s="26"/>
      <c r="P40" s="26"/>
      <c r="Q40" s="26"/>
      <c r="R40" s="26">
        <v>2831546</v>
      </c>
      <c r="S40" s="33"/>
      <c r="T40" s="26">
        <f>SUM(F40:S40)</f>
        <v>3325724</v>
      </c>
    </row>
    <row r="41" spans="2:20" x14ac:dyDescent="0.2">
      <c r="C41" s="11" t="s">
        <v>13</v>
      </c>
      <c r="F41" s="23"/>
      <c r="G41" s="23"/>
      <c r="H41" s="23">
        <f>+H40</f>
        <v>518978</v>
      </c>
      <c r="I41" s="23"/>
      <c r="J41" s="23"/>
      <c r="K41" s="23">
        <f>+K40</f>
        <v>-24800</v>
      </c>
      <c r="L41" s="23"/>
      <c r="M41" s="23"/>
      <c r="N41" s="23"/>
      <c r="O41" s="23"/>
      <c r="P41" s="23"/>
      <c r="Q41" s="23"/>
      <c r="R41" s="23">
        <f>+R40</f>
        <v>2831546</v>
      </c>
      <c r="S41" s="24"/>
      <c r="T41" s="23">
        <f>SUM(T40)</f>
        <v>3325724</v>
      </c>
    </row>
    <row r="42" spans="2:20" x14ac:dyDescent="0.2">
      <c r="C42" s="30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2:20" ht="12" x14ac:dyDescent="0.25">
      <c r="B43" s="22" t="s">
        <v>32</v>
      </c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4"/>
      <c r="T43" s="23"/>
    </row>
    <row r="44" spans="2:20" ht="12" x14ac:dyDescent="0.25">
      <c r="C44" s="22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4"/>
      <c r="T44" s="23"/>
    </row>
    <row r="45" spans="2:20" x14ac:dyDescent="0.2">
      <c r="B45" s="31"/>
      <c r="C45" s="30" t="s">
        <v>33</v>
      </c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4"/>
      <c r="T45" s="23"/>
    </row>
    <row r="46" spans="2:20" x14ac:dyDescent="0.2">
      <c r="B46" s="31"/>
      <c r="C46" s="28" t="s">
        <v>34</v>
      </c>
      <c r="F46" s="23"/>
      <c r="G46" s="24"/>
      <c r="H46" s="23">
        <v>-518978</v>
      </c>
      <c r="I46" s="23"/>
      <c r="J46" s="23"/>
      <c r="K46" s="23">
        <v>24800</v>
      </c>
      <c r="L46" s="23"/>
      <c r="M46" s="23"/>
      <c r="N46" s="23"/>
      <c r="O46" s="23"/>
      <c r="P46" s="23"/>
      <c r="Q46" s="23"/>
      <c r="R46" s="23"/>
      <c r="S46" s="24"/>
      <c r="T46" s="24">
        <f>SUM(F46:S46)</f>
        <v>-494178</v>
      </c>
    </row>
    <row r="47" spans="2:20" x14ac:dyDescent="0.2">
      <c r="B47" s="31"/>
      <c r="C47" s="28" t="s">
        <v>35</v>
      </c>
      <c r="F47" s="26"/>
      <c r="G47" s="24"/>
      <c r="H47" s="26"/>
      <c r="I47" s="26"/>
      <c r="J47" s="26"/>
      <c r="K47" s="26"/>
      <c r="L47" s="26"/>
      <c r="M47" s="26"/>
      <c r="N47" s="26"/>
      <c r="O47" s="26"/>
      <c r="P47" s="26"/>
      <c r="Q47" s="26">
        <v>486498</v>
      </c>
      <c r="R47" s="26"/>
      <c r="S47" s="24"/>
      <c r="T47" s="26">
        <f>SUM(F47:S47)</f>
        <v>486498</v>
      </c>
    </row>
    <row r="48" spans="2:20" x14ac:dyDescent="0.2">
      <c r="C48" s="11" t="s">
        <v>13</v>
      </c>
      <c r="F48" s="23"/>
      <c r="G48" s="23"/>
      <c r="H48" s="23">
        <f>SUM(H46:H47)</f>
        <v>-518978</v>
      </c>
      <c r="I48" s="23"/>
      <c r="J48" s="23"/>
      <c r="K48" s="23">
        <f>+K46</f>
        <v>24800</v>
      </c>
      <c r="L48" s="23"/>
      <c r="M48" s="23"/>
      <c r="N48" s="23"/>
      <c r="O48" s="23"/>
      <c r="P48" s="23"/>
      <c r="Q48" s="23">
        <f>SUM(Q47:Q47)</f>
        <v>486498</v>
      </c>
      <c r="R48" s="23"/>
      <c r="S48" s="24"/>
      <c r="T48" s="23">
        <f>SUM(T46:T47)</f>
        <v>-7680</v>
      </c>
    </row>
    <row r="49" spans="1:20" x14ac:dyDescent="0.2"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ht="19.5" customHeight="1" thickBot="1" x14ac:dyDescent="0.25">
      <c r="A50" s="18" t="s">
        <v>36</v>
      </c>
      <c r="F50" s="34">
        <f>+F48+F41+F38+F35+F31+F21+F15</f>
        <v>692987</v>
      </c>
      <c r="G50" s="35"/>
      <c r="H50" s="34">
        <f>+H48+H41+H38+H35+H31+H21+H15</f>
        <v>-77847</v>
      </c>
      <c r="I50" s="25"/>
      <c r="J50" s="34">
        <f t="shared" ref="J50:R50" si="1">+J48+J41+J38+J35+J31+J21+J15</f>
        <v>35503</v>
      </c>
      <c r="K50" s="34">
        <f t="shared" si="1"/>
        <v>-1277960</v>
      </c>
      <c r="L50" s="34">
        <f t="shared" si="1"/>
        <v>-37460</v>
      </c>
      <c r="M50" s="34">
        <f t="shared" si="1"/>
        <v>521718</v>
      </c>
      <c r="N50" s="34">
        <f t="shared" si="1"/>
        <v>1504996</v>
      </c>
      <c r="O50" s="34">
        <f t="shared" si="1"/>
        <v>100632</v>
      </c>
      <c r="P50" s="34">
        <f t="shared" si="1"/>
        <v>609700</v>
      </c>
      <c r="Q50" s="34">
        <f t="shared" si="1"/>
        <v>723498</v>
      </c>
      <c r="R50" s="34">
        <f t="shared" si="1"/>
        <v>2831546</v>
      </c>
      <c r="S50" s="36"/>
      <c r="T50" s="34">
        <f>+T48+T41+T38+T35+T31+T21+T15</f>
        <v>5627313</v>
      </c>
    </row>
    <row r="51" spans="1:20" ht="10.8" thickTop="1" x14ac:dyDescent="0.2">
      <c r="F51" s="35"/>
      <c r="G51" s="36"/>
      <c r="H51" s="35"/>
      <c r="I51" s="35"/>
      <c r="J51" s="35"/>
      <c r="K51" s="35"/>
      <c r="L51" s="35"/>
      <c r="M51" s="35"/>
      <c r="N51" s="37"/>
      <c r="O51" s="35"/>
      <c r="P51" s="37"/>
      <c r="Q51" s="35"/>
      <c r="R51" s="35"/>
      <c r="S51" s="36"/>
      <c r="T51" s="35"/>
    </row>
    <row r="52" spans="1:20" x14ac:dyDescent="0.2">
      <c r="A52" s="18" t="s">
        <v>37</v>
      </c>
      <c r="F52" s="35">
        <f>F8-F50</f>
        <v>0</v>
      </c>
      <c r="G52" s="35"/>
      <c r="H52" s="35">
        <f>H8-H50</f>
        <v>0</v>
      </c>
      <c r="I52" s="35"/>
      <c r="J52" s="35">
        <f>J8-J50</f>
        <v>0</v>
      </c>
      <c r="K52" s="35">
        <f>K8-K50</f>
        <v>0</v>
      </c>
      <c r="L52" s="35">
        <f>L8-L50</f>
        <v>0</v>
      </c>
      <c r="M52" s="35">
        <f>M8-M50</f>
        <v>0</v>
      </c>
      <c r="N52" s="35">
        <f>+N8-N50</f>
        <v>0</v>
      </c>
      <c r="O52" s="35">
        <f>+O8-O50</f>
        <v>0</v>
      </c>
      <c r="P52" s="35">
        <f>+P8-P50</f>
        <v>0</v>
      </c>
      <c r="Q52" s="35">
        <f>+Q8-Q50</f>
        <v>1</v>
      </c>
      <c r="R52" s="35">
        <f>+R8-R50</f>
        <v>0</v>
      </c>
      <c r="S52" s="36"/>
      <c r="T52" s="35">
        <f>T8-T50</f>
        <v>1</v>
      </c>
    </row>
    <row r="55" spans="1:20" x14ac:dyDescent="0.2">
      <c r="T55" s="39"/>
    </row>
  </sheetData>
  <mergeCells count="37">
    <mergeCell ref="IP4:IS4"/>
    <mergeCell ref="FJ4:GD4"/>
    <mergeCell ref="GE4:GY4"/>
    <mergeCell ref="GZ4:HT4"/>
    <mergeCell ref="HU4:IO4"/>
    <mergeCell ref="GZ3:HT3"/>
    <mergeCell ref="HU3:IO3"/>
    <mergeCell ref="IP3:IS3"/>
    <mergeCell ref="A4:R4"/>
    <mergeCell ref="AN4:BH4"/>
    <mergeCell ref="BI4:CC4"/>
    <mergeCell ref="CD4:CX4"/>
    <mergeCell ref="CY4:DS4"/>
    <mergeCell ref="DT4:EN4"/>
    <mergeCell ref="EO4:FI4"/>
    <mergeCell ref="IP2:IS2"/>
    <mergeCell ref="A3:R3"/>
    <mergeCell ref="AN3:BH3"/>
    <mergeCell ref="BI3:CC3"/>
    <mergeCell ref="CD3:CX3"/>
    <mergeCell ref="CY3:DS3"/>
    <mergeCell ref="DT3:EN3"/>
    <mergeCell ref="EO3:FI3"/>
    <mergeCell ref="FJ3:GD3"/>
    <mergeCell ref="GE3:GY3"/>
    <mergeCell ref="DT2:EN2"/>
    <mergeCell ref="EO2:FI2"/>
    <mergeCell ref="FJ2:GD2"/>
    <mergeCell ref="GE2:GY2"/>
    <mergeCell ref="GZ2:HT2"/>
    <mergeCell ref="HU2:IO2"/>
    <mergeCell ref="A1:R1"/>
    <mergeCell ref="A2:R2"/>
    <mergeCell ref="AN2:BH2"/>
    <mergeCell ref="BI2:CC2"/>
    <mergeCell ref="CD2:CX2"/>
    <mergeCell ref="CY2:DS2"/>
  </mergeCells>
  <pageMargins left="0.75" right="0.75" top="1" bottom="1" header="0.5" footer="0.5"/>
  <pageSetup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0005 GL</vt:lpstr>
      <vt:lpstr>0004 GL</vt:lpstr>
      <vt:lpstr>0003 GL</vt:lpstr>
      <vt:lpstr>0002 GL</vt:lpstr>
      <vt:lpstr>0001 GL</vt:lpstr>
      <vt:lpstr>9912 GL</vt:lpstr>
      <vt:lpstr>'0001 GL'!Print_Area</vt:lpstr>
      <vt:lpstr>'0003 GL'!Print_Area</vt:lpstr>
      <vt:lpstr>'9912 GL'!Print_Area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2000-06-02T22:32:31Z</cp:lastPrinted>
  <dcterms:created xsi:type="dcterms:W3CDTF">2000-02-29T19:12:25Z</dcterms:created>
  <dcterms:modified xsi:type="dcterms:W3CDTF">2023-09-10T12:18:58Z</dcterms:modified>
</cp:coreProperties>
</file>