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36" windowWidth="9780" windowHeight="6792" tabRatio="841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MidMarket-FLSH" sheetId="61" r:id="rId9"/>
    <sheet name="EAST-EGM-FLSH" sheetId="9" r:id="rId10"/>
    <sheet name="EAST-MKT-FLSH" sheetId="58" r:id="rId11"/>
    <sheet name="EAST-LRC-FLSH" sheetId="11" r:id="rId12"/>
    <sheet name="EAST-CON-FLSH" sheetId="12" r:id="rId13"/>
    <sheet name="BGC-EGM-FLSH" sheetId="10" r:id="rId14"/>
    <sheet name="TX-EGM-FLSH" sheetId="13" r:id="rId15"/>
    <sheet name="TX-HPLR-FLSH" sheetId="14" r:id="rId16"/>
    <sheet name="TX-HPLC-FLSH" sheetId="45" r:id="rId17"/>
    <sheet name="TX-CON-FLSH" sheetId="15" r:id="rId18"/>
    <sheet name="WE-FLSH" sheetId="16" r:id="rId19"/>
    <sheet name="DEN-FLSH" sheetId="56" r:id="rId20"/>
    <sheet name="STG_FLSH" sheetId="18" r:id="rId21"/>
    <sheet name="ONT_FLSH" sheetId="19" r:id="rId22"/>
    <sheet name="BUG_FLSH" sheetId="17" r:id="rId23"/>
    <sheet name="CE_GL" sheetId="20" r:id="rId24"/>
    <sheet name="SITHE_GL" sheetId="54" r:id="rId25"/>
    <sheet name="ARUBA_GL" sheetId="48" r:id="rId26"/>
    <sheet name="MidMarket_GL" sheetId="62" r:id="rId27"/>
    <sheet name="EAST-EGM-GL" sheetId="21" r:id="rId28"/>
    <sheet name="EAST-MKT-GL" sheetId="59" r:id="rId29"/>
    <sheet name="EAST-LRC-GL" sheetId="23" r:id="rId30"/>
    <sheet name="EAST-CON-GL " sheetId="24" r:id="rId31"/>
    <sheet name="BGC-EGM-GL" sheetId="22" r:id="rId32"/>
    <sheet name="TX-EGM-GL" sheetId="25" r:id="rId33"/>
    <sheet name="TX-HPLR-GL " sheetId="26" r:id="rId34"/>
    <sheet name="TX-HPLC-GL" sheetId="46" r:id="rId35"/>
    <sheet name="TX-CON-GL " sheetId="27" r:id="rId36"/>
    <sheet name="WE-GL " sheetId="28" r:id="rId37"/>
    <sheet name="DEN-GL" sheetId="55" r:id="rId38"/>
    <sheet name="BUG_GL" sheetId="29" r:id="rId39"/>
    <sheet name="STG_GL" sheetId="30" r:id="rId40"/>
    <sheet name="ONT_GL " sheetId="31" r:id="rId41"/>
    <sheet name="CE-VAR" sheetId="32" r:id="rId42"/>
    <sheet name="SITHE-VAR" sheetId="52" r:id="rId43"/>
    <sheet name="ARUBA-VAR" sheetId="50" r:id="rId44"/>
    <sheet name="MidMarket-VAR" sheetId="63" r:id="rId45"/>
    <sheet name="EAST-EGM-VAR" sheetId="33" r:id="rId46"/>
    <sheet name="EAST-MKT-VAR" sheetId="60" r:id="rId47"/>
    <sheet name="EAST-LRC-VAR" sheetId="35" r:id="rId48"/>
    <sheet name="EAST-CON-VAR" sheetId="36" r:id="rId49"/>
    <sheet name="BGC-EGM-VAR" sheetId="34" r:id="rId50"/>
    <sheet name="TX-EGM-VAR" sheetId="37" r:id="rId51"/>
    <sheet name="TX-HPLR-VAR " sheetId="38" r:id="rId52"/>
    <sheet name="TX-HPLC-VAR" sheetId="47" r:id="rId53"/>
    <sheet name="TX-CON-VAR" sheetId="39" r:id="rId54"/>
    <sheet name="WE-VAR" sheetId="40" r:id="rId55"/>
    <sheet name="DEN-VAR" sheetId="57" r:id="rId56"/>
    <sheet name="STG_VAR" sheetId="42" r:id="rId57"/>
    <sheet name="ONT_VAR" sheetId="43" r:id="rId58"/>
    <sheet name="BUG_VAR" sheetId="41" r:id="rId59"/>
    <sheet name="Actuals" sheetId="44" r:id="rId60"/>
  </sheets>
  <externalReferences>
    <externalReference r:id="rId61"/>
    <externalReference r:id="rId62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9">Actuals!$D$636:$I$651</definedName>
    <definedName name="_xlnm.Print_Area" localSheetId="13">'BGC-EGM-FLSH'!$A$1:$M$82</definedName>
    <definedName name="_xlnm.Print_Area" localSheetId="49">'BGC-EGM-VAR'!$A$1:$I$82</definedName>
    <definedName name="_xlnm.Print_Area" localSheetId="58">BUG_VAR!$A$1:$I$82</definedName>
    <definedName name="_xlnm.Print_Area" localSheetId="41">'CE-VAR'!$A$1:$I$82</definedName>
    <definedName name="_xlnm.Print_Area" localSheetId="2">Check!$A$1:$H$32</definedName>
    <definedName name="_xlnm.Print_Area" localSheetId="12">'EAST-CON-FLSH'!$A$1:$M$82</definedName>
    <definedName name="_xlnm.Print_Area" localSheetId="48">'EAST-CON-VAR'!$A$1:$I$82</definedName>
    <definedName name="_xlnm.Print_Area" localSheetId="9">'EAST-EGM-FLSH'!$A$1:$M$82</definedName>
    <definedName name="_xlnm.Print_Area" localSheetId="45">'EAST-EGM-VAR'!$A$1:$I$82</definedName>
    <definedName name="_xlnm.Print_Area" localSheetId="11">'EAST-LRC-FLSH'!$A$1:$M$82</definedName>
    <definedName name="_xlnm.Print_Area" localSheetId="47">'EAST-LRC-VAR'!$A$1:$I$82</definedName>
    <definedName name="_xlnm.Print_Area" localSheetId="57">ONT_VAR!$A$1:$I$82</definedName>
    <definedName name="_xlnm.Print_Area" localSheetId="3">RECLASS!$A$1:$AI$82</definedName>
    <definedName name="_xlnm.Print_Area" localSheetId="56">STG_VAR!$A$1:$I$82</definedName>
    <definedName name="_xlnm.Print_Area" localSheetId="4">'TIE-OUT'!$A$1:$AI$95</definedName>
    <definedName name="_xlnm.Print_Area" localSheetId="1">TOTAL!$A$1:$I$82</definedName>
    <definedName name="_xlnm.Print_Area" localSheetId="17">'TX-CON-FLSH'!$A$1:$M$82</definedName>
    <definedName name="_xlnm.Print_Area" localSheetId="53">'TX-CON-VAR'!$A$1:$I$82</definedName>
    <definedName name="_xlnm.Print_Area" localSheetId="14">'TX-EGM-FLSH'!$A$1:$M$82</definedName>
    <definedName name="_xlnm.Print_Area" localSheetId="50">'TX-EGM-VAR'!$A$1:$I$82</definedName>
    <definedName name="_xlnm.Print_Area" localSheetId="15">'TX-HPLR-FLSH'!$A$1:$M$82</definedName>
    <definedName name="_xlnm.Print_Area" localSheetId="51">'TX-HPLR-VAR '!$A$1:$I$82</definedName>
    <definedName name="_xlnm.Print_Area" localSheetId="18">'WE-FLSH'!$A$1:$M$82</definedName>
    <definedName name="_xlnm.Print_Area" localSheetId="54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G1" i="44" l="1"/>
  <c r="I1" i="44"/>
  <c r="K1" i="44"/>
  <c r="M1" i="44"/>
  <c r="O1" i="44"/>
  <c r="Q1" i="44"/>
  <c r="S1" i="44"/>
  <c r="U1" i="44"/>
  <c r="W1" i="44"/>
  <c r="Y1" i="44"/>
  <c r="AA1" i="44"/>
  <c r="AC1" i="44"/>
  <c r="AE1" i="44"/>
  <c r="D635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F654" i="44"/>
  <c r="G654" i="44"/>
  <c r="H654" i="44"/>
  <c r="I654" i="44"/>
  <c r="J654" i="44"/>
  <c r="K654" i="44"/>
  <c r="L654" i="44"/>
  <c r="M654" i="44"/>
  <c r="N654" i="44"/>
  <c r="O654" i="44"/>
  <c r="P654" i="44"/>
  <c r="Q654" i="44"/>
  <c r="R654" i="44"/>
  <c r="S654" i="44"/>
  <c r="T654" i="44"/>
  <c r="U654" i="44"/>
  <c r="V654" i="44"/>
  <c r="W654" i="44"/>
  <c r="X654" i="44"/>
  <c r="Y654" i="44"/>
  <c r="Z654" i="44"/>
  <c r="AA654" i="44"/>
  <c r="AB654" i="44"/>
  <c r="AC654" i="44"/>
  <c r="A5" i="48"/>
  <c r="D11" i="48"/>
  <c r="E11" i="48"/>
  <c r="F11" i="48"/>
  <c r="G11" i="48"/>
  <c r="H11" i="48"/>
  <c r="I11" i="48"/>
  <c r="J11" i="48"/>
  <c r="L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H15" i="48"/>
  <c r="I15" i="48"/>
  <c r="J15" i="48"/>
  <c r="L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H19" i="48"/>
  <c r="I19" i="48"/>
  <c r="J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H23" i="48"/>
  <c r="I23" i="48"/>
  <c r="J23" i="48"/>
  <c r="K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H49" i="48"/>
  <c r="I49" i="48"/>
  <c r="J49" i="48"/>
  <c r="K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H51" i="48"/>
  <c r="I51" i="48"/>
  <c r="J51" i="48"/>
  <c r="K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H54" i="48"/>
  <c r="I54" i="48"/>
  <c r="L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H55" i="48"/>
  <c r="I55" i="48"/>
  <c r="J55" i="48"/>
  <c r="L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H70" i="48"/>
  <c r="I70" i="48"/>
  <c r="J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H74" i="48"/>
  <c r="I74" i="48"/>
  <c r="J74" i="48"/>
  <c r="K74" i="48"/>
  <c r="L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P8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D12" i="22"/>
  <c r="E12" i="22"/>
  <c r="D13" i="22"/>
  <c r="E13" i="22"/>
  <c r="D14" i="22"/>
  <c r="E14" i="22"/>
  <c r="D15" i="22"/>
  <c r="E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D20" i="22"/>
  <c r="E20" i="22"/>
  <c r="D21" i="22"/>
  <c r="E21" i="22"/>
  <c r="D22" i="22"/>
  <c r="E22" i="22"/>
  <c r="D23" i="22"/>
  <c r="E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D28" i="22"/>
  <c r="E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D33" i="22"/>
  <c r="E33" i="22"/>
  <c r="D34" i="22"/>
  <c r="E34" i="22"/>
  <c r="D35" i="22"/>
  <c r="E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D40" i="22"/>
  <c r="E40" i="22"/>
  <c r="D41" i="22"/>
  <c r="E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D47" i="22"/>
  <c r="E47" i="22"/>
  <c r="D49" i="22"/>
  <c r="E49" i="22"/>
  <c r="D51" i="22"/>
  <c r="E51" i="22"/>
  <c r="D54" i="22"/>
  <c r="E54" i="22"/>
  <c r="D55" i="22"/>
  <c r="E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D60" i="22"/>
  <c r="E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D65" i="22"/>
  <c r="E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D71" i="22"/>
  <c r="E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D74" i="22"/>
  <c r="E74" i="22"/>
  <c r="D75" i="22"/>
  <c r="E75" i="22"/>
  <c r="D76" i="22"/>
  <c r="E76" i="22"/>
  <c r="D77" i="22"/>
  <c r="E77" i="22"/>
  <c r="D78" i="22"/>
  <c r="E78" i="22"/>
  <c r="D79" i="22"/>
  <c r="E79" i="22"/>
  <c r="D80" i="22"/>
  <c r="E80" i="22"/>
  <c r="D81" i="22"/>
  <c r="E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P8" i="29"/>
  <c r="R8" i="29"/>
  <c r="T8" i="29"/>
  <c r="V8" i="29"/>
  <c r="X8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H20" i="29"/>
  <c r="I20" i="29"/>
  <c r="J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H11" i="20"/>
  <c r="I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H12" i="20"/>
  <c r="I12" i="20"/>
  <c r="J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H13" i="20"/>
  <c r="I13" i="20"/>
  <c r="J13" i="20"/>
  <c r="K13" i="20"/>
  <c r="L13" i="20"/>
  <c r="M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H15" i="20"/>
  <c r="I15" i="20"/>
  <c r="J15" i="20"/>
  <c r="L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H19" i="20"/>
  <c r="I19" i="20"/>
  <c r="J19" i="20"/>
  <c r="K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H20" i="20"/>
  <c r="I20" i="20"/>
  <c r="J20" i="20"/>
  <c r="L20" i="20"/>
  <c r="N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H21" i="20"/>
  <c r="I21" i="20"/>
  <c r="J21" i="20"/>
  <c r="K21" i="20"/>
  <c r="L21" i="20"/>
  <c r="M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H23" i="20"/>
  <c r="I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H27" i="20"/>
  <c r="I27" i="20"/>
  <c r="L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H32" i="20"/>
  <c r="I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H33" i="20"/>
  <c r="I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H34" i="20"/>
  <c r="I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H35" i="20"/>
  <c r="I35" i="20"/>
  <c r="K35" i="20"/>
  <c r="L35" i="20"/>
  <c r="M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H39" i="20"/>
  <c r="I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H49" i="20"/>
  <c r="I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H51" i="20"/>
  <c r="I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H54" i="20"/>
  <c r="I54" i="20"/>
  <c r="P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H55" i="20"/>
  <c r="I55" i="20"/>
  <c r="J55" i="20"/>
  <c r="L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H74" i="20"/>
  <c r="I74" i="20"/>
  <c r="J74" i="20"/>
  <c r="L74" i="20"/>
  <c r="N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F11" i="8"/>
  <c r="G11" i="8"/>
  <c r="H11" i="8"/>
  <c r="I11" i="8"/>
  <c r="L11" i="8"/>
  <c r="M11" i="8"/>
  <c r="F12" i="8"/>
  <c r="G12" i="8"/>
  <c r="H12" i="8"/>
  <c r="I12" i="8"/>
  <c r="L12" i="8"/>
  <c r="M12" i="8"/>
  <c r="F13" i="8"/>
  <c r="G13" i="8"/>
  <c r="H13" i="8"/>
  <c r="I13" i="8"/>
  <c r="L13" i="8"/>
  <c r="M13" i="8"/>
  <c r="F14" i="8"/>
  <c r="G14" i="8"/>
  <c r="H14" i="8"/>
  <c r="I14" i="8"/>
  <c r="L14" i="8"/>
  <c r="M14" i="8"/>
  <c r="F15" i="8"/>
  <c r="G15" i="8"/>
  <c r="H15" i="8"/>
  <c r="I15" i="8"/>
  <c r="L15" i="8"/>
  <c r="M15" i="8"/>
  <c r="F16" i="8"/>
  <c r="G16" i="8"/>
  <c r="H16" i="8"/>
  <c r="I16" i="8"/>
  <c r="J16" i="8"/>
  <c r="K16" i="8"/>
  <c r="L16" i="8"/>
  <c r="M16" i="8"/>
  <c r="H18" i="8"/>
  <c r="I18" i="8"/>
  <c r="F19" i="8"/>
  <c r="G19" i="8"/>
  <c r="H19" i="8"/>
  <c r="I19" i="8"/>
  <c r="L19" i="8"/>
  <c r="M19" i="8"/>
  <c r="F20" i="8"/>
  <c r="G20" i="8"/>
  <c r="H20" i="8"/>
  <c r="I20" i="8"/>
  <c r="L20" i="8"/>
  <c r="M20" i="8"/>
  <c r="F21" i="8"/>
  <c r="G21" i="8"/>
  <c r="H21" i="8"/>
  <c r="I21" i="8"/>
  <c r="L21" i="8"/>
  <c r="M21" i="8"/>
  <c r="F22" i="8"/>
  <c r="G22" i="8"/>
  <c r="H22" i="8"/>
  <c r="I22" i="8"/>
  <c r="L22" i="8"/>
  <c r="M22" i="8"/>
  <c r="F23" i="8"/>
  <c r="G23" i="8"/>
  <c r="H23" i="8"/>
  <c r="I23" i="8"/>
  <c r="L23" i="8"/>
  <c r="M23" i="8"/>
  <c r="F24" i="8"/>
  <c r="G24" i="8"/>
  <c r="H24" i="8"/>
  <c r="I24" i="8"/>
  <c r="J24" i="8"/>
  <c r="K24" i="8"/>
  <c r="L24" i="8"/>
  <c r="M24" i="8"/>
  <c r="F27" i="8"/>
  <c r="G27" i="8"/>
  <c r="H27" i="8"/>
  <c r="I27" i="8"/>
  <c r="L27" i="8"/>
  <c r="M27" i="8"/>
  <c r="F28" i="8"/>
  <c r="G28" i="8"/>
  <c r="H28" i="8"/>
  <c r="I28" i="8"/>
  <c r="L28" i="8"/>
  <c r="M28" i="8"/>
  <c r="F29" i="8"/>
  <c r="G29" i="8"/>
  <c r="H29" i="8"/>
  <c r="I29" i="8"/>
  <c r="J29" i="8"/>
  <c r="K29" i="8"/>
  <c r="L29" i="8"/>
  <c r="M29" i="8"/>
  <c r="F32" i="8"/>
  <c r="G32" i="8"/>
  <c r="H32" i="8"/>
  <c r="I32" i="8"/>
  <c r="L32" i="8"/>
  <c r="M32" i="8"/>
  <c r="F33" i="8"/>
  <c r="G33" i="8"/>
  <c r="H33" i="8"/>
  <c r="I33" i="8"/>
  <c r="L33" i="8"/>
  <c r="M33" i="8"/>
  <c r="F34" i="8"/>
  <c r="G34" i="8"/>
  <c r="H34" i="8"/>
  <c r="I34" i="8"/>
  <c r="L34" i="8"/>
  <c r="M34" i="8"/>
  <c r="F35" i="8"/>
  <c r="G35" i="8"/>
  <c r="H35" i="8"/>
  <c r="I35" i="8"/>
  <c r="L35" i="8"/>
  <c r="M35" i="8"/>
  <c r="F36" i="8"/>
  <c r="G36" i="8"/>
  <c r="H36" i="8"/>
  <c r="I36" i="8"/>
  <c r="J36" i="8"/>
  <c r="K36" i="8"/>
  <c r="L36" i="8"/>
  <c r="M36" i="8"/>
  <c r="L37" i="8"/>
  <c r="M37" i="8"/>
  <c r="H38" i="8"/>
  <c r="I38" i="8"/>
  <c r="F39" i="8"/>
  <c r="G39" i="8"/>
  <c r="H39" i="8"/>
  <c r="I39" i="8"/>
  <c r="L39" i="8"/>
  <c r="M39" i="8"/>
  <c r="F40" i="8"/>
  <c r="G40" i="8"/>
  <c r="H40" i="8"/>
  <c r="I40" i="8"/>
  <c r="L40" i="8"/>
  <c r="M40" i="8"/>
  <c r="F41" i="8"/>
  <c r="G41" i="8"/>
  <c r="H41" i="8"/>
  <c r="I41" i="8"/>
  <c r="L41" i="8"/>
  <c r="M41" i="8"/>
  <c r="F42" i="8"/>
  <c r="G42" i="8"/>
  <c r="H42" i="8"/>
  <c r="I42" i="8"/>
  <c r="J42" i="8"/>
  <c r="K42" i="8"/>
  <c r="L42" i="8"/>
  <c r="M42" i="8"/>
  <c r="F43" i="8"/>
  <c r="G43" i="8"/>
  <c r="H43" i="8"/>
  <c r="I43" i="8"/>
  <c r="J43" i="8"/>
  <c r="K43" i="8"/>
  <c r="L43" i="8"/>
  <c r="M43" i="8"/>
  <c r="F45" i="8"/>
  <c r="G45" i="8"/>
  <c r="H45" i="8"/>
  <c r="I45" i="8"/>
  <c r="L45" i="8"/>
  <c r="M45" i="8"/>
  <c r="F47" i="8"/>
  <c r="G47" i="8"/>
  <c r="H47" i="8"/>
  <c r="I47" i="8"/>
  <c r="L47" i="8"/>
  <c r="M47" i="8"/>
  <c r="F49" i="8"/>
  <c r="G49" i="8"/>
  <c r="H49" i="8"/>
  <c r="I49" i="8"/>
  <c r="L49" i="8"/>
  <c r="M49" i="8"/>
  <c r="F51" i="8"/>
  <c r="G51" i="8"/>
  <c r="H51" i="8"/>
  <c r="I51" i="8"/>
  <c r="L51" i="8"/>
  <c r="M51" i="8"/>
  <c r="F54" i="8"/>
  <c r="G54" i="8"/>
  <c r="H54" i="8"/>
  <c r="I54" i="8"/>
  <c r="L54" i="8"/>
  <c r="M54" i="8"/>
  <c r="F55" i="8"/>
  <c r="G55" i="8"/>
  <c r="H55" i="8"/>
  <c r="I55" i="8"/>
  <c r="L55" i="8"/>
  <c r="M55" i="8"/>
  <c r="F56" i="8"/>
  <c r="G56" i="8"/>
  <c r="H56" i="8"/>
  <c r="I56" i="8"/>
  <c r="J56" i="8"/>
  <c r="K56" i="8"/>
  <c r="L56" i="8"/>
  <c r="M56" i="8"/>
  <c r="F59" i="8"/>
  <c r="G59" i="8"/>
  <c r="H59" i="8"/>
  <c r="I59" i="8"/>
  <c r="L59" i="8"/>
  <c r="M59" i="8"/>
  <c r="F60" i="8"/>
  <c r="G60" i="8"/>
  <c r="H60" i="8"/>
  <c r="I60" i="8"/>
  <c r="L60" i="8"/>
  <c r="M60" i="8"/>
  <c r="F61" i="8"/>
  <c r="G61" i="8"/>
  <c r="H61" i="8"/>
  <c r="I61" i="8"/>
  <c r="J61" i="8"/>
  <c r="K61" i="8"/>
  <c r="L61" i="8"/>
  <c r="M61" i="8"/>
  <c r="F64" i="8"/>
  <c r="G64" i="8"/>
  <c r="H64" i="8"/>
  <c r="I64" i="8"/>
  <c r="L64" i="8"/>
  <c r="M64" i="8"/>
  <c r="F65" i="8"/>
  <c r="G65" i="8"/>
  <c r="H65" i="8"/>
  <c r="I65" i="8"/>
  <c r="L65" i="8"/>
  <c r="M65" i="8"/>
  <c r="F66" i="8"/>
  <c r="G66" i="8"/>
  <c r="H66" i="8"/>
  <c r="I66" i="8"/>
  <c r="J66" i="8"/>
  <c r="K66" i="8"/>
  <c r="L66" i="8"/>
  <c r="M66" i="8"/>
  <c r="L69" i="8"/>
  <c r="M69" i="8"/>
  <c r="F70" i="8"/>
  <c r="G70" i="8"/>
  <c r="H70" i="8"/>
  <c r="I70" i="8"/>
  <c r="L70" i="8"/>
  <c r="M70" i="8"/>
  <c r="F71" i="8"/>
  <c r="G71" i="8"/>
  <c r="H71" i="8"/>
  <c r="I71" i="8"/>
  <c r="L71" i="8"/>
  <c r="M71" i="8"/>
  <c r="F72" i="8"/>
  <c r="G72" i="8"/>
  <c r="H72" i="8"/>
  <c r="I72" i="8"/>
  <c r="J72" i="8"/>
  <c r="K72" i="8"/>
  <c r="L72" i="8"/>
  <c r="M72" i="8"/>
  <c r="F73" i="8"/>
  <c r="G73" i="8"/>
  <c r="H73" i="8"/>
  <c r="I73" i="8"/>
  <c r="L73" i="8"/>
  <c r="M73" i="8"/>
  <c r="F74" i="8"/>
  <c r="G74" i="8"/>
  <c r="H74" i="8"/>
  <c r="I74" i="8"/>
  <c r="L74" i="8"/>
  <c r="M74" i="8"/>
  <c r="F75" i="8"/>
  <c r="G75" i="8"/>
  <c r="H75" i="8"/>
  <c r="I75" i="8"/>
  <c r="L75" i="8"/>
  <c r="M75" i="8"/>
  <c r="F76" i="8"/>
  <c r="G76" i="8"/>
  <c r="H76" i="8"/>
  <c r="I76" i="8"/>
  <c r="L76" i="8"/>
  <c r="M76" i="8"/>
  <c r="F77" i="8"/>
  <c r="G77" i="8"/>
  <c r="H77" i="8"/>
  <c r="I77" i="8"/>
  <c r="L77" i="8"/>
  <c r="M77" i="8"/>
  <c r="F78" i="8"/>
  <c r="G78" i="8"/>
  <c r="H78" i="8"/>
  <c r="I78" i="8"/>
  <c r="L78" i="8"/>
  <c r="M78" i="8"/>
  <c r="F79" i="8"/>
  <c r="G79" i="8"/>
  <c r="H79" i="8"/>
  <c r="I79" i="8"/>
  <c r="L79" i="8"/>
  <c r="M79" i="8"/>
  <c r="F80" i="8"/>
  <c r="G80" i="8"/>
  <c r="H80" i="8"/>
  <c r="I80" i="8"/>
  <c r="L80" i="8"/>
  <c r="M80" i="8"/>
  <c r="F81" i="8"/>
  <c r="G81" i="8"/>
  <c r="H81" i="8"/>
  <c r="I81" i="8"/>
  <c r="L81" i="8"/>
  <c r="M81" i="8"/>
  <c r="F82" i="8"/>
  <c r="G82" i="8"/>
  <c r="H82" i="8"/>
  <c r="I82" i="8"/>
  <c r="J82" i="8"/>
  <c r="K82" i="8"/>
  <c r="L82" i="8"/>
  <c r="M82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B14" i="4"/>
  <c r="C14" i="4"/>
  <c r="D14" i="4"/>
  <c r="E14" i="4"/>
  <c r="F14" i="4"/>
  <c r="G14" i="4"/>
  <c r="H14" i="4"/>
  <c r="C15" i="4"/>
  <c r="E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B30" i="4"/>
  <c r="C30" i="4"/>
  <c r="D30" i="4"/>
  <c r="E30" i="4"/>
  <c r="F30" i="4"/>
  <c r="G30" i="4"/>
  <c r="H30" i="4"/>
  <c r="B31" i="4"/>
  <c r="C31" i="4"/>
  <c r="D31" i="4"/>
  <c r="E31" i="4"/>
  <c r="F31" i="4"/>
  <c r="G31" i="4"/>
  <c r="H31" i="4"/>
  <c r="B32" i="4"/>
  <c r="C32" i="4"/>
  <c r="D32" i="4"/>
  <c r="E32" i="4"/>
  <c r="F32" i="4"/>
  <c r="G32" i="4"/>
  <c r="H32" i="4"/>
  <c r="H33" i="4"/>
  <c r="B34" i="4"/>
  <c r="C34" i="4"/>
  <c r="D34" i="4"/>
  <c r="E34" i="4"/>
  <c r="F34" i="4"/>
  <c r="G34" i="4"/>
  <c r="H87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H86" i="56"/>
  <c r="I86" i="56"/>
  <c r="L86" i="56"/>
  <c r="M86" i="56"/>
  <c r="H87" i="56"/>
  <c r="I87" i="56"/>
  <c r="L87" i="56"/>
  <c r="M87" i="56"/>
  <c r="H88" i="56"/>
  <c r="I88" i="56"/>
  <c r="L88" i="56"/>
  <c r="M88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P8" i="55"/>
  <c r="R8" i="55"/>
  <c r="T8" i="55"/>
  <c r="V8" i="55"/>
  <c r="X8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H11" i="55"/>
  <c r="I11" i="55"/>
  <c r="L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H12" i="55"/>
  <c r="I12" i="55"/>
  <c r="J12" i="55"/>
  <c r="K12" i="55"/>
  <c r="L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H19" i="55"/>
  <c r="I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H21" i="55"/>
  <c r="I21" i="55"/>
  <c r="J21" i="55"/>
  <c r="K21" i="55"/>
  <c r="L21" i="55"/>
  <c r="M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H49" i="55"/>
  <c r="I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H54" i="55"/>
  <c r="I54" i="55"/>
  <c r="O54" i="55"/>
  <c r="P54" i="55"/>
  <c r="Q54" i="55"/>
  <c r="R54" i="55"/>
  <c r="S54" i="55"/>
  <c r="T54" i="55"/>
  <c r="U54" i="55"/>
  <c r="V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H55" i="55"/>
  <c r="I55" i="55"/>
  <c r="J55" i="55"/>
  <c r="L55" i="55"/>
  <c r="N55" i="55"/>
  <c r="O55" i="55"/>
  <c r="P55" i="55"/>
  <c r="Q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D86" i="55"/>
  <c r="E86" i="55"/>
  <c r="F86" i="55"/>
  <c r="G86" i="55"/>
  <c r="D87" i="55"/>
  <c r="E87" i="55"/>
  <c r="F87" i="55"/>
  <c r="G87" i="55"/>
  <c r="D88" i="55"/>
  <c r="E88" i="55"/>
  <c r="F88" i="55"/>
  <c r="G88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D86" i="57"/>
  <c r="E86" i="57"/>
  <c r="F86" i="57"/>
  <c r="G86" i="57"/>
  <c r="H86" i="57"/>
  <c r="I86" i="57"/>
  <c r="D87" i="57"/>
  <c r="E87" i="57"/>
  <c r="F87" i="57"/>
  <c r="G87" i="57"/>
  <c r="H87" i="57"/>
  <c r="I87" i="57"/>
  <c r="D88" i="57"/>
  <c r="E88" i="57"/>
  <c r="F88" i="57"/>
  <c r="G88" i="57"/>
  <c r="H88" i="57"/>
  <c r="I88" i="57"/>
  <c r="D89" i="57"/>
  <c r="E89" i="57"/>
  <c r="F89" i="57"/>
  <c r="G89" i="57"/>
  <c r="H89" i="57"/>
  <c r="I89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P8" i="24"/>
  <c r="R8" i="24"/>
  <c r="T8" i="24"/>
  <c r="V8" i="24"/>
  <c r="X8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P8" i="21"/>
  <c r="R8" i="21"/>
  <c r="T8" i="21"/>
  <c r="V8" i="21"/>
  <c r="X8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H11" i="21"/>
  <c r="I11" i="21"/>
  <c r="N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H12" i="21"/>
  <c r="I12" i="21"/>
  <c r="J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H15" i="21"/>
  <c r="I15" i="21"/>
  <c r="J15" i="21"/>
  <c r="L15" i="21"/>
  <c r="N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H19" i="21"/>
  <c r="I19" i="21"/>
  <c r="J19" i="21"/>
  <c r="K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H20" i="21"/>
  <c r="I20" i="21"/>
  <c r="J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H23" i="21"/>
  <c r="I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H27" i="21"/>
  <c r="I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H32" i="21"/>
  <c r="I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H33" i="21"/>
  <c r="I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H34" i="21"/>
  <c r="I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H35" i="21"/>
  <c r="I35" i="21"/>
  <c r="K35" i="21"/>
  <c r="N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H39" i="21"/>
  <c r="I39" i="21"/>
  <c r="N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H40" i="21"/>
  <c r="I40" i="21"/>
  <c r="L40" i="21"/>
  <c r="M40" i="21"/>
  <c r="N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H49" i="21"/>
  <c r="I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H51" i="21"/>
  <c r="I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H54" i="21"/>
  <c r="I54" i="21"/>
  <c r="P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H55" i="21"/>
  <c r="I55" i="21"/>
  <c r="J55" i="21"/>
  <c r="L55" i="21"/>
  <c r="N55" i="21"/>
  <c r="P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H74" i="21"/>
  <c r="I74" i="21"/>
  <c r="J74" i="21"/>
  <c r="L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H81" i="21"/>
  <c r="I81" i="21"/>
  <c r="J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E7" i="33"/>
  <c r="G7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P8" i="23"/>
  <c r="R8" i="23"/>
  <c r="T8" i="23"/>
  <c r="V8" i="23"/>
  <c r="X8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H81" i="23"/>
  <c r="J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4" i="58"/>
  <c r="A5" i="58"/>
  <c r="F11" i="58"/>
  <c r="G11" i="58"/>
  <c r="H11" i="58"/>
  <c r="I11" i="58"/>
  <c r="L11" i="58"/>
  <c r="M11" i="58"/>
  <c r="F12" i="58"/>
  <c r="G12" i="58"/>
  <c r="H12" i="58"/>
  <c r="I12" i="58"/>
  <c r="L12" i="58"/>
  <c r="M12" i="58"/>
  <c r="F13" i="58"/>
  <c r="G13" i="58"/>
  <c r="H13" i="58"/>
  <c r="I13" i="58"/>
  <c r="L13" i="58"/>
  <c r="M13" i="58"/>
  <c r="F14" i="58"/>
  <c r="G14" i="58"/>
  <c r="H14" i="58"/>
  <c r="I14" i="58"/>
  <c r="L14" i="58"/>
  <c r="M14" i="58"/>
  <c r="F15" i="58"/>
  <c r="G15" i="58"/>
  <c r="H15" i="58"/>
  <c r="I15" i="58"/>
  <c r="L15" i="58"/>
  <c r="M15" i="58"/>
  <c r="F16" i="58"/>
  <c r="G16" i="58"/>
  <c r="H16" i="58"/>
  <c r="I16" i="58"/>
  <c r="J16" i="58"/>
  <c r="K16" i="58"/>
  <c r="L16" i="58"/>
  <c r="M16" i="58"/>
  <c r="H18" i="58"/>
  <c r="I18" i="58"/>
  <c r="F19" i="58"/>
  <c r="G19" i="58"/>
  <c r="H19" i="58"/>
  <c r="I19" i="58"/>
  <c r="L19" i="58"/>
  <c r="M19" i="58"/>
  <c r="F20" i="58"/>
  <c r="G20" i="58"/>
  <c r="H20" i="58"/>
  <c r="I20" i="58"/>
  <c r="L20" i="58"/>
  <c r="M20" i="58"/>
  <c r="F21" i="58"/>
  <c r="G21" i="58"/>
  <c r="H21" i="58"/>
  <c r="I21" i="58"/>
  <c r="L21" i="58"/>
  <c r="M21" i="58"/>
  <c r="F22" i="58"/>
  <c r="G22" i="58"/>
  <c r="H22" i="58"/>
  <c r="I22" i="58"/>
  <c r="L22" i="58"/>
  <c r="M22" i="58"/>
  <c r="F23" i="58"/>
  <c r="G23" i="58"/>
  <c r="H23" i="58"/>
  <c r="I23" i="58"/>
  <c r="L23" i="58"/>
  <c r="M23" i="58"/>
  <c r="F24" i="58"/>
  <c r="G24" i="58"/>
  <c r="H24" i="58"/>
  <c r="I24" i="58"/>
  <c r="J24" i="58"/>
  <c r="K24" i="58"/>
  <c r="L24" i="58"/>
  <c r="M24" i="58"/>
  <c r="F27" i="58"/>
  <c r="G27" i="58"/>
  <c r="H27" i="58"/>
  <c r="I27" i="58"/>
  <c r="L27" i="58"/>
  <c r="M27" i="58"/>
  <c r="F28" i="58"/>
  <c r="G28" i="58"/>
  <c r="H28" i="58"/>
  <c r="I28" i="58"/>
  <c r="L28" i="58"/>
  <c r="M28" i="58"/>
  <c r="F29" i="58"/>
  <c r="G29" i="58"/>
  <c r="H29" i="58"/>
  <c r="I29" i="58"/>
  <c r="J29" i="58"/>
  <c r="K29" i="58"/>
  <c r="L29" i="58"/>
  <c r="M29" i="58"/>
  <c r="F32" i="58"/>
  <c r="G32" i="58"/>
  <c r="H32" i="58"/>
  <c r="I32" i="58"/>
  <c r="L32" i="58"/>
  <c r="M32" i="58"/>
  <c r="F33" i="58"/>
  <c r="G33" i="58"/>
  <c r="H33" i="58"/>
  <c r="I33" i="58"/>
  <c r="L33" i="58"/>
  <c r="M33" i="58"/>
  <c r="F34" i="58"/>
  <c r="G34" i="58"/>
  <c r="H34" i="58"/>
  <c r="I34" i="58"/>
  <c r="L34" i="58"/>
  <c r="M34" i="58"/>
  <c r="F35" i="58"/>
  <c r="G35" i="58"/>
  <c r="H35" i="58"/>
  <c r="I35" i="58"/>
  <c r="L35" i="58"/>
  <c r="M35" i="58"/>
  <c r="F36" i="58"/>
  <c r="G36" i="58"/>
  <c r="H36" i="58"/>
  <c r="I36" i="58"/>
  <c r="J36" i="58"/>
  <c r="K36" i="58"/>
  <c r="L36" i="58"/>
  <c r="M36" i="58"/>
  <c r="L37" i="58"/>
  <c r="M37" i="58"/>
  <c r="H38" i="58"/>
  <c r="I38" i="58"/>
  <c r="F39" i="58"/>
  <c r="G39" i="58"/>
  <c r="H39" i="58"/>
  <c r="I39" i="58"/>
  <c r="L39" i="58"/>
  <c r="M39" i="58"/>
  <c r="F40" i="58"/>
  <c r="G40" i="58"/>
  <c r="H40" i="58"/>
  <c r="I40" i="58"/>
  <c r="L40" i="58"/>
  <c r="M40" i="58"/>
  <c r="F41" i="58"/>
  <c r="G41" i="58"/>
  <c r="H41" i="58"/>
  <c r="I41" i="58"/>
  <c r="L41" i="58"/>
  <c r="M41" i="58"/>
  <c r="F42" i="58"/>
  <c r="G42" i="58"/>
  <c r="H42" i="58"/>
  <c r="I42" i="58"/>
  <c r="J42" i="58"/>
  <c r="K42" i="58"/>
  <c r="L42" i="58"/>
  <c r="M42" i="58"/>
  <c r="F43" i="58"/>
  <c r="G43" i="58"/>
  <c r="H43" i="58"/>
  <c r="I43" i="58"/>
  <c r="J43" i="58"/>
  <c r="K43" i="58"/>
  <c r="L43" i="58"/>
  <c r="M43" i="58"/>
  <c r="F45" i="58"/>
  <c r="G45" i="58"/>
  <c r="H45" i="58"/>
  <c r="I45" i="58"/>
  <c r="L45" i="58"/>
  <c r="M45" i="58"/>
  <c r="F47" i="58"/>
  <c r="G47" i="58"/>
  <c r="H47" i="58"/>
  <c r="I47" i="58"/>
  <c r="L47" i="58"/>
  <c r="M47" i="58"/>
  <c r="F49" i="58"/>
  <c r="G49" i="58"/>
  <c r="H49" i="58"/>
  <c r="I49" i="58"/>
  <c r="L49" i="58"/>
  <c r="M49" i="58"/>
  <c r="F51" i="58"/>
  <c r="G51" i="58"/>
  <c r="H51" i="58"/>
  <c r="I51" i="58"/>
  <c r="L51" i="58"/>
  <c r="M51" i="58"/>
  <c r="F54" i="58"/>
  <c r="G54" i="58"/>
  <c r="H54" i="58"/>
  <c r="I54" i="58"/>
  <c r="L54" i="58"/>
  <c r="M54" i="58"/>
  <c r="F55" i="58"/>
  <c r="G55" i="58"/>
  <c r="H55" i="58"/>
  <c r="I55" i="58"/>
  <c r="L55" i="58"/>
  <c r="M55" i="58"/>
  <c r="F56" i="58"/>
  <c r="G56" i="58"/>
  <c r="H56" i="58"/>
  <c r="I56" i="58"/>
  <c r="J56" i="58"/>
  <c r="K56" i="58"/>
  <c r="L56" i="58"/>
  <c r="M56" i="58"/>
  <c r="F59" i="58"/>
  <c r="G59" i="58"/>
  <c r="H59" i="58"/>
  <c r="I59" i="58"/>
  <c r="L59" i="58"/>
  <c r="M59" i="58"/>
  <c r="F60" i="58"/>
  <c r="G60" i="58"/>
  <c r="H60" i="58"/>
  <c r="I60" i="58"/>
  <c r="L60" i="58"/>
  <c r="M60" i="58"/>
  <c r="F61" i="58"/>
  <c r="G61" i="58"/>
  <c r="H61" i="58"/>
  <c r="I61" i="58"/>
  <c r="J61" i="58"/>
  <c r="K61" i="58"/>
  <c r="L61" i="58"/>
  <c r="M61" i="58"/>
  <c r="F64" i="58"/>
  <c r="G64" i="58"/>
  <c r="H64" i="58"/>
  <c r="I64" i="58"/>
  <c r="L64" i="58"/>
  <c r="M64" i="58"/>
  <c r="F65" i="58"/>
  <c r="G65" i="58"/>
  <c r="H65" i="58"/>
  <c r="I65" i="58"/>
  <c r="L65" i="58"/>
  <c r="M65" i="58"/>
  <c r="F66" i="58"/>
  <c r="G66" i="58"/>
  <c r="H66" i="58"/>
  <c r="I66" i="58"/>
  <c r="J66" i="58"/>
  <c r="K66" i="58"/>
  <c r="L66" i="58"/>
  <c r="M66" i="58"/>
  <c r="F70" i="58"/>
  <c r="G70" i="58"/>
  <c r="H70" i="58"/>
  <c r="I70" i="58"/>
  <c r="L70" i="58"/>
  <c r="M70" i="58"/>
  <c r="F71" i="58"/>
  <c r="G71" i="58"/>
  <c r="H71" i="58"/>
  <c r="I71" i="58"/>
  <c r="L71" i="58"/>
  <c r="M71" i="58"/>
  <c r="F72" i="58"/>
  <c r="G72" i="58"/>
  <c r="H72" i="58"/>
  <c r="I72" i="58"/>
  <c r="J72" i="58"/>
  <c r="K72" i="58"/>
  <c r="L72" i="58"/>
  <c r="M72" i="58"/>
  <c r="F73" i="58"/>
  <c r="G73" i="58"/>
  <c r="H73" i="58"/>
  <c r="I73" i="58"/>
  <c r="L73" i="58"/>
  <c r="M73" i="58"/>
  <c r="F74" i="58"/>
  <c r="G74" i="58"/>
  <c r="H74" i="58"/>
  <c r="I74" i="58"/>
  <c r="L74" i="58"/>
  <c r="M74" i="58"/>
  <c r="F75" i="58"/>
  <c r="G75" i="58"/>
  <c r="H75" i="58"/>
  <c r="I75" i="58"/>
  <c r="L75" i="58"/>
  <c r="M75" i="58"/>
  <c r="F76" i="58"/>
  <c r="G76" i="58"/>
  <c r="H76" i="58"/>
  <c r="I76" i="58"/>
  <c r="L76" i="58"/>
  <c r="M76" i="58"/>
  <c r="F77" i="58"/>
  <c r="G77" i="58"/>
  <c r="H77" i="58"/>
  <c r="I77" i="58"/>
  <c r="L77" i="58"/>
  <c r="M77" i="58"/>
  <c r="F78" i="58"/>
  <c r="G78" i="58"/>
  <c r="H78" i="58"/>
  <c r="I78" i="58"/>
  <c r="L78" i="58"/>
  <c r="M78" i="58"/>
  <c r="F79" i="58"/>
  <c r="G79" i="58"/>
  <c r="H79" i="58"/>
  <c r="I79" i="58"/>
  <c r="L79" i="58"/>
  <c r="M79" i="58"/>
  <c r="F80" i="58"/>
  <c r="G80" i="58"/>
  <c r="H80" i="58"/>
  <c r="I80" i="58"/>
  <c r="L80" i="58"/>
  <c r="M80" i="58"/>
  <c r="F81" i="58"/>
  <c r="G81" i="58"/>
  <c r="H81" i="58"/>
  <c r="I81" i="58"/>
  <c r="L81" i="58"/>
  <c r="M81" i="58"/>
  <c r="D82" i="58"/>
  <c r="E82" i="58"/>
  <c r="F82" i="58"/>
  <c r="G82" i="58"/>
  <c r="H82" i="58"/>
  <c r="I82" i="58"/>
  <c r="J82" i="58"/>
  <c r="K82" i="58"/>
  <c r="L82" i="58"/>
  <c r="M82" i="58"/>
  <c r="A5" i="59"/>
  <c r="P8" i="59"/>
  <c r="R8" i="59"/>
  <c r="T8" i="59"/>
  <c r="V8" i="59"/>
  <c r="X8" i="59"/>
  <c r="Z8" i="59"/>
  <c r="AB8" i="59"/>
  <c r="AD8" i="59"/>
  <c r="AF8" i="59"/>
  <c r="AH8" i="59"/>
  <c r="AJ8" i="59"/>
  <c r="AL8" i="59"/>
  <c r="AN8" i="59"/>
  <c r="D11" i="59"/>
  <c r="E11" i="59"/>
  <c r="F11" i="59"/>
  <c r="G11" i="59"/>
  <c r="H11" i="59"/>
  <c r="I11" i="59"/>
  <c r="R11" i="59"/>
  <c r="S11" i="59"/>
  <c r="T11" i="59"/>
  <c r="U11" i="59"/>
  <c r="V11" i="59"/>
  <c r="W11" i="59"/>
  <c r="X11" i="59"/>
  <c r="Y11" i="59"/>
  <c r="Z11" i="59"/>
  <c r="AA11" i="59"/>
  <c r="AB11" i="59"/>
  <c r="AC11" i="59"/>
  <c r="AD11" i="59"/>
  <c r="AE11" i="59"/>
  <c r="AF11" i="59"/>
  <c r="AG11" i="59"/>
  <c r="AH11" i="59"/>
  <c r="AI11" i="59"/>
  <c r="AJ11" i="59"/>
  <c r="AK11" i="59"/>
  <c r="AL11" i="59"/>
  <c r="AM11" i="59"/>
  <c r="AN11" i="59"/>
  <c r="AO11" i="59"/>
  <c r="D12" i="59"/>
  <c r="E12" i="59"/>
  <c r="F12" i="59"/>
  <c r="G12" i="59"/>
  <c r="R12" i="59"/>
  <c r="S12" i="59"/>
  <c r="T12" i="59"/>
  <c r="U12" i="59"/>
  <c r="V12" i="59"/>
  <c r="W12" i="59"/>
  <c r="X12" i="59"/>
  <c r="Y12" i="59"/>
  <c r="Z12" i="59"/>
  <c r="AA12" i="59"/>
  <c r="AB12" i="59"/>
  <c r="AC12" i="59"/>
  <c r="AD12" i="59"/>
  <c r="AE12" i="59"/>
  <c r="AF12" i="59"/>
  <c r="AG12" i="59"/>
  <c r="AH12" i="59"/>
  <c r="AI12" i="59"/>
  <c r="AJ12" i="59"/>
  <c r="AK12" i="59"/>
  <c r="AL12" i="59"/>
  <c r="AM12" i="59"/>
  <c r="AN12" i="59"/>
  <c r="AO12" i="59"/>
  <c r="D13" i="59"/>
  <c r="E13" i="59"/>
  <c r="F13" i="59"/>
  <c r="G13" i="59"/>
  <c r="R13" i="59"/>
  <c r="S13" i="59"/>
  <c r="T13" i="59"/>
  <c r="U13" i="59"/>
  <c r="V13" i="59"/>
  <c r="W13" i="59"/>
  <c r="X13" i="59"/>
  <c r="Y13" i="59"/>
  <c r="Z13" i="59"/>
  <c r="AA13" i="59"/>
  <c r="AB13" i="59"/>
  <c r="AC13" i="59"/>
  <c r="AD13" i="59"/>
  <c r="AE13" i="59"/>
  <c r="AF13" i="59"/>
  <c r="AG13" i="59"/>
  <c r="AH13" i="59"/>
  <c r="AI13" i="59"/>
  <c r="AJ13" i="59"/>
  <c r="AK13" i="59"/>
  <c r="AL13" i="59"/>
  <c r="AM13" i="59"/>
  <c r="AN13" i="59"/>
  <c r="AO13" i="59"/>
  <c r="D14" i="59"/>
  <c r="E14" i="59"/>
  <c r="F14" i="59"/>
  <c r="G14" i="59"/>
  <c r="R14" i="59"/>
  <c r="S14" i="59"/>
  <c r="T14" i="59"/>
  <c r="U14" i="59"/>
  <c r="V14" i="59"/>
  <c r="W14" i="59"/>
  <c r="X14" i="59"/>
  <c r="Y14" i="59"/>
  <c r="Z14" i="59"/>
  <c r="AA14" i="59"/>
  <c r="AB14" i="59"/>
  <c r="AC14" i="59"/>
  <c r="AD14" i="59"/>
  <c r="AE14" i="59"/>
  <c r="AF14" i="59"/>
  <c r="AG14" i="59"/>
  <c r="AH14" i="59"/>
  <c r="AI14" i="59"/>
  <c r="AJ14" i="59"/>
  <c r="AK14" i="59"/>
  <c r="AL14" i="59"/>
  <c r="AM14" i="59"/>
  <c r="AN14" i="59"/>
  <c r="AO14" i="59"/>
  <c r="D15" i="59"/>
  <c r="E15" i="59"/>
  <c r="F15" i="59"/>
  <c r="G15" i="59"/>
  <c r="R15" i="59"/>
  <c r="S15" i="59"/>
  <c r="T15" i="59"/>
  <c r="U15" i="59"/>
  <c r="V15" i="59"/>
  <c r="W15" i="59"/>
  <c r="X15" i="59"/>
  <c r="Y15" i="59"/>
  <c r="Z15" i="59"/>
  <c r="AA15" i="59"/>
  <c r="AB15" i="59"/>
  <c r="AC15" i="59"/>
  <c r="AD15" i="59"/>
  <c r="AE15" i="59"/>
  <c r="AF15" i="59"/>
  <c r="AG15" i="59"/>
  <c r="AH15" i="59"/>
  <c r="AI15" i="59"/>
  <c r="AJ15" i="59"/>
  <c r="AK15" i="59"/>
  <c r="AL15" i="59"/>
  <c r="AM15" i="59"/>
  <c r="AN15" i="59"/>
  <c r="AO15" i="59"/>
  <c r="D16" i="59"/>
  <c r="E16" i="59"/>
  <c r="F16" i="59"/>
  <c r="G16" i="59"/>
  <c r="H16" i="59"/>
  <c r="I16" i="59"/>
  <c r="J16" i="59"/>
  <c r="K16" i="59"/>
  <c r="L16" i="59"/>
  <c r="M16" i="59"/>
  <c r="N16" i="59"/>
  <c r="O16" i="59"/>
  <c r="P16" i="59"/>
  <c r="Q16" i="59"/>
  <c r="R16" i="59"/>
  <c r="S16" i="59"/>
  <c r="T16" i="59"/>
  <c r="U16" i="59"/>
  <c r="V16" i="59"/>
  <c r="W16" i="59"/>
  <c r="X16" i="59"/>
  <c r="Y16" i="59"/>
  <c r="Z16" i="59"/>
  <c r="AA16" i="59"/>
  <c r="AB16" i="59"/>
  <c r="AC16" i="59"/>
  <c r="AD16" i="59"/>
  <c r="AE16" i="59"/>
  <c r="AF16" i="59"/>
  <c r="AG16" i="59"/>
  <c r="AH16" i="59"/>
  <c r="AI16" i="59"/>
  <c r="AJ16" i="59"/>
  <c r="AK16" i="59"/>
  <c r="AL16" i="59"/>
  <c r="AM16" i="59"/>
  <c r="AN16" i="59"/>
  <c r="AO16" i="59"/>
  <c r="D19" i="59"/>
  <c r="E19" i="59"/>
  <c r="F19" i="59"/>
  <c r="G19" i="59"/>
  <c r="H19" i="59"/>
  <c r="I19" i="59"/>
  <c r="R19" i="59"/>
  <c r="S19" i="59"/>
  <c r="T19" i="59"/>
  <c r="U19" i="59"/>
  <c r="V19" i="59"/>
  <c r="W19" i="59"/>
  <c r="X19" i="59"/>
  <c r="Y19" i="59"/>
  <c r="Z19" i="59"/>
  <c r="AA19" i="59"/>
  <c r="AB19" i="59"/>
  <c r="AC19" i="59"/>
  <c r="AD19" i="59"/>
  <c r="AE19" i="59"/>
  <c r="AF19" i="59"/>
  <c r="AG19" i="59"/>
  <c r="AH19" i="59"/>
  <c r="AI19" i="59"/>
  <c r="AJ19" i="59"/>
  <c r="AK19" i="59"/>
  <c r="AL19" i="59"/>
  <c r="AM19" i="59"/>
  <c r="AN19" i="59"/>
  <c r="AO19" i="59"/>
  <c r="D20" i="59"/>
  <c r="E20" i="59"/>
  <c r="F20" i="59"/>
  <c r="G20" i="59"/>
  <c r="R20" i="59"/>
  <c r="S20" i="59"/>
  <c r="T20" i="59"/>
  <c r="U20" i="59"/>
  <c r="V20" i="59"/>
  <c r="W20" i="59"/>
  <c r="X20" i="59"/>
  <c r="Y20" i="59"/>
  <c r="Z20" i="59"/>
  <c r="AA20" i="59"/>
  <c r="AB20" i="59"/>
  <c r="AC20" i="59"/>
  <c r="AD20" i="59"/>
  <c r="AE20" i="59"/>
  <c r="AF20" i="59"/>
  <c r="AG20" i="59"/>
  <c r="AH20" i="59"/>
  <c r="AI20" i="59"/>
  <c r="AJ20" i="59"/>
  <c r="AK20" i="59"/>
  <c r="AL20" i="59"/>
  <c r="AM20" i="59"/>
  <c r="AN20" i="59"/>
  <c r="AO20" i="59"/>
  <c r="D21" i="59"/>
  <c r="E21" i="59"/>
  <c r="F21" i="59"/>
  <c r="G21" i="59"/>
  <c r="R21" i="59"/>
  <c r="S21" i="59"/>
  <c r="T21" i="59"/>
  <c r="U21" i="59"/>
  <c r="V21" i="59"/>
  <c r="W21" i="59"/>
  <c r="X21" i="59"/>
  <c r="Y21" i="59"/>
  <c r="Z21" i="59"/>
  <c r="AA21" i="59"/>
  <c r="AB21" i="59"/>
  <c r="AC21" i="59"/>
  <c r="AD21" i="59"/>
  <c r="AE21" i="59"/>
  <c r="AF21" i="59"/>
  <c r="AG21" i="59"/>
  <c r="AH21" i="59"/>
  <c r="AI21" i="59"/>
  <c r="AJ21" i="59"/>
  <c r="AK21" i="59"/>
  <c r="AL21" i="59"/>
  <c r="AM21" i="59"/>
  <c r="AN21" i="59"/>
  <c r="AO21" i="59"/>
  <c r="D22" i="59"/>
  <c r="E22" i="59"/>
  <c r="F22" i="59"/>
  <c r="G22" i="59"/>
  <c r="R22" i="59"/>
  <c r="S22" i="59"/>
  <c r="T22" i="59"/>
  <c r="U22" i="59"/>
  <c r="V22" i="59"/>
  <c r="W22" i="59"/>
  <c r="X22" i="59"/>
  <c r="Y22" i="59"/>
  <c r="Z22" i="59"/>
  <c r="AA22" i="59"/>
  <c r="AB22" i="59"/>
  <c r="AC22" i="59"/>
  <c r="AD22" i="59"/>
  <c r="AE22" i="59"/>
  <c r="AF22" i="59"/>
  <c r="AG22" i="59"/>
  <c r="AH22" i="59"/>
  <c r="AI22" i="59"/>
  <c r="AJ22" i="59"/>
  <c r="AK22" i="59"/>
  <c r="AL22" i="59"/>
  <c r="AM22" i="59"/>
  <c r="AN22" i="59"/>
  <c r="AO22" i="59"/>
  <c r="D23" i="59"/>
  <c r="E23" i="59"/>
  <c r="F23" i="59"/>
  <c r="G23" i="59"/>
  <c r="R23" i="59"/>
  <c r="S23" i="59"/>
  <c r="T23" i="59"/>
  <c r="U23" i="59"/>
  <c r="V23" i="59"/>
  <c r="W23" i="59"/>
  <c r="X23" i="59"/>
  <c r="Y23" i="59"/>
  <c r="Z23" i="59"/>
  <c r="AA23" i="59"/>
  <c r="AB23" i="59"/>
  <c r="AC23" i="59"/>
  <c r="AD23" i="59"/>
  <c r="AE23" i="59"/>
  <c r="AF23" i="59"/>
  <c r="AG23" i="59"/>
  <c r="AH23" i="59"/>
  <c r="AI23" i="59"/>
  <c r="AJ23" i="59"/>
  <c r="AK23" i="59"/>
  <c r="AL23" i="59"/>
  <c r="AM23" i="59"/>
  <c r="AN23" i="59"/>
  <c r="AO23" i="59"/>
  <c r="D24" i="59"/>
  <c r="E24" i="59"/>
  <c r="F24" i="59"/>
  <c r="G24" i="59"/>
  <c r="H24" i="59"/>
  <c r="I24" i="59"/>
  <c r="J24" i="59"/>
  <c r="K24" i="59"/>
  <c r="L24" i="59"/>
  <c r="M24" i="59"/>
  <c r="N24" i="59"/>
  <c r="O24" i="59"/>
  <c r="P24" i="59"/>
  <c r="Q24" i="59"/>
  <c r="R24" i="59"/>
  <c r="S24" i="59"/>
  <c r="T24" i="59"/>
  <c r="U24" i="59"/>
  <c r="V24" i="59"/>
  <c r="W24" i="59"/>
  <c r="X24" i="59"/>
  <c r="Y24" i="59"/>
  <c r="Z24" i="59"/>
  <c r="AA24" i="59"/>
  <c r="AB24" i="59"/>
  <c r="AC24" i="59"/>
  <c r="AD24" i="59"/>
  <c r="AE24" i="59"/>
  <c r="AF24" i="59"/>
  <c r="AG24" i="59"/>
  <c r="AH24" i="59"/>
  <c r="AI24" i="59"/>
  <c r="AJ24" i="59"/>
  <c r="AK24" i="59"/>
  <c r="AL24" i="59"/>
  <c r="AM24" i="59"/>
  <c r="AN24" i="59"/>
  <c r="AO24" i="59"/>
  <c r="D27" i="59"/>
  <c r="E27" i="59"/>
  <c r="F27" i="59"/>
  <c r="G27" i="59"/>
  <c r="R27" i="59"/>
  <c r="S27" i="59"/>
  <c r="T27" i="59"/>
  <c r="U27" i="59"/>
  <c r="V27" i="59"/>
  <c r="W27" i="59"/>
  <c r="X27" i="59"/>
  <c r="Y27" i="59"/>
  <c r="Z27" i="59"/>
  <c r="AA27" i="59"/>
  <c r="AB27" i="59"/>
  <c r="AC27" i="59"/>
  <c r="AD27" i="59"/>
  <c r="AE27" i="59"/>
  <c r="AF27" i="59"/>
  <c r="AG27" i="59"/>
  <c r="AH27" i="59"/>
  <c r="AI27" i="59"/>
  <c r="AJ27" i="59"/>
  <c r="AK27" i="59"/>
  <c r="AL27" i="59"/>
  <c r="AM27" i="59"/>
  <c r="AN27" i="59"/>
  <c r="AO27" i="59"/>
  <c r="D28" i="59"/>
  <c r="E28" i="59"/>
  <c r="F28" i="59"/>
  <c r="G28" i="59"/>
  <c r="R28" i="59"/>
  <c r="S28" i="59"/>
  <c r="T28" i="59"/>
  <c r="U28" i="59"/>
  <c r="V28" i="59"/>
  <c r="W28" i="59"/>
  <c r="X28" i="59"/>
  <c r="Y28" i="59"/>
  <c r="Z28" i="59"/>
  <c r="AA28" i="59"/>
  <c r="AB28" i="59"/>
  <c r="AC28" i="59"/>
  <c r="AD28" i="59"/>
  <c r="AE28" i="59"/>
  <c r="AF28" i="59"/>
  <c r="AG28" i="59"/>
  <c r="AH28" i="59"/>
  <c r="AI28" i="59"/>
  <c r="AJ28" i="59"/>
  <c r="AK28" i="59"/>
  <c r="AL28" i="59"/>
  <c r="AM28" i="59"/>
  <c r="AN28" i="59"/>
  <c r="AO28" i="59"/>
  <c r="D29" i="59"/>
  <c r="E29" i="59"/>
  <c r="F29" i="59"/>
  <c r="G29" i="59"/>
  <c r="H29" i="59"/>
  <c r="I29" i="59"/>
  <c r="J29" i="59"/>
  <c r="K29" i="59"/>
  <c r="L29" i="59"/>
  <c r="M29" i="59"/>
  <c r="N29" i="59"/>
  <c r="O29" i="59"/>
  <c r="P29" i="59"/>
  <c r="Q29" i="59"/>
  <c r="R29" i="59"/>
  <c r="S29" i="59"/>
  <c r="T29" i="59"/>
  <c r="U29" i="59"/>
  <c r="V29" i="59"/>
  <c r="W29" i="59"/>
  <c r="X29" i="59"/>
  <c r="Y29" i="59"/>
  <c r="Z29" i="59"/>
  <c r="AA29" i="59"/>
  <c r="AB29" i="59"/>
  <c r="AC29" i="59"/>
  <c r="AD29" i="59"/>
  <c r="AE29" i="59"/>
  <c r="AF29" i="59"/>
  <c r="AG29" i="59"/>
  <c r="AH29" i="59"/>
  <c r="AI29" i="59"/>
  <c r="AJ29" i="59"/>
  <c r="AK29" i="59"/>
  <c r="AL29" i="59"/>
  <c r="AM29" i="59"/>
  <c r="AN29" i="59"/>
  <c r="AO29" i="59"/>
  <c r="D32" i="59"/>
  <c r="E32" i="59"/>
  <c r="F32" i="59"/>
  <c r="G32" i="59"/>
  <c r="R32" i="59"/>
  <c r="S32" i="59"/>
  <c r="T32" i="59"/>
  <c r="U32" i="59"/>
  <c r="V32" i="59"/>
  <c r="W32" i="59"/>
  <c r="X32" i="59"/>
  <c r="Y32" i="59"/>
  <c r="Z32" i="59"/>
  <c r="AA32" i="59"/>
  <c r="AB32" i="59"/>
  <c r="AC32" i="59"/>
  <c r="AD32" i="59"/>
  <c r="AE32" i="59"/>
  <c r="AF32" i="59"/>
  <c r="AG32" i="59"/>
  <c r="AH32" i="59"/>
  <c r="AI32" i="59"/>
  <c r="AJ32" i="59"/>
  <c r="AK32" i="59"/>
  <c r="AL32" i="59"/>
  <c r="AM32" i="59"/>
  <c r="AN32" i="59"/>
  <c r="AO32" i="59"/>
  <c r="D33" i="59"/>
  <c r="E33" i="59"/>
  <c r="F33" i="59"/>
  <c r="G33" i="59"/>
  <c r="R33" i="59"/>
  <c r="S33" i="59"/>
  <c r="T33" i="59"/>
  <c r="U33" i="59"/>
  <c r="V33" i="59"/>
  <c r="W33" i="59"/>
  <c r="X33" i="59"/>
  <c r="Y33" i="59"/>
  <c r="Z33" i="59"/>
  <c r="AA33" i="59"/>
  <c r="AB33" i="59"/>
  <c r="AC33" i="59"/>
  <c r="AD33" i="59"/>
  <c r="AE33" i="59"/>
  <c r="AF33" i="59"/>
  <c r="AG33" i="59"/>
  <c r="AH33" i="59"/>
  <c r="AI33" i="59"/>
  <c r="AJ33" i="59"/>
  <c r="AK33" i="59"/>
  <c r="AL33" i="59"/>
  <c r="AM33" i="59"/>
  <c r="AN33" i="59"/>
  <c r="AO33" i="59"/>
  <c r="D34" i="59"/>
  <c r="E34" i="59"/>
  <c r="F34" i="59"/>
  <c r="G34" i="59"/>
  <c r="R34" i="59"/>
  <c r="S34" i="59"/>
  <c r="T34" i="59"/>
  <c r="U34" i="59"/>
  <c r="V34" i="59"/>
  <c r="W34" i="59"/>
  <c r="X34" i="59"/>
  <c r="Y34" i="59"/>
  <c r="Z34" i="59"/>
  <c r="AA34" i="59"/>
  <c r="AB34" i="59"/>
  <c r="AC34" i="59"/>
  <c r="AD34" i="59"/>
  <c r="AE34" i="59"/>
  <c r="AF34" i="59"/>
  <c r="AG34" i="59"/>
  <c r="AH34" i="59"/>
  <c r="AI34" i="59"/>
  <c r="AJ34" i="59"/>
  <c r="AK34" i="59"/>
  <c r="AL34" i="59"/>
  <c r="AM34" i="59"/>
  <c r="AN34" i="59"/>
  <c r="AO34" i="59"/>
  <c r="D35" i="59"/>
  <c r="E35" i="59"/>
  <c r="F35" i="59"/>
  <c r="G35" i="59"/>
  <c r="R35" i="59"/>
  <c r="S35" i="59"/>
  <c r="T35" i="59"/>
  <c r="U35" i="59"/>
  <c r="V35" i="59"/>
  <c r="W35" i="59"/>
  <c r="X35" i="59"/>
  <c r="Y35" i="59"/>
  <c r="Z35" i="59"/>
  <c r="AA35" i="59"/>
  <c r="AB35" i="59"/>
  <c r="AC35" i="59"/>
  <c r="AD35" i="59"/>
  <c r="AE35" i="59"/>
  <c r="AF35" i="59"/>
  <c r="AG35" i="59"/>
  <c r="AH35" i="59"/>
  <c r="AI35" i="59"/>
  <c r="AJ35" i="59"/>
  <c r="AK35" i="59"/>
  <c r="AL35" i="59"/>
  <c r="AM35" i="59"/>
  <c r="AN35" i="59"/>
  <c r="AO35" i="59"/>
  <c r="D36" i="59"/>
  <c r="E36" i="59"/>
  <c r="F36" i="59"/>
  <c r="G36" i="59"/>
  <c r="H36" i="59"/>
  <c r="I36" i="59"/>
  <c r="J36" i="59"/>
  <c r="K36" i="59"/>
  <c r="L36" i="59"/>
  <c r="M36" i="59"/>
  <c r="N36" i="59"/>
  <c r="O36" i="59"/>
  <c r="P36" i="59"/>
  <c r="Q36" i="59"/>
  <c r="R36" i="59"/>
  <c r="S36" i="59"/>
  <c r="T36" i="59"/>
  <c r="U36" i="59"/>
  <c r="V36" i="59"/>
  <c r="W36" i="59"/>
  <c r="X36" i="59"/>
  <c r="Y36" i="59"/>
  <c r="Z36" i="59"/>
  <c r="AA36" i="59"/>
  <c r="AB36" i="59"/>
  <c r="AC36" i="59"/>
  <c r="AD36" i="59"/>
  <c r="AE36" i="59"/>
  <c r="AF36" i="59"/>
  <c r="AG36" i="59"/>
  <c r="AH36" i="59"/>
  <c r="AI36" i="59"/>
  <c r="AJ36" i="59"/>
  <c r="AK36" i="59"/>
  <c r="AL36" i="59"/>
  <c r="AM36" i="59"/>
  <c r="AN36" i="59"/>
  <c r="AO36" i="59"/>
  <c r="D39" i="59"/>
  <c r="E39" i="59"/>
  <c r="F39" i="59"/>
  <c r="G39" i="59"/>
  <c r="R39" i="59"/>
  <c r="S39" i="59"/>
  <c r="T39" i="59"/>
  <c r="U39" i="59"/>
  <c r="V39" i="59"/>
  <c r="W39" i="59"/>
  <c r="X39" i="59"/>
  <c r="Y39" i="59"/>
  <c r="Z39" i="59"/>
  <c r="AA39" i="59"/>
  <c r="AB39" i="59"/>
  <c r="AC39" i="59"/>
  <c r="AD39" i="59"/>
  <c r="AE39" i="59"/>
  <c r="AF39" i="59"/>
  <c r="AG39" i="59"/>
  <c r="AH39" i="59"/>
  <c r="AI39" i="59"/>
  <c r="AJ39" i="59"/>
  <c r="AK39" i="59"/>
  <c r="AL39" i="59"/>
  <c r="AM39" i="59"/>
  <c r="AN39" i="59"/>
  <c r="AO39" i="59"/>
  <c r="D40" i="59"/>
  <c r="E40" i="59"/>
  <c r="F40" i="59"/>
  <c r="G40" i="59"/>
  <c r="R40" i="59"/>
  <c r="S40" i="59"/>
  <c r="T40" i="59"/>
  <c r="U40" i="59"/>
  <c r="V40" i="59"/>
  <c r="W40" i="59"/>
  <c r="X40" i="59"/>
  <c r="Y40" i="59"/>
  <c r="Z40" i="59"/>
  <c r="AA40" i="59"/>
  <c r="AB40" i="59"/>
  <c r="AC40" i="59"/>
  <c r="AD40" i="59"/>
  <c r="AE40" i="59"/>
  <c r="AF40" i="59"/>
  <c r="AG40" i="59"/>
  <c r="AH40" i="59"/>
  <c r="AI40" i="59"/>
  <c r="AJ40" i="59"/>
  <c r="AK40" i="59"/>
  <c r="AL40" i="59"/>
  <c r="AM40" i="59"/>
  <c r="AN40" i="59"/>
  <c r="AO40" i="59"/>
  <c r="D41" i="59"/>
  <c r="E41" i="59"/>
  <c r="F41" i="59"/>
  <c r="G41" i="59"/>
  <c r="R41" i="59"/>
  <c r="S41" i="59"/>
  <c r="T41" i="59"/>
  <c r="U41" i="59"/>
  <c r="V41" i="59"/>
  <c r="W41" i="59"/>
  <c r="X41" i="59"/>
  <c r="Y41" i="59"/>
  <c r="Z41" i="59"/>
  <c r="AA41" i="59"/>
  <c r="AB41" i="59"/>
  <c r="AC41" i="59"/>
  <c r="AD41" i="59"/>
  <c r="AE41" i="59"/>
  <c r="AF41" i="59"/>
  <c r="AG41" i="59"/>
  <c r="AH41" i="59"/>
  <c r="AI41" i="59"/>
  <c r="AJ41" i="59"/>
  <c r="AK41" i="59"/>
  <c r="AL41" i="59"/>
  <c r="AM41" i="59"/>
  <c r="AN41" i="59"/>
  <c r="AO41" i="59"/>
  <c r="D42" i="59"/>
  <c r="E42" i="59"/>
  <c r="F42" i="59"/>
  <c r="G42" i="59"/>
  <c r="H42" i="59"/>
  <c r="I42" i="59"/>
  <c r="J42" i="59"/>
  <c r="K42" i="59"/>
  <c r="L42" i="59"/>
  <c r="M42" i="59"/>
  <c r="N42" i="59"/>
  <c r="O42" i="59"/>
  <c r="P42" i="59"/>
  <c r="Q42" i="59"/>
  <c r="R42" i="59"/>
  <c r="S42" i="59"/>
  <c r="T42" i="59"/>
  <c r="U42" i="59"/>
  <c r="V42" i="59"/>
  <c r="W42" i="59"/>
  <c r="X42" i="59"/>
  <c r="Y42" i="59"/>
  <c r="Z42" i="59"/>
  <c r="AA42" i="59"/>
  <c r="AB42" i="59"/>
  <c r="AC42" i="59"/>
  <c r="AD42" i="59"/>
  <c r="AE42" i="59"/>
  <c r="AF42" i="59"/>
  <c r="AG42" i="59"/>
  <c r="AH42" i="59"/>
  <c r="AI42" i="59"/>
  <c r="AJ42" i="59"/>
  <c r="AK42" i="59"/>
  <c r="AL42" i="59"/>
  <c r="AM42" i="59"/>
  <c r="AN42" i="59"/>
  <c r="AO42" i="59"/>
  <c r="D43" i="59"/>
  <c r="E43" i="59"/>
  <c r="F43" i="59"/>
  <c r="G43" i="59"/>
  <c r="H43" i="59"/>
  <c r="I43" i="59"/>
  <c r="J43" i="59"/>
  <c r="K43" i="59"/>
  <c r="L43" i="59"/>
  <c r="M43" i="59"/>
  <c r="N43" i="59"/>
  <c r="O43" i="59"/>
  <c r="P43" i="59"/>
  <c r="Q43" i="59"/>
  <c r="R43" i="59"/>
  <c r="S43" i="59"/>
  <c r="T43" i="59"/>
  <c r="U43" i="59"/>
  <c r="V43" i="59"/>
  <c r="W43" i="59"/>
  <c r="X43" i="59"/>
  <c r="Y43" i="59"/>
  <c r="Z43" i="59"/>
  <c r="AA43" i="59"/>
  <c r="AB43" i="59"/>
  <c r="AC43" i="59"/>
  <c r="AD43" i="59"/>
  <c r="AE43" i="59"/>
  <c r="AF43" i="59"/>
  <c r="AG43" i="59"/>
  <c r="AH43" i="59"/>
  <c r="AI43" i="59"/>
  <c r="AJ43" i="59"/>
  <c r="AK43" i="59"/>
  <c r="AL43" i="59"/>
  <c r="AM43" i="59"/>
  <c r="AN43" i="59"/>
  <c r="AO43" i="59"/>
  <c r="D45" i="59"/>
  <c r="E45" i="59"/>
  <c r="F45" i="59"/>
  <c r="G45" i="59"/>
  <c r="R45" i="59"/>
  <c r="S45" i="59"/>
  <c r="T45" i="59"/>
  <c r="U45" i="59"/>
  <c r="V45" i="59"/>
  <c r="W45" i="59"/>
  <c r="X45" i="59"/>
  <c r="Y45" i="59"/>
  <c r="Z45" i="59"/>
  <c r="AA45" i="59"/>
  <c r="AB45" i="59"/>
  <c r="AC45" i="59"/>
  <c r="AD45" i="59"/>
  <c r="AE45" i="59"/>
  <c r="AF45" i="59"/>
  <c r="AG45" i="59"/>
  <c r="AH45" i="59"/>
  <c r="AI45" i="59"/>
  <c r="AJ45" i="59"/>
  <c r="AK45" i="59"/>
  <c r="AL45" i="59"/>
  <c r="AM45" i="59"/>
  <c r="AN45" i="59"/>
  <c r="AO45" i="59"/>
  <c r="D47" i="59"/>
  <c r="E47" i="59"/>
  <c r="F47" i="59"/>
  <c r="G47" i="59"/>
  <c r="R47" i="59"/>
  <c r="S47" i="59"/>
  <c r="T47" i="59"/>
  <c r="U47" i="59"/>
  <c r="V47" i="59"/>
  <c r="W47" i="59"/>
  <c r="X47" i="59"/>
  <c r="Y47" i="59"/>
  <c r="Z47" i="59"/>
  <c r="AA47" i="59"/>
  <c r="AB47" i="59"/>
  <c r="AC47" i="59"/>
  <c r="AD47" i="59"/>
  <c r="AE47" i="59"/>
  <c r="AF47" i="59"/>
  <c r="AG47" i="59"/>
  <c r="AH47" i="59"/>
  <c r="AI47" i="59"/>
  <c r="AJ47" i="59"/>
  <c r="AK47" i="59"/>
  <c r="AL47" i="59"/>
  <c r="AM47" i="59"/>
  <c r="AN47" i="59"/>
  <c r="AO47" i="59"/>
  <c r="D49" i="59"/>
  <c r="E49" i="59"/>
  <c r="F49" i="59"/>
  <c r="G49" i="59"/>
  <c r="R49" i="59"/>
  <c r="S49" i="59"/>
  <c r="T49" i="59"/>
  <c r="U49" i="59"/>
  <c r="V49" i="59"/>
  <c r="W49" i="59"/>
  <c r="X49" i="59"/>
  <c r="Y49" i="59"/>
  <c r="Z49" i="59"/>
  <c r="AA49" i="59"/>
  <c r="AB49" i="59"/>
  <c r="AC49" i="59"/>
  <c r="AD49" i="59"/>
  <c r="AE49" i="59"/>
  <c r="AF49" i="59"/>
  <c r="AG49" i="59"/>
  <c r="AH49" i="59"/>
  <c r="AI49" i="59"/>
  <c r="AJ49" i="59"/>
  <c r="AK49" i="59"/>
  <c r="AL49" i="59"/>
  <c r="AM49" i="59"/>
  <c r="AN49" i="59"/>
  <c r="AO49" i="59"/>
  <c r="D51" i="59"/>
  <c r="E51" i="59"/>
  <c r="F51" i="59"/>
  <c r="G51" i="59"/>
  <c r="R51" i="59"/>
  <c r="S51" i="59"/>
  <c r="T51" i="59"/>
  <c r="U51" i="59"/>
  <c r="V51" i="59"/>
  <c r="W51" i="59"/>
  <c r="X51" i="59"/>
  <c r="Y51" i="59"/>
  <c r="Z51" i="59"/>
  <c r="AA51" i="59"/>
  <c r="AB51" i="59"/>
  <c r="AC51" i="59"/>
  <c r="AD51" i="59"/>
  <c r="AE51" i="59"/>
  <c r="AF51" i="59"/>
  <c r="AG51" i="59"/>
  <c r="AH51" i="59"/>
  <c r="AI51" i="59"/>
  <c r="AJ51" i="59"/>
  <c r="AK51" i="59"/>
  <c r="AL51" i="59"/>
  <c r="AM51" i="59"/>
  <c r="AN51" i="59"/>
  <c r="AO51" i="59"/>
  <c r="D54" i="59"/>
  <c r="E54" i="59"/>
  <c r="F54" i="59"/>
  <c r="G54" i="59"/>
  <c r="H54" i="59"/>
  <c r="I54" i="59"/>
  <c r="R54" i="59"/>
  <c r="S54" i="59"/>
  <c r="T54" i="59"/>
  <c r="U54" i="59"/>
  <c r="V54" i="59"/>
  <c r="W54" i="59"/>
  <c r="X54" i="59"/>
  <c r="Y54" i="59"/>
  <c r="Z54" i="59"/>
  <c r="AA54" i="59"/>
  <c r="AB54" i="59"/>
  <c r="AC54" i="59"/>
  <c r="AD54" i="59"/>
  <c r="AE54" i="59"/>
  <c r="AF54" i="59"/>
  <c r="AG54" i="59"/>
  <c r="AH54" i="59"/>
  <c r="AI54" i="59"/>
  <c r="AJ54" i="59"/>
  <c r="AK54" i="59"/>
  <c r="AL54" i="59"/>
  <c r="AM54" i="59"/>
  <c r="AN54" i="59"/>
  <c r="AO54" i="59"/>
  <c r="D55" i="59"/>
  <c r="E55" i="59"/>
  <c r="F55" i="59"/>
  <c r="G55" i="59"/>
  <c r="I55" i="59"/>
  <c r="R55" i="59"/>
  <c r="S55" i="59"/>
  <c r="T55" i="59"/>
  <c r="U55" i="59"/>
  <c r="V55" i="59"/>
  <c r="W55" i="59"/>
  <c r="X55" i="59"/>
  <c r="Y55" i="59"/>
  <c r="Z55" i="59"/>
  <c r="AA55" i="59"/>
  <c r="AB55" i="59"/>
  <c r="AC55" i="59"/>
  <c r="AD55" i="59"/>
  <c r="AE55" i="59"/>
  <c r="AF55" i="59"/>
  <c r="AG55" i="59"/>
  <c r="AH55" i="59"/>
  <c r="AI55" i="59"/>
  <c r="AJ55" i="59"/>
  <c r="AK55" i="59"/>
  <c r="AL55" i="59"/>
  <c r="AM55" i="59"/>
  <c r="AN55" i="59"/>
  <c r="AO55" i="59"/>
  <c r="D56" i="59"/>
  <c r="E56" i="59"/>
  <c r="F56" i="59"/>
  <c r="G56" i="59"/>
  <c r="H56" i="59"/>
  <c r="I56" i="59"/>
  <c r="J56" i="59"/>
  <c r="K56" i="59"/>
  <c r="L56" i="59"/>
  <c r="M56" i="59"/>
  <c r="N56" i="59"/>
  <c r="O56" i="59"/>
  <c r="P56" i="59"/>
  <c r="Q56" i="59"/>
  <c r="R56" i="59"/>
  <c r="S56" i="59"/>
  <c r="T56" i="59"/>
  <c r="U56" i="59"/>
  <c r="V56" i="59"/>
  <c r="W56" i="59"/>
  <c r="X56" i="59"/>
  <c r="Y56" i="59"/>
  <c r="Z56" i="59"/>
  <c r="AA56" i="59"/>
  <c r="AB56" i="59"/>
  <c r="AC56" i="59"/>
  <c r="AD56" i="59"/>
  <c r="AE56" i="59"/>
  <c r="AF56" i="59"/>
  <c r="AG56" i="59"/>
  <c r="AH56" i="59"/>
  <c r="AI56" i="59"/>
  <c r="AJ56" i="59"/>
  <c r="AK56" i="59"/>
  <c r="AL56" i="59"/>
  <c r="AM56" i="59"/>
  <c r="AN56" i="59"/>
  <c r="AO56" i="59"/>
  <c r="D59" i="59"/>
  <c r="E59" i="59"/>
  <c r="F59" i="59"/>
  <c r="G59" i="59"/>
  <c r="R59" i="59"/>
  <c r="S59" i="59"/>
  <c r="T59" i="59"/>
  <c r="U59" i="59"/>
  <c r="V59" i="59"/>
  <c r="W59" i="59"/>
  <c r="X59" i="59"/>
  <c r="Y59" i="59"/>
  <c r="Z59" i="59"/>
  <c r="AA59" i="59"/>
  <c r="AB59" i="59"/>
  <c r="AC59" i="59"/>
  <c r="AD59" i="59"/>
  <c r="AE59" i="59"/>
  <c r="AF59" i="59"/>
  <c r="AG59" i="59"/>
  <c r="AH59" i="59"/>
  <c r="AI59" i="59"/>
  <c r="AJ59" i="59"/>
  <c r="AK59" i="59"/>
  <c r="AL59" i="59"/>
  <c r="AM59" i="59"/>
  <c r="AN59" i="59"/>
  <c r="AO59" i="59"/>
  <c r="D60" i="59"/>
  <c r="E60" i="59"/>
  <c r="F60" i="59"/>
  <c r="G60" i="59"/>
  <c r="R60" i="59"/>
  <c r="S60" i="59"/>
  <c r="T60" i="59"/>
  <c r="U60" i="59"/>
  <c r="V60" i="59"/>
  <c r="W60" i="59"/>
  <c r="X60" i="59"/>
  <c r="Y60" i="59"/>
  <c r="Z60" i="59"/>
  <c r="AA60" i="59"/>
  <c r="AB60" i="59"/>
  <c r="AC60" i="59"/>
  <c r="AD60" i="59"/>
  <c r="AE60" i="59"/>
  <c r="AF60" i="59"/>
  <c r="AG60" i="59"/>
  <c r="AH60" i="59"/>
  <c r="AI60" i="59"/>
  <c r="AJ60" i="59"/>
  <c r="AK60" i="59"/>
  <c r="AL60" i="59"/>
  <c r="AM60" i="59"/>
  <c r="AN60" i="59"/>
  <c r="AO60" i="59"/>
  <c r="D61" i="59"/>
  <c r="E61" i="59"/>
  <c r="F61" i="59"/>
  <c r="G61" i="59"/>
  <c r="H61" i="59"/>
  <c r="I61" i="59"/>
  <c r="J61" i="59"/>
  <c r="K61" i="59"/>
  <c r="L61" i="59"/>
  <c r="M61" i="59"/>
  <c r="N61" i="59"/>
  <c r="O61" i="59"/>
  <c r="P61" i="59"/>
  <c r="Q61" i="59"/>
  <c r="R61" i="59"/>
  <c r="S61" i="59"/>
  <c r="T61" i="59"/>
  <c r="U61" i="59"/>
  <c r="V61" i="59"/>
  <c r="W61" i="59"/>
  <c r="X61" i="59"/>
  <c r="Y61" i="59"/>
  <c r="Z61" i="59"/>
  <c r="AA61" i="59"/>
  <c r="AB61" i="59"/>
  <c r="AC61" i="59"/>
  <c r="AD61" i="59"/>
  <c r="AE61" i="59"/>
  <c r="AF61" i="59"/>
  <c r="AG61" i="59"/>
  <c r="AH61" i="59"/>
  <c r="AI61" i="59"/>
  <c r="AJ61" i="59"/>
  <c r="AK61" i="59"/>
  <c r="AL61" i="59"/>
  <c r="AM61" i="59"/>
  <c r="AN61" i="59"/>
  <c r="AO61" i="59"/>
  <c r="D64" i="59"/>
  <c r="E64" i="59"/>
  <c r="F64" i="59"/>
  <c r="G64" i="59"/>
  <c r="R64" i="59"/>
  <c r="S64" i="59"/>
  <c r="T64" i="59"/>
  <c r="U64" i="59"/>
  <c r="V64" i="59"/>
  <c r="W64" i="59"/>
  <c r="X64" i="59"/>
  <c r="Y64" i="59"/>
  <c r="Z64" i="59"/>
  <c r="AA64" i="59"/>
  <c r="AB64" i="59"/>
  <c r="AC64" i="59"/>
  <c r="AD64" i="59"/>
  <c r="AE64" i="59"/>
  <c r="AF64" i="59"/>
  <c r="AG64" i="59"/>
  <c r="AH64" i="59"/>
  <c r="AI64" i="59"/>
  <c r="AJ64" i="59"/>
  <c r="AK64" i="59"/>
  <c r="AL64" i="59"/>
  <c r="AM64" i="59"/>
  <c r="AN64" i="59"/>
  <c r="AO64" i="59"/>
  <c r="D65" i="59"/>
  <c r="E65" i="59"/>
  <c r="F65" i="59"/>
  <c r="G65" i="59"/>
  <c r="R65" i="59"/>
  <c r="S65" i="59"/>
  <c r="T65" i="59"/>
  <c r="U65" i="59"/>
  <c r="V65" i="59"/>
  <c r="W65" i="59"/>
  <c r="X65" i="59"/>
  <c r="Y65" i="59"/>
  <c r="Z65" i="59"/>
  <c r="AA65" i="59"/>
  <c r="AB65" i="59"/>
  <c r="AC65" i="59"/>
  <c r="AD65" i="59"/>
  <c r="AE65" i="59"/>
  <c r="AF65" i="59"/>
  <c r="AG65" i="59"/>
  <c r="AH65" i="59"/>
  <c r="AI65" i="59"/>
  <c r="AJ65" i="59"/>
  <c r="AK65" i="59"/>
  <c r="AL65" i="59"/>
  <c r="AM65" i="59"/>
  <c r="AN65" i="59"/>
  <c r="AO65" i="59"/>
  <c r="D66" i="59"/>
  <c r="E66" i="59"/>
  <c r="F66" i="59"/>
  <c r="G66" i="59"/>
  <c r="H66" i="59"/>
  <c r="I66" i="59"/>
  <c r="J66" i="59"/>
  <c r="K66" i="59"/>
  <c r="L66" i="59"/>
  <c r="M66" i="59"/>
  <c r="N66" i="59"/>
  <c r="O66" i="59"/>
  <c r="P66" i="59"/>
  <c r="Q66" i="59"/>
  <c r="R66" i="59"/>
  <c r="S66" i="59"/>
  <c r="T66" i="59"/>
  <c r="U66" i="59"/>
  <c r="V66" i="59"/>
  <c r="W66" i="59"/>
  <c r="X66" i="59"/>
  <c r="Y66" i="59"/>
  <c r="Z66" i="59"/>
  <c r="AA66" i="59"/>
  <c r="AB66" i="59"/>
  <c r="AC66" i="59"/>
  <c r="AD66" i="59"/>
  <c r="AE66" i="59"/>
  <c r="AF66" i="59"/>
  <c r="AG66" i="59"/>
  <c r="AH66" i="59"/>
  <c r="AI66" i="59"/>
  <c r="AJ66" i="59"/>
  <c r="AK66" i="59"/>
  <c r="AL66" i="59"/>
  <c r="AM66" i="59"/>
  <c r="AN66" i="59"/>
  <c r="AO66" i="59"/>
  <c r="D70" i="59"/>
  <c r="E70" i="59"/>
  <c r="F70" i="59"/>
  <c r="G70" i="59"/>
  <c r="R70" i="59"/>
  <c r="S70" i="59"/>
  <c r="T70" i="59"/>
  <c r="U70" i="59"/>
  <c r="V70" i="59"/>
  <c r="W70" i="59"/>
  <c r="X70" i="59"/>
  <c r="Y70" i="59"/>
  <c r="Z70" i="59"/>
  <c r="AA70" i="59"/>
  <c r="AB70" i="59"/>
  <c r="AC70" i="59"/>
  <c r="AD70" i="59"/>
  <c r="AE70" i="59"/>
  <c r="AF70" i="59"/>
  <c r="AG70" i="59"/>
  <c r="AH70" i="59"/>
  <c r="AI70" i="59"/>
  <c r="AJ70" i="59"/>
  <c r="AK70" i="59"/>
  <c r="AL70" i="59"/>
  <c r="AM70" i="59"/>
  <c r="AN70" i="59"/>
  <c r="AO70" i="59"/>
  <c r="D71" i="59"/>
  <c r="E71" i="59"/>
  <c r="F71" i="59"/>
  <c r="G71" i="59"/>
  <c r="R71" i="59"/>
  <c r="S71" i="59"/>
  <c r="T71" i="59"/>
  <c r="U71" i="59"/>
  <c r="V71" i="59"/>
  <c r="W71" i="59"/>
  <c r="X71" i="59"/>
  <c r="Y71" i="59"/>
  <c r="Z71" i="59"/>
  <c r="AA71" i="59"/>
  <c r="AB71" i="59"/>
  <c r="AC71" i="59"/>
  <c r="AD71" i="59"/>
  <c r="AE71" i="59"/>
  <c r="AF71" i="59"/>
  <c r="AG71" i="59"/>
  <c r="AH71" i="59"/>
  <c r="AI71" i="59"/>
  <c r="AJ71" i="59"/>
  <c r="AK71" i="59"/>
  <c r="AL71" i="59"/>
  <c r="AM71" i="59"/>
  <c r="AN71" i="59"/>
  <c r="AO71" i="59"/>
  <c r="D72" i="59"/>
  <c r="E72" i="59"/>
  <c r="F72" i="59"/>
  <c r="G72" i="59"/>
  <c r="H72" i="59"/>
  <c r="I72" i="59"/>
  <c r="J72" i="59"/>
  <c r="K72" i="59"/>
  <c r="L72" i="59"/>
  <c r="M72" i="59"/>
  <c r="N72" i="59"/>
  <c r="O72" i="59"/>
  <c r="P72" i="59"/>
  <c r="Q72" i="59"/>
  <c r="R72" i="59"/>
  <c r="S72" i="59"/>
  <c r="T72" i="59"/>
  <c r="U72" i="59"/>
  <c r="V72" i="59"/>
  <c r="W72" i="59"/>
  <c r="X72" i="59"/>
  <c r="Y72" i="59"/>
  <c r="Z72" i="59"/>
  <c r="AA72" i="59"/>
  <c r="AB72" i="59"/>
  <c r="AC72" i="59"/>
  <c r="AD72" i="59"/>
  <c r="AE72" i="59"/>
  <c r="AF72" i="59"/>
  <c r="AG72" i="59"/>
  <c r="AH72" i="59"/>
  <c r="AI72" i="59"/>
  <c r="AJ72" i="59"/>
  <c r="AK72" i="59"/>
  <c r="AL72" i="59"/>
  <c r="AM72" i="59"/>
  <c r="AN72" i="59"/>
  <c r="AO72" i="59"/>
  <c r="D73" i="59"/>
  <c r="E73" i="59"/>
  <c r="F73" i="59"/>
  <c r="G73" i="59"/>
  <c r="R73" i="59"/>
  <c r="S73" i="59"/>
  <c r="T73" i="59"/>
  <c r="U73" i="59"/>
  <c r="V73" i="59"/>
  <c r="W73" i="59"/>
  <c r="X73" i="59"/>
  <c r="Y73" i="59"/>
  <c r="Z73" i="59"/>
  <c r="AA73" i="59"/>
  <c r="AB73" i="59"/>
  <c r="AC73" i="59"/>
  <c r="AD73" i="59"/>
  <c r="AE73" i="59"/>
  <c r="AF73" i="59"/>
  <c r="AG73" i="59"/>
  <c r="AH73" i="59"/>
  <c r="AI73" i="59"/>
  <c r="AJ73" i="59"/>
  <c r="AK73" i="59"/>
  <c r="AL73" i="59"/>
  <c r="AM73" i="59"/>
  <c r="AN73" i="59"/>
  <c r="AO73" i="59"/>
  <c r="D74" i="59"/>
  <c r="E74" i="59"/>
  <c r="F74" i="59"/>
  <c r="G74" i="59"/>
  <c r="R74" i="59"/>
  <c r="S74" i="59"/>
  <c r="T74" i="59"/>
  <c r="U74" i="59"/>
  <c r="V74" i="59"/>
  <c r="W74" i="59"/>
  <c r="X74" i="59"/>
  <c r="Y74" i="59"/>
  <c r="Z74" i="59"/>
  <c r="AA74" i="59"/>
  <c r="AB74" i="59"/>
  <c r="AC74" i="59"/>
  <c r="AD74" i="59"/>
  <c r="AE74" i="59"/>
  <c r="AF74" i="59"/>
  <c r="AG74" i="59"/>
  <c r="AH74" i="59"/>
  <c r="AI74" i="59"/>
  <c r="AJ74" i="59"/>
  <c r="AK74" i="59"/>
  <c r="AL74" i="59"/>
  <c r="AM74" i="59"/>
  <c r="AN74" i="59"/>
  <c r="AO74" i="59"/>
  <c r="D75" i="59"/>
  <c r="E75" i="59"/>
  <c r="F75" i="59"/>
  <c r="G75" i="59"/>
  <c r="R75" i="59"/>
  <c r="S75" i="59"/>
  <c r="T75" i="59"/>
  <c r="U75" i="59"/>
  <c r="V75" i="59"/>
  <c r="W75" i="59"/>
  <c r="X75" i="59"/>
  <c r="Y75" i="59"/>
  <c r="Z75" i="59"/>
  <c r="AA75" i="59"/>
  <c r="AB75" i="59"/>
  <c r="AC75" i="59"/>
  <c r="AD75" i="59"/>
  <c r="AE75" i="59"/>
  <c r="AF75" i="59"/>
  <c r="AG75" i="59"/>
  <c r="AH75" i="59"/>
  <c r="AI75" i="59"/>
  <c r="AJ75" i="59"/>
  <c r="AK75" i="59"/>
  <c r="AL75" i="59"/>
  <c r="AM75" i="59"/>
  <c r="AN75" i="59"/>
  <c r="AO75" i="59"/>
  <c r="D76" i="59"/>
  <c r="E76" i="59"/>
  <c r="F76" i="59"/>
  <c r="G76" i="59"/>
  <c r="R76" i="59"/>
  <c r="S76" i="59"/>
  <c r="T76" i="59"/>
  <c r="U76" i="59"/>
  <c r="V76" i="59"/>
  <c r="W76" i="59"/>
  <c r="X76" i="59"/>
  <c r="Y76" i="59"/>
  <c r="Z76" i="59"/>
  <c r="AA76" i="59"/>
  <c r="AB76" i="59"/>
  <c r="AC76" i="59"/>
  <c r="AD76" i="59"/>
  <c r="AE76" i="59"/>
  <c r="AF76" i="59"/>
  <c r="AG76" i="59"/>
  <c r="AH76" i="59"/>
  <c r="AI76" i="59"/>
  <c r="AJ76" i="59"/>
  <c r="AK76" i="59"/>
  <c r="AL76" i="59"/>
  <c r="AM76" i="59"/>
  <c r="AN76" i="59"/>
  <c r="AO76" i="59"/>
  <c r="D77" i="59"/>
  <c r="E77" i="59"/>
  <c r="F77" i="59"/>
  <c r="G77" i="59"/>
  <c r="R77" i="59"/>
  <c r="S77" i="59"/>
  <c r="T77" i="59"/>
  <c r="U77" i="59"/>
  <c r="V77" i="59"/>
  <c r="W77" i="59"/>
  <c r="X77" i="59"/>
  <c r="Y77" i="59"/>
  <c r="Z77" i="59"/>
  <c r="AA77" i="59"/>
  <c r="AB77" i="59"/>
  <c r="AC77" i="59"/>
  <c r="AD77" i="59"/>
  <c r="AE77" i="59"/>
  <c r="AF77" i="59"/>
  <c r="AG77" i="59"/>
  <c r="AH77" i="59"/>
  <c r="AI77" i="59"/>
  <c r="AJ77" i="59"/>
  <c r="AK77" i="59"/>
  <c r="AL77" i="59"/>
  <c r="AM77" i="59"/>
  <c r="AN77" i="59"/>
  <c r="AO77" i="59"/>
  <c r="D78" i="59"/>
  <c r="E78" i="59"/>
  <c r="F78" i="59"/>
  <c r="G78" i="59"/>
  <c r="R78" i="59"/>
  <c r="S78" i="59"/>
  <c r="T78" i="59"/>
  <c r="U78" i="59"/>
  <c r="V78" i="59"/>
  <c r="W78" i="59"/>
  <c r="X78" i="59"/>
  <c r="Y78" i="59"/>
  <c r="Z78" i="59"/>
  <c r="AA78" i="59"/>
  <c r="AB78" i="59"/>
  <c r="AC78" i="59"/>
  <c r="AD78" i="59"/>
  <c r="AE78" i="59"/>
  <c r="AF78" i="59"/>
  <c r="AG78" i="59"/>
  <c r="AH78" i="59"/>
  <c r="AI78" i="59"/>
  <c r="AJ78" i="59"/>
  <c r="AK78" i="59"/>
  <c r="AL78" i="59"/>
  <c r="AM78" i="59"/>
  <c r="AN78" i="59"/>
  <c r="AO78" i="59"/>
  <c r="D79" i="59"/>
  <c r="E79" i="59"/>
  <c r="F79" i="59"/>
  <c r="G79" i="59"/>
  <c r="R79" i="59"/>
  <c r="S79" i="59"/>
  <c r="T79" i="59"/>
  <c r="U79" i="59"/>
  <c r="V79" i="59"/>
  <c r="W79" i="59"/>
  <c r="X79" i="59"/>
  <c r="Y79" i="59"/>
  <c r="Z79" i="59"/>
  <c r="AA79" i="59"/>
  <c r="AB79" i="59"/>
  <c r="AC79" i="59"/>
  <c r="AD79" i="59"/>
  <c r="AE79" i="59"/>
  <c r="AF79" i="59"/>
  <c r="AG79" i="59"/>
  <c r="AH79" i="59"/>
  <c r="AI79" i="59"/>
  <c r="AJ79" i="59"/>
  <c r="AK79" i="59"/>
  <c r="AL79" i="59"/>
  <c r="AM79" i="59"/>
  <c r="AN79" i="59"/>
  <c r="AO79" i="59"/>
  <c r="D80" i="59"/>
  <c r="E80" i="59"/>
  <c r="F80" i="59"/>
  <c r="G80" i="59"/>
  <c r="R80" i="59"/>
  <c r="S80" i="59"/>
  <c r="T80" i="59"/>
  <c r="U80" i="59"/>
  <c r="V80" i="59"/>
  <c r="W80" i="59"/>
  <c r="X80" i="59"/>
  <c r="Y80" i="59"/>
  <c r="Z80" i="59"/>
  <c r="AA80" i="59"/>
  <c r="AB80" i="59"/>
  <c r="AC80" i="59"/>
  <c r="AD80" i="59"/>
  <c r="AE80" i="59"/>
  <c r="AF80" i="59"/>
  <c r="AG80" i="59"/>
  <c r="AH80" i="59"/>
  <c r="AI80" i="59"/>
  <c r="AJ80" i="59"/>
  <c r="AK80" i="59"/>
  <c r="AL80" i="59"/>
  <c r="AM80" i="59"/>
  <c r="AN80" i="59"/>
  <c r="AO80" i="59"/>
  <c r="D81" i="59"/>
  <c r="E81" i="59"/>
  <c r="F81" i="59"/>
  <c r="G81" i="59"/>
  <c r="R81" i="59"/>
  <c r="S81" i="59"/>
  <c r="T81" i="59"/>
  <c r="U81" i="59"/>
  <c r="V81" i="59"/>
  <c r="W81" i="59"/>
  <c r="X81" i="59"/>
  <c r="Y81" i="59"/>
  <c r="Z81" i="59"/>
  <c r="AA81" i="59"/>
  <c r="AB81" i="59"/>
  <c r="AC81" i="59"/>
  <c r="AD81" i="59"/>
  <c r="AE81" i="59"/>
  <c r="AF81" i="59"/>
  <c r="AG81" i="59"/>
  <c r="AH81" i="59"/>
  <c r="AI81" i="59"/>
  <c r="AJ81" i="59"/>
  <c r="AK81" i="59"/>
  <c r="AL81" i="59"/>
  <c r="AM81" i="59"/>
  <c r="AN81" i="59"/>
  <c r="AO81" i="59"/>
  <c r="D82" i="59"/>
  <c r="E82" i="59"/>
  <c r="F82" i="59"/>
  <c r="G82" i="59"/>
  <c r="H82" i="59"/>
  <c r="I82" i="59"/>
  <c r="J82" i="59"/>
  <c r="K82" i="59"/>
  <c r="L82" i="59"/>
  <c r="M82" i="59"/>
  <c r="N82" i="59"/>
  <c r="O82" i="59"/>
  <c r="P82" i="59"/>
  <c r="Q82" i="59"/>
  <c r="R82" i="59"/>
  <c r="S82" i="59"/>
  <c r="T82" i="59"/>
  <c r="U82" i="59"/>
  <c r="V82" i="59"/>
  <c r="W82" i="59"/>
  <c r="X82" i="59"/>
  <c r="Y82" i="59"/>
  <c r="Z82" i="59"/>
  <c r="AA82" i="59"/>
  <c r="AB82" i="59"/>
  <c r="AC82" i="59"/>
  <c r="AD82" i="59"/>
  <c r="AE82" i="59"/>
  <c r="AF82" i="59"/>
  <c r="AG82" i="59"/>
  <c r="AH82" i="59"/>
  <c r="AI82" i="59"/>
  <c r="AJ82" i="59"/>
  <c r="AK82" i="59"/>
  <c r="AL82" i="59"/>
  <c r="AM82" i="59"/>
  <c r="AN82" i="59"/>
  <c r="AO82" i="59"/>
  <c r="E84" i="59"/>
  <c r="A5" i="60"/>
  <c r="D11" i="60"/>
  <c r="E11" i="60"/>
  <c r="F11" i="60"/>
  <c r="G11" i="60"/>
  <c r="H11" i="60"/>
  <c r="I11" i="60"/>
  <c r="D12" i="60"/>
  <c r="E12" i="60"/>
  <c r="F12" i="60"/>
  <c r="G12" i="60"/>
  <c r="H12" i="60"/>
  <c r="I12" i="60"/>
  <c r="D13" i="60"/>
  <c r="E13" i="60"/>
  <c r="F13" i="60"/>
  <c r="G13" i="60"/>
  <c r="H13" i="60"/>
  <c r="I13" i="60"/>
  <c r="D14" i="60"/>
  <c r="E14" i="60"/>
  <c r="F14" i="60"/>
  <c r="G14" i="60"/>
  <c r="H14" i="60"/>
  <c r="I14" i="60"/>
  <c r="D15" i="60"/>
  <c r="E15" i="60"/>
  <c r="F15" i="60"/>
  <c r="G15" i="60"/>
  <c r="H15" i="60"/>
  <c r="I15" i="60"/>
  <c r="D16" i="60"/>
  <c r="E16" i="60"/>
  <c r="F16" i="60"/>
  <c r="G16" i="60"/>
  <c r="H16" i="60"/>
  <c r="I16" i="60"/>
  <c r="D19" i="60"/>
  <c r="E19" i="60"/>
  <c r="F19" i="60"/>
  <c r="G19" i="60"/>
  <c r="H19" i="60"/>
  <c r="I19" i="60"/>
  <c r="D20" i="60"/>
  <c r="E20" i="60"/>
  <c r="F20" i="60"/>
  <c r="G20" i="60"/>
  <c r="H20" i="60"/>
  <c r="I20" i="60"/>
  <c r="D21" i="60"/>
  <c r="E21" i="60"/>
  <c r="F21" i="60"/>
  <c r="G21" i="60"/>
  <c r="H21" i="60"/>
  <c r="I21" i="60"/>
  <c r="D22" i="60"/>
  <c r="E22" i="60"/>
  <c r="F22" i="60"/>
  <c r="G22" i="60"/>
  <c r="H22" i="60"/>
  <c r="I22" i="60"/>
  <c r="D23" i="60"/>
  <c r="E23" i="60"/>
  <c r="F23" i="60"/>
  <c r="G23" i="60"/>
  <c r="H23" i="60"/>
  <c r="I23" i="60"/>
  <c r="D24" i="60"/>
  <c r="E24" i="60"/>
  <c r="F24" i="60"/>
  <c r="G24" i="60"/>
  <c r="H24" i="60"/>
  <c r="I24" i="60"/>
  <c r="D27" i="60"/>
  <c r="E27" i="60"/>
  <c r="F27" i="60"/>
  <c r="G27" i="60"/>
  <c r="H27" i="60"/>
  <c r="I27" i="60"/>
  <c r="D28" i="60"/>
  <c r="E28" i="60"/>
  <c r="F28" i="60"/>
  <c r="G28" i="60"/>
  <c r="H28" i="60"/>
  <c r="I28" i="60"/>
  <c r="D29" i="60"/>
  <c r="E29" i="60"/>
  <c r="F29" i="60"/>
  <c r="G29" i="60"/>
  <c r="H29" i="60"/>
  <c r="I29" i="60"/>
  <c r="D32" i="60"/>
  <c r="E32" i="60"/>
  <c r="F32" i="60"/>
  <c r="G32" i="60"/>
  <c r="H32" i="60"/>
  <c r="I32" i="60"/>
  <c r="D33" i="60"/>
  <c r="E33" i="60"/>
  <c r="F33" i="60"/>
  <c r="G33" i="60"/>
  <c r="H33" i="60"/>
  <c r="I33" i="60"/>
  <c r="D34" i="60"/>
  <c r="E34" i="60"/>
  <c r="F34" i="60"/>
  <c r="G34" i="60"/>
  <c r="H34" i="60"/>
  <c r="I34" i="60"/>
  <c r="D35" i="60"/>
  <c r="E35" i="60"/>
  <c r="F35" i="60"/>
  <c r="G35" i="60"/>
  <c r="H35" i="60"/>
  <c r="I35" i="60"/>
  <c r="D36" i="60"/>
  <c r="E36" i="60"/>
  <c r="F36" i="60"/>
  <c r="G36" i="60"/>
  <c r="H36" i="60"/>
  <c r="I36" i="60"/>
  <c r="D39" i="60"/>
  <c r="E39" i="60"/>
  <c r="F39" i="60"/>
  <c r="G39" i="60"/>
  <c r="H39" i="60"/>
  <c r="I39" i="60"/>
  <c r="D40" i="60"/>
  <c r="E40" i="60"/>
  <c r="F40" i="60"/>
  <c r="G40" i="60"/>
  <c r="H40" i="60"/>
  <c r="I40" i="60"/>
  <c r="D41" i="60"/>
  <c r="E41" i="60"/>
  <c r="F41" i="60"/>
  <c r="G41" i="60"/>
  <c r="H41" i="60"/>
  <c r="I41" i="60"/>
  <c r="D42" i="60"/>
  <c r="E42" i="60"/>
  <c r="F42" i="60"/>
  <c r="G42" i="60"/>
  <c r="H42" i="60"/>
  <c r="I42" i="60"/>
  <c r="D43" i="60"/>
  <c r="E43" i="60"/>
  <c r="F43" i="60"/>
  <c r="G43" i="60"/>
  <c r="H43" i="60"/>
  <c r="I43" i="60"/>
  <c r="D45" i="60"/>
  <c r="E45" i="60"/>
  <c r="F45" i="60"/>
  <c r="G45" i="60"/>
  <c r="H45" i="60"/>
  <c r="I45" i="60"/>
  <c r="D47" i="60"/>
  <c r="E47" i="60"/>
  <c r="F47" i="60"/>
  <c r="G47" i="60"/>
  <c r="H47" i="60"/>
  <c r="I47" i="60"/>
  <c r="D49" i="60"/>
  <c r="E49" i="60"/>
  <c r="F49" i="60"/>
  <c r="G49" i="60"/>
  <c r="H49" i="60"/>
  <c r="I49" i="60"/>
  <c r="D51" i="60"/>
  <c r="E51" i="60"/>
  <c r="F51" i="60"/>
  <c r="G51" i="60"/>
  <c r="H51" i="60"/>
  <c r="I51" i="60"/>
  <c r="D54" i="60"/>
  <c r="E54" i="60"/>
  <c r="F54" i="60"/>
  <c r="G54" i="60"/>
  <c r="H54" i="60"/>
  <c r="I54" i="60"/>
  <c r="D55" i="60"/>
  <c r="E55" i="60"/>
  <c r="F55" i="60"/>
  <c r="G55" i="60"/>
  <c r="H55" i="60"/>
  <c r="I55" i="60"/>
  <c r="D56" i="60"/>
  <c r="E56" i="60"/>
  <c r="F56" i="60"/>
  <c r="G56" i="60"/>
  <c r="H56" i="60"/>
  <c r="I56" i="60"/>
  <c r="D59" i="60"/>
  <c r="E59" i="60"/>
  <c r="F59" i="60"/>
  <c r="G59" i="60"/>
  <c r="H59" i="60"/>
  <c r="I59" i="60"/>
  <c r="D60" i="60"/>
  <c r="E60" i="60"/>
  <c r="F60" i="60"/>
  <c r="G60" i="60"/>
  <c r="H60" i="60"/>
  <c r="I60" i="60"/>
  <c r="D61" i="60"/>
  <c r="E61" i="60"/>
  <c r="F61" i="60"/>
  <c r="G61" i="60"/>
  <c r="H61" i="60"/>
  <c r="I61" i="60"/>
  <c r="D64" i="60"/>
  <c r="E64" i="60"/>
  <c r="F64" i="60"/>
  <c r="G64" i="60"/>
  <c r="H64" i="60"/>
  <c r="I64" i="60"/>
  <c r="D65" i="60"/>
  <c r="E65" i="60"/>
  <c r="F65" i="60"/>
  <c r="G65" i="60"/>
  <c r="H65" i="60"/>
  <c r="I65" i="60"/>
  <c r="D66" i="60"/>
  <c r="E66" i="60"/>
  <c r="F66" i="60"/>
  <c r="G66" i="60"/>
  <c r="H66" i="60"/>
  <c r="I66" i="60"/>
  <c r="D70" i="60"/>
  <c r="E70" i="60"/>
  <c r="F70" i="60"/>
  <c r="G70" i="60"/>
  <c r="H70" i="60"/>
  <c r="I70" i="60"/>
  <c r="D71" i="60"/>
  <c r="E71" i="60"/>
  <c r="F71" i="60"/>
  <c r="G71" i="60"/>
  <c r="H71" i="60"/>
  <c r="I71" i="60"/>
  <c r="D72" i="60"/>
  <c r="E72" i="60"/>
  <c r="F72" i="60"/>
  <c r="G72" i="60"/>
  <c r="H72" i="60"/>
  <c r="I72" i="60"/>
  <c r="D73" i="60"/>
  <c r="E73" i="60"/>
  <c r="F73" i="60"/>
  <c r="G73" i="60"/>
  <c r="H73" i="60"/>
  <c r="I73" i="60"/>
  <c r="D74" i="60"/>
  <c r="E74" i="60"/>
  <c r="F74" i="60"/>
  <c r="G74" i="60"/>
  <c r="H74" i="60"/>
  <c r="I74" i="60"/>
  <c r="D75" i="60"/>
  <c r="E75" i="60"/>
  <c r="F75" i="60"/>
  <c r="G75" i="60"/>
  <c r="H75" i="60"/>
  <c r="I75" i="60"/>
  <c r="D76" i="60"/>
  <c r="E76" i="60"/>
  <c r="F76" i="60"/>
  <c r="G76" i="60"/>
  <c r="H76" i="60"/>
  <c r="I76" i="60"/>
  <c r="D77" i="60"/>
  <c r="E77" i="60"/>
  <c r="F77" i="60"/>
  <c r="G77" i="60"/>
  <c r="H77" i="60"/>
  <c r="I77" i="60"/>
  <c r="D78" i="60"/>
  <c r="E78" i="60"/>
  <c r="F78" i="60"/>
  <c r="G78" i="60"/>
  <c r="H78" i="60"/>
  <c r="I78" i="60"/>
  <c r="D79" i="60"/>
  <c r="E79" i="60"/>
  <c r="F79" i="60"/>
  <c r="G79" i="60"/>
  <c r="H79" i="60"/>
  <c r="I79" i="60"/>
  <c r="D80" i="60"/>
  <c r="E80" i="60"/>
  <c r="F80" i="60"/>
  <c r="G80" i="60"/>
  <c r="H80" i="60"/>
  <c r="I80" i="60"/>
  <c r="D81" i="60"/>
  <c r="E81" i="60"/>
  <c r="F81" i="60"/>
  <c r="G81" i="60"/>
  <c r="H81" i="60"/>
  <c r="I81" i="60"/>
  <c r="D82" i="60"/>
  <c r="E82" i="60"/>
  <c r="F82" i="60"/>
  <c r="G82" i="60"/>
  <c r="H82" i="60"/>
  <c r="I82" i="60"/>
  <c r="A5" i="62"/>
  <c r="D11" i="62"/>
  <c r="E11" i="62"/>
  <c r="F11" i="62"/>
  <c r="G11" i="62"/>
  <c r="L11" i="62"/>
  <c r="M11" i="62"/>
  <c r="N11" i="62"/>
  <c r="O11" i="62"/>
  <c r="P11" i="62"/>
  <c r="Q11" i="62"/>
  <c r="R11" i="62"/>
  <c r="S11" i="62"/>
  <c r="T11" i="62"/>
  <c r="U11" i="62"/>
  <c r="V11" i="62"/>
  <c r="W11" i="62"/>
  <c r="X11" i="62"/>
  <c r="Y11" i="62"/>
  <c r="Z11" i="62"/>
  <c r="AA11" i="62"/>
  <c r="AB11" i="62"/>
  <c r="AC11" i="62"/>
  <c r="AD11" i="62"/>
  <c r="AE11" i="62"/>
  <c r="AF11" i="62"/>
  <c r="AG11" i="62"/>
  <c r="AH11" i="62"/>
  <c r="AI11" i="62"/>
  <c r="AJ11" i="62"/>
  <c r="AK11" i="62"/>
  <c r="AL11" i="62"/>
  <c r="AM11" i="62"/>
  <c r="AN11" i="62"/>
  <c r="AO11" i="62"/>
  <c r="D12" i="62"/>
  <c r="E12" i="62"/>
  <c r="F12" i="62"/>
  <c r="G12" i="62"/>
  <c r="L12" i="62"/>
  <c r="M12" i="62"/>
  <c r="N12" i="62"/>
  <c r="O12" i="62"/>
  <c r="P12" i="62"/>
  <c r="Q12" i="62"/>
  <c r="R12" i="62"/>
  <c r="S12" i="62"/>
  <c r="T12" i="62"/>
  <c r="U12" i="62"/>
  <c r="V12" i="62"/>
  <c r="W12" i="62"/>
  <c r="X12" i="62"/>
  <c r="Y12" i="62"/>
  <c r="Z12" i="62"/>
  <c r="AA12" i="62"/>
  <c r="AB12" i="62"/>
  <c r="AC12" i="62"/>
  <c r="AD12" i="62"/>
  <c r="AE12" i="62"/>
  <c r="AF12" i="62"/>
  <c r="AG12" i="62"/>
  <c r="AH12" i="62"/>
  <c r="AI12" i="62"/>
  <c r="AJ12" i="62"/>
  <c r="AK12" i="62"/>
  <c r="AL12" i="62"/>
  <c r="AM12" i="62"/>
  <c r="AN12" i="62"/>
  <c r="AO12" i="62"/>
  <c r="D13" i="62"/>
  <c r="E13" i="62"/>
  <c r="F13" i="62"/>
  <c r="G13" i="62"/>
  <c r="L13" i="62"/>
  <c r="M13" i="62"/>
  <c r="N13" i="62"/>
  <c r="O13" i="62"/>
  <c r="P13" i="62"/>
  <c r="Q13" i="62"/>
  <c r="R13" i="62"/>
  <c r="S13" i="62"/>
  <c r="T13" i="62"/>
  <c r="U13" i="62"/>
  <c r="V13" i="62"/>
  <c r="W13" i="62"/>
  <c r="X13" i="62"/>
  <c r="Y13" i="62"/>
  <c r="Z13" i="62"/>
  <c r="AA13" i="62"/>
  <c r="AB13" i="62"/>
  <c r="AC13" i="62"/>
  <c r="AD13" i="62"/>
  <c r="AE13" i="62"/>
  <c r="AF13" i="62"/>
  <c r="AG13" i="62"/>
  <c r="AH13" i="62"/>
  <c r="AI13" i="62"/>
  <c r="AJ13" i="62"/>
  <c r="AK13" i="62"/>
  <c r="AL13" i="62"/>
  <c r="AM13" i="62"/>
  <c r="AN13" i="62"/>
  <c r="AO13" i="62"/>
  <c r="D14" i="62"/>
  <c r="E14" i="62"/>
  <c r="F14" i="62"/>
  <c r="G14" i="62"/>
  <c r="L14" i="62"/>
  <c r="M14" i="62"/>
  <c r="N14" i="62"/>
  <c r="O14" i="62"/>
  <c r="P14" i="62"/>
  <c r="Q14" i="62"/>
  <c r="R14" i="62"/>
  <c r="S14" i="62"/>
  <c r="T14" i="62"/>
  <c r="U14" i="62"/>
  <c r="V14" i="62"/>
  <c r="W14" i="62"/>
  <c r="X14" i="62"/>
  <c r="Y14" i="62"/>
  <c r="Z14" i="62"/>
  <c r="AA14" i="62"/>
  <c r="AB14" i="62"/>
  <c r="AC14" i="62"/>
  <c r="AD14" i="62"/>
  <c r="AE14" i="62"/>
  <c r="AF14" i="62"/>
  <c r="AG14" i="62"/>
  <c r="AH14" i="62"/>
  <c r="AI14" i="62"/>
  <c r="AJ14" i="62"/>
  <c r="AK14" i="62"/>
  <c r="AL14" i="62"/>
  <c r="AM14" i="62"/>
  <c r="AN14" i="62"/>
  <c r="AO14" i="62"/>
  <c r="D15" i="62"/>
  <c r="E15" i="62"/>
  <c r="F15" i="62"/>
  <c r="G15" i="62"/>
  <c r="L15" i="62"/>
  <c r="M15" i="62"/>
  <c r="N15" i="62"/>
  <c r="O15" i="62"/>
  <c r="P15" i="62"/>
  <c r="Q15" i="62"/>
  <c r="R15" i="62"/>
  <c r="S15" i="62"/>
  <c r="T15" i="62"/>
  <c r="U15" i="62"/>
  <c r="V15" i="62"/>
  <c r="W15" i="62"/>
  <c r="X15" i="62"/>
  <c r="Y15" i="62"/>
  <c r="Z15" i="62"/>
  <c r="AA15" i="62"/>
  <c r="AB15" i="62"/>
  <c r="AC15" i="62"/>
  <c r="AD15" i="62"/>
  <c r="AE15" i="62"/>
  <c r="AF15" i="62"/>
  <c r="AG15" i="62"/>
  <c r="AH15" i="62"/>
  <c r="AI15" i="62"/>
  <c r="AJ15" i="62"/>
  <c r="AK15" i="62"/>
  <c r="AL15" i="62"/>
  <c r="AM15" i="62"/>
  <c r="AN15" i="62"/>
  <c r="AO15" i="62"/>
  <c r="D16" i="62"/>
  <c r="E16" i="62"/>
  <c r="F16" i="62"/>
  <c r="G16" i="62"/>
  <c r="H16" i="62"/>
  <c r="I16" i="62"/>
  <c r="J16" i="62"/>
  <c r="K16" i="62"/>
  <c r="L16" i="62"/>
  <c r="M16" i="62"/>
  <c r="N16" i="62"/>
  <c r="O16" i="62"/>
  <c r="P16" i="62"/>
  <c r="Q16" i="62"/>
  <c r="R16" i="62"/>
  <c r="S16" i="62"/>
  <c r="T16" i="62"/>
  <c r="U16" i="62"/>
  <c r="V16" i="62"/>
  <c r="W16" i="62"/>
  <c r="X16" i="62"/>
  <c r="Y16" i="62"/>
  <c r="Z16" i="62"/>
  <c r="AA16" i="62"/>
  <c r="AB16" i="62"/>
  <c r="AC16" i="62"/>
  <c r="AD16" i="62"/>
  <c r="AE16" i="62"/>
  <c r="AF16" i="62"/>
  <c r="AG16" i="62"/>
  <c r="AH16" i="62"/>
  <c r="AI16" i="62"/>
  <c r="AJ16" i="62"/>
  <c r="AK16" i="62"/>
  <c r="AL16" i="62"/>
  <c r="AM16" i="62"/>
  <c r="AN16" i="62"/>
  <c r="AO16" i="62"/>
  <c r="D19" i="62"/>
  <c r="E19" i="62"/>
  <c r="F19" i="62"/>
  <c r="G19" i="62"/>
  <c r="K19" i="62"/>
  <c r="L19" i="62"/>
  <c r="M19" i="62"/>
  <c r="N19" i="62"/>
  <c r="O19" i="62"/>
  <c r="P19" i="62"/>
  <c r="Q19" i="62"/>
  <c r="R19" i="62"/>
  <c r="S19" i="62"/>
  <c r="T19" i="62"/>
  <c r="U19" i="62"/>
  <c r="V19" i="62"/>
  <c r="W19" i="62"/>
  <c r="X19" i="62"/>
  <c r="Y19" i="62"/>
  <c r="Z19" i="62"/>
  <c r="AA19" i="62"/>
  <c r="AB19" i="62"/>
  <c r="AC19" i="62"/>
  <c r="AD19" i="62"/>
  <c r="AE19" i="62"/>
  <c r="AF19" i="62"/>
  <c r="AG19" i="62"/>
  <c r="AH19" i="62"/>
  <c r="AI19" i="62"/>
  <c r="AJ19" i="62"/>
  <c r="AK19" i="62"/>
  <c r="AL19" i="62"/>
  <c r="AM19" i="62"/>
  <c r="AN19" i="62"/>
  <c r="AO19" i="62"/>
  <c r="D20" i="62"/>
  <c r="E20" i="62"/>
  <c r="F20" i="62"/>
  <c r="G20" i="62"/>
  <c r="L20" i="62"/>
  <c r="M20" i="62"/>
  <c r="N20" i="62"/>
  <c r="O20" i="62"/>
  <c r="P20" i="62"/>
  <c r="Q20" i="62"/>
  <c r="R20" i="62"/>
  <c r="S20" i="62"/>
  <c r="T20" i="62"/>
  <c r="U20" i="62"/>
  <c r="V20" i="62"/>
  <c r="W20" i="62"/>
  <c r="X20" i="62"/>
  <c r="Y20" i="62"/>
  <c r="Z20" i="62"/>
  <c r="AA20" i="62"/>
  <c r="AB20" i="62"/>
  <c r="AC20" i="62"/>
  <c r="AD20" i="62"/>
  <c r="AE20" i="62"/>
  <c r="AF20" i="62"/>
  <c r="AG20" i="62"/>
  <c r="AH20" i="62"/>
  <c r="AI20" i="62"/>
  <c r="AJ20" i="62"/>
  <c r="AK20" i="62"/>
  <c r="AL20" i="62"/>
  <c r="AM20" i="62"/>
  <c r="AN20" i="62"/>
  <c r="AO20" i="62"/>
  <c r="D21" i="62"/>
  <c r="E21" i="62"/>
  <c r="F21" i="62"/>
  <c r="G21" i="62"/>
  <c r="L21" i="62"/>
  <c r="M21" i="62"/>
  <c r="N21" i="62"/>
  <c r="O21" i="62"/>
  <c r="P21" i="62"/>
  <c r="Q21" i="62"/>
  <c r="R21" i="62"/>
  <c r="S21" i="62"/>
  <c r="T21" i="62"/>
  <c r="U21" i="62"/>
  <c r="V21" i="62"/>
  <c r="W21" i="62"/>
  <c r="X21" i="62"/>
  <c r="Y21" i="62"/>
  <c r="Z21" i="62"/>
  <c r="AA21" i="62"/>
  <c r="AB21" i="62"/>
  <c r="AC21" i="62"/>
  <c r="AD21" i="62"/>
  <c r="AE21" i="62"/>
  <c r="AF21" i="62"/>
  <c r="AG21" i="62"/>
  <c r="AH21" i="62"/>
  <c r="AI21" i="62"/>
  <c r="AJ21" i="62"/>
  <c r="AK21" i="62"/>
  <c r="AL21" i="62"/>
  <c r="AM21" i="62"/>
  <c r="AN21" i="62"/>
  <c r="AO21" i="62"/>
  <c r="D22" i="62"/>
  <c r="E22" i="62"/>
  <c r="F22" i="62"/>
  <c r="G22" i="62"/>
  <c r="L22" i="62"/>
  <c r="M22" i="62"/>
  <c r="N22" i="62"/>
  <c r="O22" i="62"/>
  <c r="P22" i="62"/>
  <c r="Q22" i="62"/>
  <c r="R22" i="62"/>
  <c r="S22" i="62"/>
  <c r="T22" i="62"/>
  <c r="U22" i="62"/>
  <c r="V22" i="62"/>
  <c r="W22" i="62"/>
  <c r="X22" i="62"/>
  <c r="Y22" i="62"/>
  <c r="Z22" i="62"/>
  <c r="AA22" i="62"/>
  <c r="AB22" i="62"/>
  <c r="AC22" i="62"/>
  <c r="AD22" i="62"/>
  <c r="AE22" i="62"/>
  <c r="AF22" i="62"/>
  <c r="AG22" i="62"/>
  <c r="AH22" i="62"/>
  <c r="AI22" i="62"/>
  <c r="AJ22" i="62"/>
  <c r="AK22" i="62"/>
  <c r="AL22" i="62"/>
  <c r="AM22" i="62"/>
  <c r="AN22" i="62"/>
  <c r="AO22" i="62"/>
  <c r="D23" i="62"/>
  <c r="E23" i="62"/>
  <c r="F23" i="62"/>
  <c r="G23" i="62"/>
  <c r="L23" i="62"/>
  <c r="M23" i="62"/>
  <c r="N23" i="62"/>
  <c r="O23" i="62"/>
  <c r="P23" i="62"/>
  <c r="Q23" i="62"/>
  <c r="R23" i="62"/>
  <c r="S23" i="62"/>
  <c r="T23" i="62"/>
  <c r="U23" i="62"/>
  <c r="V23" i="62"/>
  <c r="W23" i="62"/>
  <c r="X23" i="62"/>
  <c r="Y23" i="62"/>
  <c r="Z23" i="62"/>
  <c r="AA23" i="62"/>
  <c r="AB23" i="62"/>
  <c r="AC23" i="62"/>
  <c r="AD23" i="62"/>
  <c r="AE23" i="62"/>
  <c r="AF23" i="62"/>
  <c r="AG23" i="62"/>
  <c r="AH23" i="62"/>
  <c r="AI23" i="62"/>
  <c r="AJ23" i="62"/>
  <c r="AK23" i="62"/>
  <c r="AL23" i="62"/>
  <c r="AM23" i="62"/>
  <c r="AN23" i="62"/>
  <c r="AO23" i="62"/>
  <c r="D24" i="62"/>
  <c r="E24" i="62"/>
  <c r="F24" i="62"/>
  <c r="G24" i="62"/>
  <c r="H24" i="62"/>
  <c r="I24" i="62"/>
  <c r="J24" i="62"/>
  <c r="K24" i="62"/>
  <c r="L24" i="62"/>
  <c r="M24" i="62"/>
  <c r="N24" i="62"/>
  <c r="O24" i="62"/>
  <c r="P24" i="62"/>
  <c r="Q24" i="62"/>
  <c r="R24" i="62"/>
  <c r="S24" i="62"/>
  <c r="T24" i="62"/>
  <c r="U24" i="62"/>
  <c r="V24" i="62"/>
  <c r="W24" i="62"/>
  <c r="X24" i="62"/>
  <c r="Y24" i="62"/>
  <c r="Z24" i="62"/>
  <c r="AA24" i="62"/>
  <c r="AB24" i="62"/>
  <c r="AC24" i="62"/>
  <c r="AD24" i="62"/>
  <c r="AE24" i="62"/>
  <c r="AF24" i="62"/>
  <c r="AG24" i="62"/>
  <c r="AH24" i="62"/>
  <c r="AI24" i="62"/>
  <c r="AJ24" i="62"/>
  <c r="AK24" i="62"/>
  <c r="AL24" i="62"/>
  <c r="AM24" i="62"/>
  <c r="AN24" i="62"/>
  <c r="AO24" i="62"/>
  <c r="D27" i="62"/>
  <c r="E27" i="62"/>
  <c r="F27" i="62"/>
  <c r="G27" i="62"/>
  <c r="L27" i="62"/>
  <c r="M27" i="62"/>
  <c r="N27" i="62"/>
  <c r="O27" i="62"/>
  <c r="P27" i="62"/>
  <c r="Q27" i="62"/>
  <c r="R27" i="62"/>
  <c r="S27" i="62"/>
  <c r="T27" i="62"/>
  <c r="U27" i="62"/>
  <c r="V27" i="62"/>
  <c r="W27" i="62"/>
  <c r="X27" i="62"/>
  <c r="Y27" i="62"/>
  <c r="Z27" i="62"/>
  <c r="AA27" i="62"/>
  <c r="AB27" i="62"/>
  <c r="AC27" i="62"/>
  <c r="AD27" i="62"/>
  <c r="AE27" i="62"/>
  <c r="AF27" i="62"/>
  <c r="AG27" i="62"/>
  <c r="AH27" i="62"/>
  <c r="AI27" i="62"/>
  <c r="AJ27" i="62"/>
  <c r="AK27" i="62"/>
  <c r="AL27" i="62"/>
  <c r="AM27" i="62"/>
  <c r="AN27" i="62"/>
  <c r="AO27" i="62"/>
  <c r="D28" i="62"/>
  <c r="E28" i="62"/>
  <c r="F28" i="62"/>
  <c r="G28" i="62"/>
  <c r="L28" i="62"/>
  <c r="M28" i="62"/>
  <c r="N28" i="62"/>
  <c r="O28" i="62"/>
  <c r="P28" i="62"/>
  <c r="Q28" i="62"/>
  <c r="R28" i="62"/>
  <c r="S28" i="62"/>
  <c r="T28" i="62"/>
  <c r="U28" i="62"/>
  <c r="V28" i="62"/>
  <c r="W28" i="62"/>
  <c r="X28" i="62"/>
  <c r="Y28" i="62"/>
  <c r="Z28" i="62"/>
  <c r="AA28" i="62"/>
  <c r="AB28" i="62"/>
  <c r="AC28" i="62"/>
  <c r="AD28" i="62"/>
  <c r="AE28" i="62"/>
  <c r="AF28" i="62"/>
  <c r="AG28" i="62"/>
  <c r="AH28" i="62"/>
  <c r="AI28" i="62"/>
  <c r="AJ28" i="62"/>
  <c r="AK28" i="62"/>
  <c r="AL28" i="62"/>
  <c r="AM28" i="62"/>
  <c r="AN28" i="62"/>
  <c r="AO28" i="62"/>
  <c r="D29" i="62"/>
  <c r="E29" i="62"/>
  <c r="F29" i="62"/>
  <c r="G29" i="62"/>
  <c r="H29" i="62"/>
  <c r="I29" i="62"/>
  <c r="J29" i="62"/>
  <c r="K29" i="62"/>
  <c r="L29" i="62"/>
  <c r="M29" i="62"/>
  <c r="N29" i="62"/>
  <c r="O29" i="62"/>
  <c r="P29" i="62"/>
  <c r="Q29" i="62"/>
  <c r="R29" i="62"/>
  <c r="S29" i="62"/>
  <c r="T29" i="62"/>
  <c r="U29" i="62"/>
  <c r="V29" i="62"/>
  <c r="W29" i="62"/>
  <c r="X29" i="62"/>
  <c r="Y29" i="62"/>
  <c r="Z29" i="62"/>
  <c r="AA29" i="62"/>
  <c r="AB29" i="62"/>
  <c r="AC29" i="62"/>
  <c r="AD29" i="62"/>
  <c r="AE29" i="62"/>
  <c r="AF29" i="62"/>
  <c r="AG29" i="62"/>
  <c r="AH29" i="62"/>
  <c r="AI29" i="62"/>
  <c r="AJ29" i="62"/>
  <c r="AK29" i="62"/>
  <c r="AL29" i="62"/>
  <c r="AM29" i="62"/>
  <c r="AN29" i="62"/>
  <c r="AO29" i="62"/>
  <c r="D32" i="62"/>
  <c r="E32" i="62"/>
  <c r="F32" i="62"/>
  <c r="G32" i="62"/>
  <c r="L32" i="62"/>
  <c r="M32" i="62"/>
  <c r="N32" i="62"/>
  <c r="O32" i="62"/>
  <c r="P32" i="62"/>
  <c r="Q32" i="62"/>
  <c r="R32" i="62"/>
  <c r="S32" i="62"/>
  <c r="T32" i="62"/>
  <c r="U32" i="62"/>
  <c r="V32" i="62"/>
  <c r="W32" i="62"/>
  <c r="X32" i="62"/>
  <c r="Y32" i="62"/>
  <c r="Z32" i="62"/>
  <c r="AA32" i="62"/>
  <c r="AB32" i="62"/>
  <c r="AC32" i="62"/>
  <c r="AD32" i="62"/>
  <c r="AE32" i="62"/>
  <c r="AF32" i="62"/>
  <c r="AG32" i="62"/>
  <c r="AH32" i="62"/>
  <c r="AI32" i="62"/>
  <c r="AJ32" i="62"/>
  <c r="AK32" i="62"/>
  <c r="AL32" i="62"/>
  <c r="AM32" i="62"/>
  <c r="AN32" i="62"/>
  <c r="AO32" i="62"/>
  <c r="D33" i="62"/>
  <c r="E33" i="62"/>
  <c r="F33" i="62"/>
  <c r="G33" i="62"/>
  <c r="L33" i="62"/>
  <c r="M33" i="62"/>
  <c r="N33" i="62"/>
  <c r="O33" i="62"/>
  <c r="P33" i="62"/>
  <c r="Q33" i="62"/>
  <c r="R33" i="62"/>
  <c r="S33" i="62"/>
  <c r="T33" i="62"/>
  <c r="U33" i="62"/>
  <c r="V33" i="62"/>
  <c r="W33" i="62"/>
  <c r="X33" i="62"/>
  <c r="Y33" i="62"/>
  <c r="Z33" i="62"/>
  <c r="AA33" i="62"/>
  <c r="AB33" i="62"/>
  <c r="AC33" i="62"/>
  <c r="AD33" i="62"/>
  <c r="AE33" i="62"/>
  <c r="AF33" i="62"/>
  <c r="AG33" i="62"/>
  <c r="AH33" i="62"/>
  <c r="AI33" i="62"/>
  <c r="AJ33" i="62"/>
  <c r="AK33" i="62"/>
  <c r="AL33" i="62"/>
  <c r="AM33" i="62"/>
  <c r="AN33" i="62"/>
  <c r="AO33" i="62"/>
  <c r="D34" i="62"/>
  <c r="E34" i="62"/>
  <c r="F34" i="62"/>
  <c r="G34" i="62"/>
  <c r="L34" i="62"/>
  <c r="M34" i="62"/>
  <c r="N34" i="62"/>
  <c r="O34" i="62"/>
  <c r="P34" i="62"/>
  <c r="Q34" i="62"/>
  <c r="R34" i="62"/>
  <c r="S34" i="62"/>
  <c r="T34" i="62"/>
  <c r="U34" i="62"/>
  <c r="V34" i="62"/>
  <c r="W34" i="62"/>
  <c r="X34" i="62"/>
  <c r="Y34" i="62"/>
  <c r="Z34" i="62"/>
  <c r="AA34" i="62"/>
  <c r="AB34" i="62"/>
  <c r="AC34" i="62"/>
  <c r="AD34" i="62"/>
  <c r="AE34" i="62"/>
  <c r="AF34" i="62"/>
  <c r="AG34" i="62"/>
  <c r="AH34" i="62"/>
  <c r="AI34" i="62"/>
  <c r="AJ34" i="62"/>
  <c r="AK34" i="62"/>
  <c r="AL34" i="62"/>
  <c r="AM34" i="62"/>
  <c r="AN34" i="62"/>
  <c r="AO34" i="62"/>
  <c r="D35" i="62"/>
  <c r="E35" i="62"/>
  <c r="F35" i="62"/>
  <c r="G35" i="62"/>
  <c r="L35" i="62"/>
  <c r="M35" i="62"/>
  <c r="N35" i="62"/>
  <c r="O35" i="62"/>
  <c r="P35" i="62"/>
  <c r="Q35" i="62"/>
  <c r="R35" i="62"/>
  <c r="S35" i="62"/>
  <c r="T35" i="62"/>
  <c r="U35" i="62"/>
  <c r="V35" i="62"/>
  <c r="W35" i="62"/>
  <c r="X35" i="62"/>
  <c r="Y35" i="62"/>
  <c r="Z35" i="62"/>
  <c r="AA35" i="62"/>
  <c r="AB35" i="62"/>
  <c r="AC35" i="62"/>
  <c r="AD35" i="62"/>
  <c r="AE35" i="62"/>
  <c r="AF35" i="62"/>
  <c r="AG35" i="62"/>
  <c r="AH35" i="62"/>
  <c r="AI35" i="62"/>
  <c r="AJ35" i="62"/>
  <c r="AK35" i="62"/>
  <c r="AL35" i="62"/>
  <c r="AM35" i="62"/>
  <c r="AN35" i="62"/>
  <c r="AO35" i="62"/>
  <c r="D36" i="62"/>
  <c r="E36" i="62"/>
  <c r="F36" i="62"/>
  <c r="G36" i="62"/>
  <c r="H36" i="62"/>
  <c r="I36" i="62"/>
  <c r="J36" i="62"/>
  <c r="K36" i="62"/>
  <c r="L36" i="62"/>
  <c r="M36" i="62"/>
  <c r="N36" i="62"/>
  <c r="O36" i="62"/>
  <c r="P36" i="62"/>
  <c r="Q36" i="62"/>
  <c r="R36" i="62"/>
  <c r="S36" i="62"/>
  <c r="T36" i="62"/>
  <c r="U36" i="62"/>
  <c r="V36" i="62"/>
  <c r="W36" i="62"/>
  <c r="X36" i="62"/>
  <c r="Y36" i="62"/>
  <c r="Z36" i="62"/>
  <c r="AA36" i="62"/>
  <c r="AB36" i="62"/>
  <c r="AC36" i="62"/>
  <c r="AD36" i="62"/>
  <c r="AE36" i="62"/>
  <c r="AF36" i="62"/>
  <c r="AG36" i="62"/>
  <c r="AH36" i="62"/>
  <c r="AI36" i="62"/>
  <c r="AJ36" i="62"/>
  <c r="AK36" i="62"/>
  <c r="AL36" i="62"/>
  <c r="AM36" i="62"/>
  <c r="AN36" i="62"/>
  <c r="AO36" i="62"/>
  <c r="D39" i="62"/>
  <c r="E39" i="62"/>
  <c r="F39" i="62"/>
  <c r="G39" i="62"/>
  <c r="L39" i="62"/>
  <c r="M39" i="62"/>
  <c r="N39" i="62"/>
  <c r="O39" i="62"/>
  <c r="P39" i="62"/>
  <c r="Q39" i="62"/>
  <c r="R39" i="62"/>
  <c r="S39" i="62"/>
  <c r="T39" i="62"/>
  <c r="U39" i="62"/>
  <c r="V39" i="62"/>
  <c r="W39" i="62"/>
  <c r="X39" i="62"/>
  <c r="Y39" i="62"/>
  <c r="Z39" i="62"/>
  <c r="AA39" i="62"/>
  <c r="AB39" i="62"/>
  <c r="AC39" i="62"/>
  <c r="AD39" i="62"/>
  <c r="AE39" i="62"/>
  <c r="AF39" i="62"/>
  <c r="AG39" i="62"/>
  <c r="AH39" i="62"/>
  <c r="AI39" i="62"/>
  <c r="AJ39" i="62"/>
  <c r="AK39" i="62"/>
  <c r="AL39" i="62"/>
  <c r="AM39" i="62"/>
  <c r="AN39" i="62"/>
  <c r="AO39" i="62"/>
  <c r="D40" i="62"/>
  <c r="E40" i="62"/>
  <c r="F40" i="62"/>
  <c r="G40" i="62"/>
  <c r="L40" i="62"/>
  <c r="M40" i="62"/>
  <c r="N40" i="62"/>
  <c r="O40" i="62"/>
  <c r="P40" i="62"/>
  <c r="Q40" i="62"/>
  <c r="R40" i="62"/>
  <c r="S40" i="62"/>
  <c r="T40" i="62"/>
  <c r="U40" i="62"/>
  <c r="V40" i="62"/>
  <c r="W40" i="62"/>
  <c r="X40" i="62"/>
  <c r="Y40" i="62"/>
  <c r="Z40" i="62"/>
  <c r="AA40" i="62"/>
  <c r="AB40" i="62"/>
  <c r="AC40" i="62"/>
  <c r="AD40" i="62"/>
  <c r="AE40" i="62"/>
  <c r="AF40" i="62"/>
  <c r="AG40" i="62"/>
  <c r="AH40" i="62"/>
  <c r="AI40" i="62"/>
  <c r="AJ40" i="62"/>
  <c r="AK40" i="62"/>
  <c r="AL40" i="62"/>
  <c r="AM40" i="62"/>
  <c r="AN40" i="62"/>
  <c r="AO40" i="62"/>
  <c r="D41" i="62"/>
  <c r="E41" i="62"/>
  <c r="F41" i="62"/>
  <c r="G41" i="62"/>
  <c r="L41" i="62"/>
  <c r="M41" i="62"/>
  <c r="N41" i="62"/>
  <c r="O41" i="62"/>
  <c r="P41" i="62"/>
  <c r="Q41" i="62"/>
  <c r="R41" i="62"/>
  <c r="S41" i="62"/>
  <c r="T41" i="62"/>
  <c r="U41" i="62"/>
  <c r="V41" i="62"/>
  <c r="W41" i="62"/>
  <c r="X41" i="62"/>
  <c r="Y41" i="62"/>
  <c r="Z41" i="62"/>
  <c r="AA41" i="62"/>
  <c r="AB41" i="62"/>
  <c r="AC41" i="62"/>
  <c r="AD41" i="62"/>
  <c r="AE41" i="62"/>
  <c r="AF41" i="62"/>
  <c r="AG41" i="62"/>
  <c r="AH41" i="62"/>
  <c r="AI41" i="62"/>
  <c r="AJ41" i="62"/>
  <c r="AK41" i="62"/>
  <c r="AL41" i="62"/>
  <c r="AM41" i="62"/>
  <c r="AN41" i="62"/>
  <c r="AO41" i="62"/>
  <c r="D42" i="62"/>
  <c r="E42" i="62"/>
  <c r="F42" i="62"/>
  <c r="G42" i="62"/>
  <c r="H42" i="62"/>
  <c r="I42" i="62"/>
  <c r="J42" i="62"/>
  <c r="K42" i="62"/>
  <c r="L42" i="62"/>
  <c r="M42" i="62"/>
  <c r="N42" i="62"/>
  <c r="O42" i="62"/>
  <c r="P42" i="62"/>
  <c r="Q42" i="62"/>
  <c r="R42" i="62"/>
  <c r="S42" i="62"/>
  <c r="T42" i="62"/>
  <c r="U42" i="62"/>
  <c r="V42" i="62"/>
  <c r="W42" i="62"/>
  <c r="X42" i="62"/>
  <c r="Y42" i="62"/>
  <c r="Z42" i="62"/>
  <c r="AA42" i="62"/>
  <c r="AB42" i="62"/>
  <c r="AC42" i="62"/>
  <c r="AD42" i="62"/>
  <c r="AE42" i="62"/>
  <c r="AF42" i="62"/>
  <c r="AG42" i="62"/>
  <c r="AH42" i="62"/>
  <c r="AI42" i="62"/>
  <c r="AJ42" i="62"/>
  <c r="AK42" i="62"/>
  <c r="AL42" i="62"/>
  <c r="AM42" i="62"/>
  <c r="AN42" i="62"/>
  <c r="AO42" i="62"/>
  <c r="D43" i="62"/>
  <c r="E43" i="62"/>
  <c r="F43" i="62"/>
  <c r="G43" i="62"/>
  <c r="H43" i="62"/>
  <c r="I43" i="62"/>
  <c r="J43" i="62"/>
  <c r="K43" i="62"/>
  <c r="L43" i="62"/>
  <c r="M43" i="62"/>
  <c r="N43" i="62"/>
  <c r="O43" i="62"/>
  <c r="P43" i="62"/>
  <c r="Q43" i="62"/>
  <c r="R43" i="62"/>
  <c r="S43" i="62"/>
  <c r="T43" i="62"/>
  <c r="U43" i="62"/>
  <c r="V43" i="62"/>
  <c r="W43" i="62"/>
  <c r="X43" i="62"/>
  <c r="Y43" i="62"/>
  <c r="Z43" i="62"/>
  <c r="AA43" i="62"/>
  <c r="AB43" i="62"/>
  <c r="AC43" i="62"/>
  <c r="AD43" i="62"/>
  <c r="AE43" i="62"/>
  <c r="AF43" i="62"/>
  <c r="AG43" i="62"/>
  <c r="AH43" i="62"/>
  <c r="AI43" i="62"/>
  <c r="AJ43" i="62"/>
  <c r="AK43" i="62"/>
  <c r="AL43" i="62"/>
  <c r="AM43" i="62"/>
  <c r="AN43" i="62"/>
  <c r="AO43" i="62"/>
  <c r="D45" i="62"/>
  <c r="E45" i="62"/>
  <c r="F45" i="62"/>
  <c r="G45" i="62"/>
  <c r="L45" i="62"/>
  <c r="M45" i="62"/>
  <c r="N45" i="62"/>
  <c r="O45" i="62"/>
  <c r="P45" i="62"/>
  <c r="Q45" i="62"/>
  <c r="R45" i="62"/>
  <c r="S45" i="62"/>
  <c r="T45" i="62"/>
  <c r="U45" i="62"/>
  <c r="V45" i="62"/>
  <c r="W45" i="62"/>
  <c r="X45" i="62"/>
  <c r="Y45" i="62"/>
  <c r="Z45" i="62"/>
  <c r="AA45" i="62"/>
  <c r="AB45" i="62"/>
  <c r="AC45" i="62"/>
  <c r="AD45" i="62"/>
  <c r="AE45" i="62"/>
  <c r="AF45" i="62"/>
  <c r="AG45" i="62"/>
  <c r="AH45" i="62"/>
  <c r="AI45" i="62"/>
  <c r="AJ45" i="62"/>
  <c r="AK45" i="62"/>
  <c r="AL45" i="62"/>
  <c r="AM45" i="62"/>
  <c r="AN45" i="62"/>
  <c r="AO45" i="62"/>
  <c r="D47" i="62"/>
  <c r="E47" i="62"/>
  <c r="F47" i="62"/>
  <c r="G47" i="62"/>
  <c r="L47" i="62"/>
  <c r="M47" i="62"/>
  <c r="N47" i="62"/>
  <c r="O47" i="62"/>
  <c r="P47" i="62"/>
  <c r="Q47" i="62"/>
  <c r="R47" i="62"/>
  <c r="S47" i="62"/>
  <c r="T47" i="62"/>
  <c r="U47" i="62"/>
  <c r="V47" i="62"/>
  <c r="W47" i="62"/>
  <c r="X47" i="62"/>
  <c r="Y47" i="62"/>
  <c r="Z47" i="62"/>
  <c r="AA47" i="62"/>
  <c r="AB47" i="62"/>
  <c r="AC47" i="62"/>
  <c r="AD47" i="62"/>
  <c r="AE47" i="62"/>
  <c r="AF47" i="62"/>
  <c r="AG47" i="62"/>
  <c r="AH47" i="62"/>
  <c r="AI47" i="62"/>
  <c r="AJ47" i="62"/>
  <c r="AK47" i="62"/>
  <c r="AL47" i="62"/>
  <c r="AM47" i="62"/>
  <c r="AN47" i="62"/>
  <c r="AO47" i="62"/>
  <c r="D49" i="62"/>
  <c r="E49" i="62"/>
  <c r="F49" i="62"/>
  <c r="G49" i="62"/>
  <c r="L49" i="62"/>
  <c r="M49" i="62"/>
  <c r="N49" i="62"/>
  <c r="P49" i="62"/>
  <c r="Q49" i="62"/>
  <c r="R49" i="62"/>
  <c r="S49" i="62"/>
  <c r="T49" i="62"/>
  <c r="U49" i="62"/>
  <c r="V49" i="62"/>
  <c r="W49" i="62"/>
  <c r="X49" i="62"/>
  <c r="Y49" i="62"/>
  <c r="Z49" i="62"/>
  <c r="AA49" i="62"/>
  <c r="AB49" i="62"/>
  <c r="AC49" i="62"/>
  <c r="AD49" i="62"/>
  <c r="AE49" i="62"/>
  <c r="AF49" i="62"/>
  <c r="AG49" i="62"/>
  <c r="AH49" i="62"/>
  <c r="AI49" i="62"/>
  <c r="AJ49" i="62"/>
  <c r="AK49" i="62"/>
  <c r="AL49" i="62"/>
  <c r="AM49" i="62"/>
  <c r="AN49" i="62"/>
  <c r="AO49" i="62"/>
  <c r="D51" i="62"/>
  <c r="E51" i="62"/>
  <c r="F51" i="62"/>
  <c r="G51" i="62"/>
  <c r="L51" i="62"/>
  <c r="M51" i="62"/>
  <c r="N51" i="62"/>
  <c r="O51" i="62"/>
  <c r="P51" i="62"/>
  <c r="Q51" i="62"/>
  <c r="R51" i="62"/>
  <c r="S51" i="62"/>
  <c r="T51" i="62"/>
  <c r="U51" i="62"/>
  <c r="V51" i="62"/>
  <c r="W51" i="62"/>
  <c r="X51" i="62"/>
  <c r="Y51" i="62"/>
  <c r="Z51" i="62"/>
  <c r="AA51" i="62"/>
  <c r="AB51" i="62"/>
  <c r="AC51" i="62"/>
  <c r="AD51" i="62"/>
  <c r="AE51" i="62"/>
  <c r="AF51" i="62"/>
  <c r="AG51" i="62"/>
  <c r="AH51" i="62"/>
  <c r="AI51" i="62"/>
  <c r="AJ51" i="62"/>
  <c r="AK51" i="62"/>
  <c r="AL51" i="62"/>
  <c r="AM51" i="62"/>
  <c r="AN51" i="62"/>
  <c r="AO51" i="62"/>
  <c r="D54" i="62"/>
  <c r="E54" i="62"/>
  <c r="F54" i="62"/>
  <c r="G54" i="62"/>
  <c r="L54" i="62"/>
  <c r="M54" i="62"/>
  <c r="N54" i="62"/>
  <c r="O54" i="62"/>
  <c r="P54" i="62"/>
  <c r="Q54" i="62"/>
  <c r="R54" i="62"/>
  <c r="S54" i="62"/>
  <c r="T54" i="62"/>
  <c r="U54" i="62"/>
  <c r="V54" i="62"/>
  <c r="W54" i="62"/>
  <c r="X54" i="62"/>
  <c r="Y54" i="62"/>
  <c r="Z54" i="62"/>
  <c r="AA54" i="62"/>
  <c r="AB54" i="62"/>
  <c r="AC54" i="62"/>
  <c r="AD54" i="62"/>
  <c r="AE54" i="62"/>
  <c r="AF54" i="62"/>
  <c r="AG54" i="62"/>
  <c r="AH54" i="62"/>
  <c r="AI54" i="62"/>
  <c r="AJ54" i="62"/>
  <c r="AK54" i="62"/>
  <c r="AL54" i="62"/>
  <c r="AM54" i="62"/>
  <c r="AN54" i="62"/>
  <c r="AO54" i="62"/>
  <c r="D55" i="62"/>
  <c r="E55" i="62"/>
  <c r="F55" i="62"/>
  <c r="G55" i="62"/>
  <c r="L55" i="62"/>
  <c r="M55" i="62"/>
  <c r="N55" i="62"/>
  <c r="O55" i="62"/>
  <c r="P55" i="62"/>
  <c r="Q55" i="62"/>
  <c r="R55" i="62"/>
  <c r="S55" i="62"/>
  <c r="T55" i="62"/>
  <c r="U55" i="62"/>
  <c r="V55" i="62"/>
  <c r="W55" i="62"/>
  <c r="X55" i="62"/>
  <c r="Y55" i="62"/>
  <c r="Z55" i="62"/>
  <c r="AA55" i="62"/>
  <c r="AB55" i="62"/>
  <c r="AC55" i="62"/>
  <c r="AD55" i="62"/>
  <c r="AE55" i="62"/>
  <c r="AF55" i="62"/>
  <c r="AG55" i="62"/>
  <c r="AH55" i="62"/>
  <c r="AI55" i="62"/>
  <c r="AJ55" i="62"/>
  <c r="AK55" i="62"/>
  <c r="AL55" i="62"/>
  <c r="AM55" i="62"/>
  <c r="AN55" i="62"/>
  <c r="AO55" i="62"/>
  <c r="D56" i="62"/>
  <c r="E56" i="62"/>
  <c r="F56" i="62"/>
  <c r="G56" i="62"/>
  <c r="H56" i="62"/>
  <c r="I56" i="62"/>
  <c r="J56" i="62"/>
  <c r="K56" i="62"/>
  <c r="L56" i="62"/>
  <c r="M56" i="62"/>
  <c r="N56" i="62"/>
  <c r="O56" i="62"/>
  <c r="P56" i="62"/>
  <c r="Q56" i="62"/>
  <c r="R56" i="62"/>
  <c r="S56" i="62"/>
  <c r="T56" i="62"/>
  <c r="U56" i="62"/>
  <c r="V56" i="62"/>
  <c r="W56" i="62"/>
  <c r="X56" i="62"/>
  <c r="Y56" i="62"/>
  <c r="Z56" i="62"/>
  <c r="AA56" i="62"/>
  <c r="AB56" i="62"/>
  <c r="AC56" i="62"/>
  <c r="AD56" i="62"/>
  <c r="AE56" i="62"/>
  <c r="AF56" i="62"/>
  <c r="AG56" i="62"/>
  <c r="AH56" i="62"/>
  <c r="AI56" i="62"/>
  <c r="AJ56" i="62"/>
  <c r="AK56" i="62"/>
  <c r="AL56" i="62"/>
  <c r="AM56" i="62"/>
  <c r="AN56" i="62"/>
  <c r="AO56" i="62"/>
  <c r="D59" i="62"/>
  <c r="E59" i="62"/>
  <c r="F59" i="62"/>
  <c r="G59" i="62"/>
  <c r="L59" i="62"/>
  <c r="M59" i="62"/>
  <c r="N59" i="62"/>
  <c r="O59" i="62"/>
  <c r="P59" i="62"/>
  <c r="Q59" i="62"/>
  <c r="R59" i="62"/>
  <c r="S59" i="62"/>
  <c r="T59" i="62"/>
  <c r="U59" i="62"/>
  <c r="V59" i="62"/>
  <c r="W59" i="62"/>
  <c r="X59" i="62"/>
  <c r="Y59" i="62"/>
  <c r="Z59" i="62"/>
  <c r="AA59" i="62"/>
  <c r="AB59" i="62"/>
  <c r="AC59" i="62"/>
  <c r="AD59" i="62"/>
  <c r="AE59" i="62"/>
  <c r="AF59" i="62"/>
  <c r="AG59" i="62"/>
  <c r="AH59" i="62"/>
  <c r="AI59" i="62"/>
  <c r="AJ59" i="62"/>
  <c r="AK59" i="62"/>
  <c r="AL59" i="62"/>
  <c r="AM59" i="62"/>
  <c r="AN59" i="62"/>
  <c r="AO59" i="62"/>
  <c r="D60" i="62"/>
  <c r="E60" i="62"/>
  <c r="F60" i="62"/>
  <c r="G60" i="62"/>
  <c r="L60" i="62"/>
  <c r="M60" i="62"/>
  <c r="N60" i="62"/>
  <c r="O60" i="62"/>
  <c r="P60" i="62"/>
  <c r="Q60" i="62"/>
  <c r="R60" i="62"/>
  <c r="S60" i="62"/>
  <c r="T60" i="62"/>
  <c r="U60" i="62"/>
  <c r="V60" i="62"/>
  <c r="W60" i="62"/>
  <c r="X60" i="62"/>
  <c r="Y60" i="62"/>
  <c r="Z60" i="62"/>
  <c r="AA60" i="62"/>
  <c r="AB60" i="62"/>
  <c r="AC60" i="62"/>
  <c r="AD60" i="62"/>
  <c r="AE60" i="62"/>
  <c r="AF60" i="62"/>
  <c r="AG60" i="62"/>
  <c r="AH60" i="62"/>
  <c r="AI60" i="62"/>
  <c r="AJ60" i="62"/>
  <c r="AK60" i="62"/>
  <c r="AL60" i="62"/>
  <c r="AM60" i="62"/>
  <c r="AN60" i="62"/>
  <c r="AO60" i="62"/>
  <c r="D61" i="62"/>
  <c r="E61" i="62"/>
  <c r="F61" i="62"/>
  <c r="G61" i="62"/>
  <c r="H61" i="62"/>
  <c r="I61" i="62"/>
  <c r="J61" i="62"/>
  <c r="K61" i="62"/>
  <c r="L61" i="62"/>
  <c r="M61" i="62"/>
  <c r="N61" i="62"/>
  <c r="O61" i="62"/>
  <c r="P61" i="62"/>
  <c r="Q61" i="62"/>
  <c r="R61" i="62"/>
  <c r="S61" i="62"/>
  <c r="T61" i="62"/>
  <c r="U61" i="62"/>
  <c r="V61" i="62"/>
  <c r="W61" i="62"/>
  <c r="X61" i="62"/>
  <c r="Y61" i="62"/>
  <c r="Z61" i="62"/>
  <c r="AA61" i="62"/>
  <c r="AB61" i="62"/>
  <c r="AC61" i="62"/>
  <c r="AD61" i="62"/>
  <c r="AE61" i="62"/>
  <c r="AF61" i="62"/>
  <c r="AG61" i="62"/>
  <c r="AH61" i="62"/>
  <c r="AI61" i="62"/>
  <c r="AJ61" i="62"/>
  <c r="AK61" i="62"/>
  <c r="AL61" i="62"/>
  <c r="AM61" i="62"/>
  <c r="AN61" i="62"/>
  <c r="AO61" i="62"/>
  <c r="D64" i="62"/>
  <c r="E64" i="62"/>
  <c r="F64" i="62"/>
  <c r="G64" i="62"/>
  <c r="L64" i="62"/>
  <c r="M64" i="62"/>
  <c r="N64" i="62"/>
  <c r="O64" i="62"/>
  <c r="P64" i="62"/>
  <c r="Q64" i="62"/>
  <c r="R64" i="62"/>
  <c r="S64" i="62"/>
  <c r="T64" i="62"/>
  <c r="U64" i="62"/>
  <c r="V64" i="62"/>
  <c r="W64" i="62"/>
  <c r="X64" i="62"/>
  <c r="Y64" i="62"/>
  <c r="Z64" i="62"/>
  <c r="AA64" i="62"/>
  <c r="AB64" i="62"/>
  <c r="AC64" i="62"/>
  <c r="AD64" i="62"/>
  <c r="AE64" i="62"/>
  <c r="AF64" i="62"/>
  <c r="AG64" i="62"/>
  <c r="AH64" i="62"/>
  <c r="AI64" i="62"/>
  <c r="AJ64" i="62"/>
  <c r="AK64" i="62"/>
  <c r="AL64" i="62"/>
  <c r="AM64" i="62"/>
  <c r="AN64" i="62"/>
  <c r="AO64" i="62"/>
  <c r="D65" i="62"/>
  <c r="E65" i="62"/>
  <c r="F65" i="62"/>
  <c r="G65" i="62"/>
  <c r="L65" i="62"/>
  <c r="M65" i="62"/>
  <c r="N65" i="62"/>
  <c r="O65" i="62"/>
  <c r="P65" i="62"/>
  <c r="Q65" i="62"/>
  <c r="R65" i="62"/>
  <c r="S65" i="62"/>
  <c r="T65" i="62"/>
  <c r="U65" i="62"/>
  <c r="V65" i="62"/>
  <c r="W65" i="62"/>
  <c r="X65" i="62"/>
  <c r="Y65" i="62"/>
  <c r="Z65" i="62"/>
  <c r="AA65" i="62"/>
  <c r="AB65" i="62"/>
  <c r="AC65" i="62"/>
  <c r="AD65" i="62"/>
  <c r="AE65" i="62"/>
  <c r="AF65" i="62"/>
  <c r="AG65" i="62"/>
  <c r="AH65" i="62"/>
  <c r="AI65" i="62"/>
  <c r="AJ65" i="62"/>
  <c r="AK65" i="62"/>
  <c r="AL65" i="62"/>
  <c r="AM65" i="62"/>
  <c r="AN65" i="62"/>
  <c r="AO65" i="62"/>
  <c r="D66" i="62"/>
  <c r="E66" i="62"/>
  <c r="F66" i="62"/>
  <c r="G66" i="62"/>
  <c r="H66" i="62"/>
  <c r="I66" i="62"/>
  <c r="J66" i="62"/>
  <c r="K66" i="62"/>
  <c r="L66" i="62"/>
  <c r="M66" i="62"/>
  <c r="N66" i="62"/>
  <c r="O66" i="62"/>
  <c r="P66" i="62"/>
  <c r="Q66" i="62"/>
  <c r="R66" i="62"/>
  <c r="S66" i="62"/>
  <c r="T66" i="62"/>
  <c r="U66" i="62"/>
  <c r="V66" i="62"/>
  <c r="W66" i="62"/>
  <c r="X66" i="62"/>
  <c r="Y66" i="62"/>
  <c r="Z66" i="62"/>
  <c r="AA66" i="62"/>
  <c r="AB66" i="62"/>
  <c r="AC66" i="62"/>
  <c r="AD66" i="62"/>
  <c r="AE66" i="62"/>
  <c r="AF66" i="62"/>
  <c r="AG66" i="62"/>
  <c r="AH66" i="62"/>
  <c r="AI66" i="62"/>
  <c r="AJ66" i="62"/>
  <c r="AK66" i="62"/>
  <c r="AL66" i="62"/>
  <c r="AM66" i="62"/>
  <c r="AN66" i="62"/>
  <c r="AO66" i="62"/>
  <c r="D70" i="62"/>
  <c r="E70" i="62"/>
  <c r="F70" i="62"/>
  <c r="G70" i="62"/>
  <c r="L70" i="62"/>
  <c r="M70" i="62"/>
  <c r="N70" i="62"/>
  <c r="O70" i="62"/>
  <c r="P70" i="62"/>
  <c r="Q70" i="62"/>
  <c r="R70" i="62"/>
  <c r="S70" i="62"/>
  <c r="T70" i="62"/>
  <c r="U70" i="62"/>
  <c r="V70" i="62"/>
  <c r="W70" i="62"/>
  <c r="X70" i="62"/>
  <c r="Y70" i="62"/>
  <c r="Z70" i="62"/>
  <c r="AA70" i="62"/>
  <c r="AB70" i="62"/>
  <c r="AC70" i="62"/>
  <c r="AD70" i="62"/>
  <c r="AE70" i="62"/>
  <c r="AF70" i="62"/>
  <c r="AG70" i="62"/>
  <c r="AH70" i="62"/>
  <c r="AI70" i="62"/>
  <c r="AJ70" i="62"/>
  <c r="AK70" i="62"/>
  <c r="AL70" i="62"/>
  <c r="AM70" i="62"/>
  <c r="AN70" i="62"/>
  <c r="AO70" i="62"/>
  <c r="D71" i="62"/>
  <c r="E71" i="62"/>
  <c r="F71" i="62"/>
  <c r="G71" i="62"/>
  <c r="L71" i="62"/>
  <c r="M71" i="62"/>
  <c r="N71" i="62"/>
  <c r="O71" i="62"/>
  <c r="P71" i="62"/>
  <c r="Q71" i="62"/>
  <c r="R71" i="62"/>
  <c r="S71" i="62"/>
  <c r="T71" i="62"/>
  <c r="U71" i="62"/>
  <c r="V71" i="62"/>
  <c r="W71" i="62"/>
  <c r="X71" i="62"/>
  <c r="Y71" i="62"/>
  <c r="Z71" i="62"/>
  <c r="AA71" i="62"/>
  <c r="AB71" i="62"/>
  <c r="AC71" i="62"/>
  <c r="AD71" i="62"/>
  <c r="AE71" i="62"/>
  <c r="AF71" i="62"/>
  <c r="AG71" i="62"/>
  <c r="AH71" i="62"/>
  <c r="AI71" i="62"/>
  <c r="AJ71" i="62"/>
  <c r="AK71" i="62"/>
  <c r="AL71" i="62"/>
  <c r="AM71" i="62"/>
  <c r="AN71" i="62"/>
  <c r="AO71" i="62"/>
  <c r="D72" i="62"/>
  <c r="E72" i="62"/>
  <c r="F72" i="62"/>
  <c r="G72" i="62"/>
  <c r="H72" i="62"/>
  <c r="I72" i="62"/>
  <c r="J72" i="62"/>
  <c r="K72" i="62"/>
  <c r="L72" i="62"/>
  <c r="M72" i="62"/>
  <c r="N72" i="62"/>
  <c r="O72" i="62"/>
  <c r="P72" i="62"/>
  <c r="Q72" i="62"/>
  <c r="R72" i="62"/>
  <c r="S72" i="62"/>
  <c r="T72" i="62"/>
  <c r="U72" i="62"/>
  <c r="V72" i="62"/>
  <c r="W72" i="62"/>
  <c r="X72" i="62"/>
  <c r="Y72" i="62"/>
  <c r="Z72" i="62"/>
  <c r="AA72" i="62"/>
  <c r="AB72" i="62"/>
  <c r="AC72" i="62"/>
  <c r="AD72" i="62"/>
  <c r="AE72" i="62"/>
  <c r="AF72" i="62"/>
  <c r="AG72" i="62"/>
  <c r="AH72" i="62"/>
  <c r="AI72" i="62"/>
  <c r="AJ72" i="62"/>
  <c r="AK72" i="62"/>
  <c r="AL72" i="62"/>
  <c r="AM72" i="62"/>
  <c r="AN72" i="62"/>
  <c r="AO72" i="62"/>
  <c r="D73" i="62"/>
  <c r="E73" i="62"/>
  <c r="F73" i="62"/>
  <c r="G73" i="62"/>
  <c r="L73" i="62"/>
  <c r="M73" i="62"/>
  <c r="N73" i="62"/>
  <c r="O73" i="62"/>
  <c r="P73" i="62"/>
  <c r="Q73" i="62"/>
  <c r="R73" i="62"/>
  <c r="S73" i="62"/>
  <c r="T73" i="62"/>
  <c r="U73" i="62"/>
  <c r="V73" i="62"/>
  <c r="W73" i="62"/>
  <c r="X73" i="62"/>
  <c r="Y73" i="62"/>
  <c r="Z73" i="62"/>
  <c r="AA73" i="62"/>
  <c r="AB73" i="62"/>
  <c r="AC73" i="62"/>
  <c r="AD73" i="62"/>
  <c r="AE73" i="62"/>
  <c r="AF73" i="62"/>
  <c r="AG73" i="62"/>
  <c r="AH73" i="62"/>
  <c r="AI73" i="62"/>
  <c r="AJ73" i="62"/>
  <c r="AK73" i="62"/>
  <c r="AL73" i="62"/>
  <c r="AM73" i="62"/>
  <c r="AN73" i="62"/>
  <c r="AO73" i="62"/>
  <c r="D74" i="62"/>
  <c r="E74" i="62"/>
  <c r="F74" i="62"/>
  <c r="G74" i="62"/>
  <c r="L74" i="62"/>
  <c r="M74" i="62"/>
  <c r="N74" i="62"/>
  <c r="O74" i="62"/>
  <c r="P74" i="62"/>
  <c r="Q74" i="62"/>
  <c r="R74" i="62"/>
  <c r="S74" i="62"/>
  <c r="T74" i="62"/>
  <c r="U74" i="62"/>
  <c r="V74" i="62"/>
  <c r="W74" i="62"/>
  <c r="X74" i="62"/>
  <c r="Y74" i="62"/>
  <c r="Z74" i="62"/>
  <c r="AA74" i="62"/>
  <c r="AB74" i="62"/>
  <c r="AC74" i="62"/>
  <c r="AD74" i="62"/>
  <c r="AE74" i="62"/>
  <c r="AF74" i="62"/>
  <c r="AG74" i="62"/>
  <c r="AH74" i="62"/>
  <c r="AI74" i="62"/>
  <c r="AJ74" i="62"/>
  <c r="AK74" i="62"/>
  <c r="AL74" i="62"/>
  <c r="AM74" i="62"/>
  <c r="AN74" i="62"/>
  <c r="AO74" i="62"/>
  <c r="D75" i="62"/>
  <c r="E75" i="62"/>
  <c r="F75" i="62"/>
  <c r="G75" i="62"/>
  <c r="L75" i="62"/>
  <c r="M75" i="62"/>
  <c r="N75" i="62"/>
  <c r="O75" i="62"/>
  <c r="P75" i="62"/>
  <c r="Q75" i="62"/>
  <c r="R75" i="62"/>
  <c r="S75" i="62"/>
  <c r="T75" i="62"/>
  <c r="U75" i="62"/>
  <c r="V75" i="62"/>
  <c r="W75" i="62"/>
  <c r="X75" i="62"/>
  <c r="Y75" i="62"/>
  <c r="Z75" i="62"/>
  <c r="AA75" i="62"/>
  <c r="AB75" i="62"/>
  <c r="AC75" i="62"/>
  <c r="AD75" i="62"/>
  <c r="AE75" i="62"/>
  <c r="AF75" i="62"/>
  <c r="AG75" i="62"/>
  <c r="AH75" i="62"/>
  <c r="AI75" i="62"/>
  <c r="AJ75" i="62"/>
  <c r="AK75" i="62"/>
  <c r="AL75" i="62"/>
  <c r="AM75" i="62"/>
  <c r="AN75" i="62"/>
  <c r="AO75" i="62"/>
  <c r="D76" i="62"/>
  <c r="E76" i="62"/>
  <c r="F76" i="62"/>
  <c r="G76" i="62"/>
  <c r="L76" i="62"/>
  <c r="M76" i="62"/>
  <c r="N76" i="62"/>
  <c r="O76" i="62"/>
  <c r="P76" i="62"/>
  <c r="Q76" i="62"/>
  <c r="R76" i="62"/>
  <c r="S76" i="62"/>
  <c r="T76" i="62"/>
  <c r="U76" i="62"/>
  <c r="V76" i="62"/>
  <c r="W76" i="62"/>
  <c r="X76" i="62"/>
  <c r="Y76" i="62"/>
  <c r="Z76" i="62"/>
  <c r="AA76" i="62"/>
  <c r="AB76" i="62"/>
  <c r="AC76" i="62"/>
  <c r="AD76" i="62"/>
  <c r="AE76" i="62"/>
  <c r="AF76" i="62"/>
  <c r="AG76" i="62"/>
  <c r="AH76" i="62"/>
  <c r="AI76" i="62"/>
  <c r="AJ76" i="62"/>
  <c r="AK76" i="62"/>
  <c r="AL76" i="62"/>
  <c r="AM76" i="62"/>
  <c r="AN76" i="62"/>
  <c r="AO76" i="62"/>
  <c r="D77" i="62"/>
  <c r="E77" i="62"/>
  <c r="F77" i="62"/>
  <c r="G77" i="62"/>
  <c r="L77" i="62"/>
  <c r="M77" i="62"/>
  <c r="N77" i="62"/>
  <c r="O77" i="62"/>
  <c r="P77" i="62"/>
  <c r="Q77" i="62"/>
  <c r="R77" i="62"/>
  <c r="S77" i="62"/>
  <c r="T77" i="62"/>
  <c r="U77" i="62"/>
  <c r="V77" i="62"/>
  <c r="W77" i="62"/>
  <c r="X77" i="62"/>
  <c r="Y77" i="62"/>
  <c r="Z77" i="62"/>
  <c r="AA77" i="62"/>
  <c r="AB77" i="62"/>
  <c r="AC77" i="62"/>
  <c r="AD77" i="62"/>
  <c r="AE77" i="62"/>
  <c r="AF77" i="62"/>
  <c r="AG77" i="62"/>
  <c r="AH77" i="62"/>
  <c r="AI77" i="62"/>
  <c r="AJ77" i="62"/>
  <c r="AK77" i="62"/>
  <c r="AL77" i="62"/>
  <c r="AM77" i="62"/>
  <c r="AN77" i="62"/>
  <c r="AO77" i="62"/>
  <c r="D78" i="62"/>
  <c r="E78" i="62"/>
  <c r="F78" i="62"/>
  <c r="G78" i="62"/>
  <c r="L78" i="62"/>
  <c r="M78" i="62"/>
  <c r="N78" i="62"/>
  <c r="O78" i="62"/>
  <c r="P78" i="62"/>
  <c r="Q78" i="62"/>
  <c r="R78" i="62"/>
  <c r="S78" i="62"/>
  <c r="T78" i="62"/>
  <c r="U78" i="62"/>
  <c r="V78" i="62"/>
  <c r="W78" i="62"/>
  <c r="X78" i="62"/>
  <c r="Y78" i="62"/>
  <c r="Z78" i="62"/>
  <c r="AA78" i="62"/>
  <c r="AB78" i="62"/>
  <c r="AC78" i="62"/>
  <c r="AD78" i="62"/>
  <c r="AE78" i="62"/>
  <c r="AF78" i="62"/>
  <c r="AG78" i="62"/>
  <c r="AH78" i="62"/>
  <c r="AI78" i="62"/>
  <c r="AJ78" i="62"/>
  <c r="AK78" i="62"/>
  <c r="AL78" i="62"/>
  <c r="AM78" i="62"/>
  <c r="AN78" i="62"/>
  <c r="AO78" i="62"/>
  <c r="D79" i="62"/>
  <c r="E79" i="62"/>
  <c r="F79" i="62"/>
  <c r="G79" i="62"/>
  <c r="L79" i="62"/>
  <c r="M79" i="62"/>
  <c r="N79" i="62"/>
  <c r="O79" i="62"/>
  <c r="P79" i="62"/>
  <c r="Q79" i="62"/>
  <c r="R79" i="62"/>
  <c r="S79" i="62"/>
  <c r="T79" i="62"/>
  <c r="U79" i="62"/>
  <c r="V79" i="62"/>
  <c r="W79" i="62"/>
  <c r="X79" i="62"/>
  <c r="Y79" i="62"/>
  <c r="Z79" i="62"/>
  <c r="AA79" i="62"/>
  <c r="AB79" i="62"/>
  <c r="AC79" i="62"/>
  <c r="AD79" i="62"/>
  <c r="AE79" i="62"/>
  <c r="AF79" i="62"/>
  <c r="AG79" i="62"/>
  <c r="AH79" i="62"/>
  <c r="AI79" i="62"/>
  <c r="AJ79" i="62"/>
  <c r="AK79" i="62"/>
  <c r="AL79" i="62"/>
  <c r="AM79" i="62"/>
  <c r="AN79" i="62"/>
  <c r="AO79" i="62"/>
  <c r="D80" i="62"/>
  <c r="E80" i="62"/>
  <c r="F80" i="62"/>
  <c r="G80" i="62"/>
  <c r="L80" i="62"/>
  <c r="M80" i="62"/>
  <c r="N80" i="62"/>
  <c r="P80" i="62"/>
  <c r="Q80" i="62"/>
  <c r="R80" i="62"/>
  <c r="S80" i="62"/>
  <c r="T80" i="62"/>
  <c r="U80" i="62"/>
  <c r="V80" i="62"/>
  <c r="W80" i="62"/>
  <c r="X80" i="62"/>
  <c r="Y80" i="62"/>
  <c r="Z80" i="62"/>
  <c r="AA80" i="62"/>
  <c r="AB80" i="62"/>
  <c r="AC80" i="62"/>
  <c r="AD80" i="62"/>
  <c r="AE80" i="62"/>
  <c r="AF80" i="62"/>
  <c r="AG80" i="62"/>
  <c r="AH80" i="62"/>
  <c r="AI80" i="62"/>
  <c r="AJ80" i="62"/>
  <c r="AK80" i="62"/>
  <c r="AL80" i="62"/>
  <c r="AM80" i="62"/>
  <c r="AN80" i="62"/>
  <c r="AO80" i="62"/>
  <c r="D81" i="62"/>
  <c r="E81" i="62"/>
  <c r="F81" i="62"/>
  <c r="G81" i="62"/>
  <c r="I81" i="62"/>
  <c r="L81" i="62"/>
  <c r="M81" i="62"/>
  <c r="N81" i="62"/>
  <c r="P81" i="62"/>
  <c r="Q81" i="62"/>
  <c r="R81" i="62"/>
  <c r="S81" i="62"/>
  <c r="T81" i="62"/>
  <c r="U81" i="62"/>
  <c r="V81" i="62"/>
  <c r="W81" i="62"/>
  <c r="X81" i="62"/>
  <c r="Y81" i="62"/>
  <c r="Z81" i="62"/>
  <c r="AA81" i="62"/>
  <c r="AB81" i="62"/>
  <c r="AC81" i="62"/>
  <c r="AD81" i="62"/>
  <c r="AE81" i="62"/>
  <c r="AF81" i="62"/>
  <c r="AG81" i="62"/>
  <c r="AH81" i="62"/>
  <c r="AI81" i="62"/>
  <c r="AJ81" i="62"/>
  <c r="AK81" i="62"/>
  <c r="AL81" i="62"/>
  <c r="AM81" i="62"/>
  <c r="AN81" i="62"/>
  <c r="AO81" i="62"/>
  <c r="D82" i="62"/>
  <c r="E82" i="62"/>
  <c r="F82" i="62"/>
  <c r="G82" i="62"/>
  <c r="H82" i="62"/>
  <c r="I82" i="62"/>
  <c r="J82" i="62"/>
  <c r="K82" i="62"/>
  <c r="L82" i="62"/>
  <c r="M82" i="62"/>
  <c r="N82" i="62"/>
  <c r="O82" i="62"/>
  <c r="P82" i="62"/>
  <c r="Q82" i="62"/>
  <c r="R82" i="62"/>
  <c r="S82" i="62"/>
  <c r="T82" i="62"/>
  <c r="U82" i="62"/>
  <c r="V82" i="62"/>
  <c r="W82" i="62"/>
  <c r="X82" i="62"/>
  <c r="Y82" i="62"/>
  <c r="Z82" i="62"/>
  <c r="AA82" i="62"/>
  <c r="AB82" i="62"/>
  <c r="AC82" i="62"/>
  <c r="AD82" i="62"/>
  <c r="AE82" i="62"/>
  <c r="AF82" i="62"/>
  <c r="AG82" i="62"/>
  <c r="AH82" i="62"/>
  <c r="AI82" i="62"/>
  <c r="AJ82" i="62"/>
  <c r="AK82" i="62"/>
  <c r="AL82" i="62"/>
  <c r="AM82" i="62"/>
  <c r="AN82" i="62"/>
  <c r="AO82" i="62"/>
  <c r="A4" i="61"/>
  <c r="A5" i="61"/>
  <c r="F11" i="61"/>
  <c r="G11" i="61"/>
  <c r="H11" i="61"/>
  <c r="I11" i="61"/>
  <c r="L11" i="61"/>
  <c r="M11" i="61"/>
  <c r="F12" i="61"/>
  <c r="G12" i="61"/>
  <c r="H12" i="61"/>
  <c r="I12" i="61"/>
  <c r="L12" i="61"/>
  <c r="M12" i="61"/>
  <c r="F13" i="61"/>
  <c r="G13" i="61"/>
  <c r="H13" i="61"/>
  <c r="I13" i="61"/>
  <c r="L13" i="61"/>
  <c r="M13" i="61"/>
  <c r="F14" i="61"/>
  <c r="G14" i="61"/>
  <c r="H14" i="61"/>
  <c r="I14" i="61"/>
  <c r="L14" i="61"/>
  <c r="M14" i="61"/>
  <c r="F15" i="61"/>
  <c r="G15" i="61"/>
  <c r="H15" i="61"/>
  <c r="I15" i="61"/>
  <c r="L15" i="61"/>
  <c r="M15" i="61"/>
  <c r="F16" i="61"/>
  <c r="G16" i="61"/>
  <c r="H16" i="61"/>
  <c r="I16" i="61"/>
  <c r="J16" i="61"/>
  <c r="K16" i="61"/>
  <c r="L16" i="61"/>
  <c r="M16" i="61"/>
  <c r="H18" i="61"/>
  <c r="I18" i="61"/>
  <c r="F19" i="61"/>
  <c r="G19" i="61"/>
  <c r="H19" i="61"/>
  <c r="I19" i="61"/>
  <c r="L19" i="61"/>
  <c r="M19" i="61"/>
  <c r="F20" i="61"/>
  <c r="G20" i="61"/>
  <c r="H20" i="61"/>
  <c r="I20" i="61"/>
  <c r="L20" i="61"/>
  <c r="M20" i="61"/>
  <c r="F21" i="61"/>
  <c r="G21" i="61"/>
  <c r="H21" i="61"/>
  <c r="I21" i="61"/>
  <c r="L21" i="61"/>
  <c r="M21" i="61"/>
  <c r="F22" i="61"/>
  <c r="G22" i="61"/>
  <c r="H22" i="61"/>
  <c r="I22" i="61"/>
  <c r="L22" i="61"/>
  <c r="M22" i="61"/>
  <c r="F23" i="61"/>
  <c r="G23" i="61"/>
  <c r="H23" i="61"/>
  <c r="I23" i="61"/>
  <c r="L23" i="61"/>
  <c r="M23" i="61"/>
  <c r="F24" i="61"/>
  <c r="G24" i="61"/>
  <c r="H24" i="61"/>
  <c r="I24" i="61"/>
  <c r="J24" i="61"/>
  <c r="K24" i="61"/>
  <c r="L24" i="61"/>
  <c r="M24" i="61"/>
  <c r="F27" i="61"/>
  <c r="G27" i="61"/>
  <c r="H27" i="61"/>
  <c r="I27" i="61"/>
  <c r="L27" i="61"/>
  <c r="M27" i="61"/>
  <c r="F28" i="61"/>
  <c r="G28" i="61"/>
  <c r="H28" i="61"/>
  <c r="I28" i="61"/>
  <c r="L28" i="61"/>
  <c r="M28" i="61"/>
  <c r="F29" i="61"/>
  <c r="G29" i="61"/>
  <c r="H29" i="61"/>
  <c r="I29" i="61"/>
  <c r="J29" i="61"/>
  <c r="K29" i="61"/>
  <c r="L29" i="61"/>
  <c r="M29" i="61"/>
  <c r="F32" i="61"/>
  <c r="G32" i="61"/>
  <c r="H32" i="61"/>
  <c r="I32" i="61"/>
  <c r="L32" i="61"/>
  <c r="M32" i="61"/>
  <c r="F33" i="61"/>
  <c r="G33" i="61"/>
  <c r="H33" i="61"/>
  <c r="I33" i="61"/>
  <c r="L33" i="61"/>
  <c r="M33" i="61"/>
  <c r="F34" i="61"/>
  <c r="G34" i="61"/>
  <c r="H34" i="61"/>
  <c r="I34" i="61"/>
  <c r="L34" i="61"/>
  <c r="M34" i="61"/>
  <c r="F35" i="61"/>
  <c r="G35" i="61"/>
  <c r="H35" i="61"/>
  <c r="I35" i="61"/>
  <c r="L35" i="61"/>
  <c r="M35" i="61"/>
  <c r="F36" i="61"/>
  <c r="G36" i="61"/>
  <c r="H36" i="61"/>
  <c r="I36" i="61"/>
  <c r="J36" i="61"/>
  <c r="K36" i="61"/>
  <c r="L36" i="61"/>
  <c r="M36" i="61"/>
  <c r="L37" i="61"/>
  <c r="M37" i="61"/>
  <c r="H38" i="61"/>
  <c r="I38" i="61"/>
  <c r="F39" i="61"/>
  <c r="G39" i="61"/>
  <c r="H39" i="61"/>
  <c r="I39" i="61"/>
  <c r="L39" i="61"/>
  <c r="M39" i="61"/>
  <c r="F40" i="61"/>
  <c r="G40" i="61"/>
  <c r="H40" i="61"/>
  <c r="I40" i="61"/>
  <c r="L40" i="61"/>
  <c r="M40" i="61"/>
  <c r="F41" i="61"/>
  <c r="G41" i="61"/>
  <c r="H41" i="61"/>
  <c r="I41" i="61"/>
  <c r="L41" i="61"/>
  <c r="M41" i="61"/>
  <c r="F42" i="61"/>
  <c r="G42" i="61"/>
  <c r="H42" i="61"/>
  <c r="I42" i="61"/>
  <c r="J42" i="61"/>
  <c r="K42" i="61"/>
  <c r="L42" i="61"/>
  <c r="M42" i="61"/>
  <c r="F43" i="61"/>
  <c r="G43" i="61"/>
  <c r="H43" i="61"/>
  <c r="I43" i="61"/>
  <c r="J43" i="61"/>
  <c r="K43" i="61"/>
  <c r="L43" i="61"/>
  <c r="M43" i="61"/>
  <c r="F45" i="61"/>
  <c r="G45" i="61"/>
  <c r="H45" i="61"/>
  <c r="I45" i="61"/>
  <c r="L45" i="61"/>
  <c r="M45" i="61"/>
  <c r="F47" i="61"/>
  <c r="G47" i="61"/>
  <c r="H47" i="61"/>
  <c r="I47" i="61"/>
  <c r="L47" i="61"/>
  <c r="M47" i="61"/>
  <c r="F49" i="61"/>
  <c r="G49" i="61"/>
  <c r="H49" i="61"/>
  <c r="I49" i="61"/>
  <c r="L49" i="61"/>
  <c r="M49" i="61"/>
  <c r="F51" i="61"/>
  <c r="G51" i="61"/>
  <c r="H51" i="61"/>
  <c r="I51" i="61"/>
  <c r="L51" i="61"/>
  <c r="M51" i="61"/>
  <c r="F54" i="61"/>
  <c r="G54" i="61"/>
  <c r="H54" i="61"/>
  <c r="I54" i="61"/>
  <c r="L54" i="61"/>
  <c r="M54" i="61"/>
  <c r="F55" i="61"/>
  <c r="G55" i="61"/>
  <c r="H55" i="61"/>
  <c r="I55" i="61"/>
  <c r="L55" i="61"/>
  <c r="M55" i="61"/>
  <c r="F56" i="61"/>
  <c r="G56" i="61"/>
  <c r="H56" i="61"/>
  <c r="I56" i="61"/>
  <c r="J56" i="61"/>
  <c r="K56" i="61"/>
  <c r="L56" i="61"/>
  <c r="M56" i="61"/>
  <c r="F59" i="61"/>
  <c r="G59" i="61"/>
  <c r="H59" i="61"/>
  <c r="I59" i="61"/>
  <c r="L59" i="61"/>
  <c r="M59" i="61"/>
  <c r="F60" i="61"/>
  <c r="G60" i="61"/>
  <c r="H60" i="61"/>
  <c r="I60" i="61"/>
  <c r="L60" i="61"/>
  <c r="M60" i="61"/>
  <c r="F61" i="61"/>
  <c r="G61" i="61"/>
  <c r="H61" i="61"/>
  <c r="I61" i="61"/>
  <c r="J61" i="61"/>
  <c r="K61" i="61"/>
  <c r="L61" i="61"/>
  <c r="M61" i="61"/>
  <c r="F64" i="61"/>
  <c r="G64" i="61"/>
  <c r="H64" i="61"/>
  <c r="I64" i="61"/>
  <c r="L64" i="61"/>
  <c r="M64" i="61"/>
  <c r="F65" i="61"/>
  <c r="G65" i="61"/>
  <c r="H65" i="61"/>
  <c r="I65" i="61"/>
  <c r="L65" i="61"/>
  <c r="M65" i="61"/>
  <c r="F66" i="61"/>
  <c r="G66" i="61"/>
  <c r="H66" i="61"/>
  <c r="I66" i="61"/>
  <c r="J66" i="61"/>
  <c r="K66" i="61"/>
  <c r="L66" i="61"/>
  <c r="M66" i="61"/>
  <c r="L69" i="61"/>
  <c r="M69" i="61"/>
  <c r="F70" i="61"/>
  <c r="G70" i="61"/>
  <c r="H70" i="61"/>
  <c r="I70" i="61"/>
  <c r="L70" i="61"/>
  <c r="M70" i="61"/>
  <c r="F71" i="61"/>
  <c r="G71" i="61"/>
  <c r="H71" i="61"/>
  <c r="I71" i="61"/>
  <c r="L71" i="61"/>
  <c r="M71" i="61"/>
  <c r="F72" i="61"/>
  <c r="G72" i="61"/>
  <c r="H72" i="61"/>
  <c r="I72" i="61"/>
  <c r="J72" i="61"/>
  <c r="K72" i="61"/>
  <c r="L72" i="61"/>
  <c r="M72" i="61"/>
  <c r="F73" i="61"/>
  <c r="G73" i="61"/>
  <c r="H73" i="61"/>
  <c r="I73" i="61"/>
  <c r="L73" i="61"/>
  <c r="M73" i="61"/>
  <c r="F74" i="61"/>
  <c r="G74" i="61"/>
  <c r="H74" i="61"/>
  <c r="I74" i="61"/>
  <c r="L74" i="61"/>
  <c r="M74" i="61"/>
  <c r="F75" i="61"/>
  <c r="G75" i="61"/>
  <c r="H75" i="61"/>
  <c r="I75" i="61"/>
  <c r="L75" i="61"/>
  <c r="M75" i="61"/>
  <c r="F76" i="61"/>
  <c r="G76" i="61"/>
  <c r="H76" i="61"/>
  <c r="I76" i="61"/>
  <c r="L76" i="61"/>
  <c r="M76" i="61"/>
  <c r="F77" i="61"/>
  <c r="G77" i="61"/>
  <c r="H77" i="61"/>
  <c r="I77" i="61"/>
  <c r="L77" i="61"/>
  <c r="M77" i="61"/>
  <c r="F78" i="61"/>
  <c r="G78" i="61"/>
  <c r="H78" i="61"/>
  <c r="I78" i="61"/>
  <c r="L78" i="61"/>
  <c r="M78" i="61"/>
  <c r="F79" i="61"/>
  <c r="G79" i="61"/>
  <c r="H79" i="61"/>
  <c r="I79" i="61"/>
  <c r="L79" i="61"/>
  <c r="M79" i="61"/>
  <c r="F80" i="61"/>
  <c r="G80" i="61"/>
  <c r="H80" i="61"/>
  <c r="I80" i="61"/>
  <c r="L80" i="61"/>
  <c r="M80" i="61"/>
  <c r="F81" i="61"/>
  <c r="G81" i="61"/>
  <c r="H81" i="61"/>
  <c r="I81" i="61"/>
  <c r="L81" i="61"/>
  <c r="M81" i="61"/>
  <c r="D82" i="61"/>
  <c r="E82" i="61"/>
  <c r="F82" i="61"/>
  <c r="G82" i="61"/>
  <c r="H82" i="61"/>
  <c r="I82" i="61"/>
  <c r="J82" i="61"/>
  <c r="K82" i="61"/>
  <c r="L82" i="61"/>
  <c r="M82" i="61"/>
  <c r="A5" i="63"/>
  <c r="D11" i="63"/>
  <c r="E11" i="63"/>
  <c r="F11" i="63"/>
  <c r="G11" i="63"/>
  <c r="H11" i="63"/>
  <c r="I11" i="63"/>
  <c r="D12" i="63"/>
  <c r="E12" i="63"/>
  <c r="F12" i="63"/>
  <c r="G12" i="63"/>
  <c r="H12" i="63"/>
  <c r="I12" i="63"/>
  <c r="D13" i="63"/>
  <c r="E13" i="63"/>
  <c r="F13" i="63"/>
  <c r="G13" i="63"/>
  <c r="H13" i="63"/>
  <c r="I13" i="63"/>
  <c r="D14" i="63"/>
  <c r="E14" i="63"/>
  <c r="F14" i="63"/>
  <c r="G14" i="63"/>
  <c r="H14" i="63"/>
  <c r="I14" i="63"/>
  <c r="D15" i="63"/>
  <c r="E15" i="63"/>
  <c r="F15" i="63"/>
  <c r="G15" i="63"/>
  <c r="H15" i="63"/>
  <c r="I15" i="63"/>
  <c r="D16" i="63"/>
  <c r="E16" i="63"/>
  <c r="F16" i="63"/>
  <c r="G16" i="63"/>
  <c r="H16" i="63"/>
  <c r="I16" i="63"/>
  <c r="D19" i="63"/>
  <c r="E19" i="63"/>
  <c r="F19" i="63"/>
  <c r="G19" i="63"/>
  <c r="H19" i="63"/>
  <c r="I19" i="63"/>
  <c r="D20" i="63"/>
  <c r="E20" i="63"/>
  <c r="F20" i="63"/>
  <c r="G20" i="63"/>
  <c r="H20" i="63"/>
  <c r="I20" i="63"/>
  <c r="D21" i="63"/>
  <c r="E21" i="63"/>
  <c r="F21" i="63"/>
  <c r="G21" i="63"/>
  <c r="H21" i="63"/>
  <c r="I21" i="63"/>
  <c r="D22" i="63"/>
  <c r="E22" i="63"/>
  <c r="F22" i="63"/>
  <c r="G22" i="63"/>
  <c r="H22" i="63"/>
  <c r="I22" i="63"/>
  <c r="D23" i="63"/>
  <c r="E23" i="63"/>
  <c r="F23" i="63"/>
  <c r="G23" i="63"/>
  <c r="H23" i="63"/>
  <c r="I23" i="63"/>
  <c r="D24" i="63"/>
  <c r="E24" i="63"/>
  <c r="F24" i="63"/>
  <c r="G24" i="63"/>
  <c r="H24" i="63"/>
  <c r="I24" i="63"/>
  <c r="D27" i="63"/>
  <c r="E27" i="63"/>
  <c r="F27" i="63"/>
  <c r="G27" i="63"/>
  <c r="H27" i="63"/>
  <c r="I27" i="63"/>
  <c r="D28" i="63"/>
  <c r="E28" i="63"/>
  <c r="F28" i="63"/>
  <c r="G28" i="63"/>
  <c r="H28" i="63"/>
  <c r="I28" i="63"/>
  <c r="D29" i="63"/>
  <c r="E29" i="63"/>
  <c r="F29" i="63"/>
  <c r="G29" i="63"/>
  <c r="H29" i="63"/>
  <c r="I29" i="63"/>
  <c r="D32" i="63"/>
  <c r="E32" i="63"/>
  <c r="F32" i="63"/>
  <c r="G32" i="63"/>
  <c r="H32" i="63"/>
  <c r="I32" i="63"/>
  <c r="D33" i="63"/>
  <c r="E33" i="63"/>
  <c r="F33" i="63"/>
  <c r="G33" i="63"/>
  <c r="H33" i="63"/>
  <c r="I33" i="63"/>
  <c r="D34" i="63"/>
  <c r="E34" i="63"/>
  <c r="F34" i="63"/>
  <c r="G34" i="63"/>
  <c r="H34" i="63"/>
  <c r="I34" i="63"/>
  <c r="D35" i="63"/>
  <c r="E35" i="63"/>
  <c r="F35" i="63"/>
  <c r="G35" i="63"/>
  <c r="H35" i="63"/>
  <c r="I35" i="63"/>
  <c r="D36" i="63"/>
  <c r="E36" i="63"/>
  <c r="F36" i="63"/>
  <c r="G36" i="63"/>
  <c r="H36" i="63"/>
  <c r="I36" i="63"/>
  <c r="D39" i="63"/>
  <c r="E39" i="63"/>
  <c r="F39" i="63"/>
  <c r="G39" i="63"/>
  <c r="H39" i="63"/>
  <c r="I39" i="63"/>
  <c r="D40" i="63"/>
  <c r="E40" i="63"/>
  <c r="F40" i="63"/>
  <c r="G40" i="63"/>
  <c r="H40" i="63"/>
  <c r="I40" i="63"/>
  <c r="D41" i="63"/>
  <c r="E41" i="63"/>
  <c r="F41" i="63"/>
  <c r="G41" i="63"/>
  <c r="H41" i="63"/>
  <c r="I41" i="63"/>
  <c r="D42" i="63"/>
  <c r="E42" i="63"/>
  <c r="F42" i="63"/>
  <c r="G42" i="63"/>
  <c r="H42" i="63"/>
  <c r="I42" i="63"/>
  <c r="D43" i="63"/>
  <c r="E43" i="63"/>
  <c r="F43" i="63"/>
  <c r="G43" i="63"/>
  <c r="H43" i="63"/>
  <c r="I43" i="63"/>
  <c r="D45" i="63"/>
  <c r="E45" i="63"/>
  <c r="F45" i="63"/>
  <c r="G45" i="63"/>
  <c r="H45" i="63"/>
  <c r="I45" i="63"/>
  <c r="D47" i="63"/>
  <c r="E47" i="63"/>
  <c r="F47" i="63"/>
  <c r="G47" i="63"/>
  <c r="H47" i="63"/>
  <c r="I47" i="63"/>
  <c r="D49" i="63"/>
  <c r="E49" i="63"/>
  <c r="F49" i="63"/>
  <c r="G49" i="63"/>
  <c r="H49" i="63"/>
  <c r="I49" i="63"/>
  <c r="D51" i="63"/>
  <c r="E51" i="63"/>
  <c r="F51" i="63"/>
  <c r="G51" i="63"/>
  <c r="H51" i="63"/>
  <c r="I51" i="63"/>
  <c r="D54" i="63"/>
  <c r="E54" i="63"/>
  <c r="F54" i="63"/>
  <c r="G54" i="63"/>
  <c r="H54" i="63"/>
  <c r="I54" i="63"/>
  <c r="D55" i="63"/>
  <c r="E55" i="63"/>
  <c r="F55" i="63"/>
  <c r="G55" i="63"/>
  <c r="H55" i="63"/>
  <c r="I55" i="63"/>
  <c r="D56" i="63"/>
  <c r="E56" i="63"/>
  <c r="F56" i="63"/>
  <c r="G56" i="63"/>
  <c r="H56" i="63"/>
  <c r="I56" i="63"/>
  <c r="D59" i="63"/>
  <c r="E59" i="63"/>
  <c r="F59" i="63"/>
  <c r="G59" i="63"/>
  <c r="H59" i="63"/>
  <c r="I59" i="63"/>
  <c r="D60" i="63"/>
  <c r="E60" i="63"/>
  <c r="F60" i="63"/>
  <c r="G60" i="63"/>
  <c r="H60" i="63"/>
  <c r="I60" i="63"/>
  <c r="D61" i="63"/>
  <c r="E61" i="63"/>
  <c r="F61" i="63"/>
  <c r="G61" i="63"/>
  <c r="H61" i="63"/>
  <c r="I61" i="63"/>
  <c r="D64" i="63"/>
  <c r="E64" i="63"/>
  <c r="F64" i="63"/>
  <c r="G64" i="63"/>
  <c r="H64" i="63"/>
  <c r="I64" i="63"/>
  <c r="D65" i="63"/>
  <c r="E65" i="63"/>
  <c r="F65" i="63"/>
  <c r="G65" i="63"/>
  <c r="H65" i="63"/>
  <c r="I65" i="63"/>
  <c r="D66" i="63"/>
  <c r="E66" i="63"/>
  <c r="F66" i="63"/>
  <c r="G66" i="63"/>
  <c r="H66" i="63"/>
  <c r="I66" i="63"/>
  <c r="D70" i="63"/>
  <c r="E70" i="63"/>
  <c r="F70" i="63"/>
  <c r="G70" i="63"/>
  <c r="H70" i="63"/>
  <c r="I70" i="63"/>
  <c r="D71" i="63"/>
  <c r="E71" i="63"/>
  <c r="F71" i="63"/>
  <c r="G71" i="63"/>
  <c r="H71" i="63"/>
  <c r="I71" i="63"/>
  <c r="D72" i="63"/>
  <c r="E72" i="63"/>
  <c r="F72" i="63"/>
  <c r="G72" i="63"/>
  <c r="H72" i="63"/>
  <c r="I72" i="63"/>
  <c r="D73" i="63"/>
  <c r="E73" i="63"/>
  <c r="F73" i="63"/>
  <c r="G73" i="63"/>
  <c r="H73" i="63"/>
  <c r="I73" i="63"/>
  <c r="D74" i="63"/>
  <c r="E74" i="63"/>
  <c r="F74" i="63"/>
  <c r="G74" i="63"/>
  <c r="H74" i="63"/>
  <c r="I74" i="63"/>
  <c r="D75" i="63"/>
  <c r="E75" i="63"/>
  <c r="F75" i="63"/>
  <c r="G75" i="63"/>
  <c r="H75" i="63"/>
  <c r="I75" i="63"/>
  <c r="D76" i="63"/>
  <c r="E76" i="63"/>
  <c r="F76" i="63"/>
  <c r="G76" i="63"/>
  <c r="H76" i="63"/>
  <c r="I76" i="63"/>
  <c r="D77" i="63"/>
  <c r="E77" i="63"/>
  <c r="F77" i="63"/>
  <c r="G77" i="63"/>
  <c r="H77" i="63"/>
  <c r="I77" i="63"/>
  <c r="D78" i="63"/>
  <c r="E78" i="63"/>
  <c r="F78" i="63"/>
  <c r="G78" i="63"/>
  <c r="H78" i="63"/>
  <c r="I78" i="63"/>
  <c r="D79" i="63"/>
  <c r="E79" i="63"/>
  <c r="F79" i="63"/>
  <c r="G79" i="63"/>
  <c r="H79" i="63"/>
  <c r="I79" i="63"/>
  <c r="D80" i="63"/>
  <c r="E80" i="63"/>
  <c r="F80" i="63"/>
  <c r="G80" i="63"/>
  <c r="H80" i="63"/>
  <c r="I80" i="63"/>
  <c r="D81" i="63"/>
  <c r="E81" i="63"/>
  <c r="F81" i="63"/>
  <c r="G81" i="63"/>
  <c r="H81" i="63"/>
  <c r="I81" i="63"/>
  <c r="D82" i="63"/>
  <c r="E82" i="63"/>
  <c r="F82" i="63"/>
  <c r="G82" i="63"/>
  <c r="H82" i="63"/>
  <c r="I82" i="63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P8" i="31"/>
  <c r="R8" i="31"/>
  <c r="T8" i="31"/>
  <c r="V8" i="31"/>
  <c r="X8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H11" i="31"/>
  <c r="I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H13" i="31"/>
  <c r="I13" i="31"/>
  <c r="J13" i="31"/>
  <c r="K13" i="31"/>
  <c r="L13" i="31"/>
  <c r="M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H15" i="31"/>
  <c r="I15" i="31"/>
  <c r="J15" i="31"/>
  <c r="K15" i="31"/>
  <c r="L15" i="31"/>
  <c r="N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H19" i="31"/>
  <c r="I19" i="31"/>
  <c r="J19" i="31"/>
  <c r="K19" i="31"/>
  <c r="L19" i="31"/>
  <c r="N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H20" i="31"/>
  <c r="I20" i="31"/>
  <c r="J20" i="31"/>
  <c r="L20" i="31"/>
  <c r="M20" i="31"/>
  <c r="N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H23" i="31"/>
  <c r="I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H32" i="31"/>
  <c r="I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H49" i="31"/>
  <c r="I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H51" i="31"/>
  <c r="I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H54" i="31"/>
  <c r="I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H55" i="31"/>
  <c r="I55" i="31"/>
  <c r="J55" i="31"/>
  <c r="L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H74" i="31"/>
  <c r="J74" i="31"/>
  <c r="K74" i="31"/>
  <c r="L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H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D12" i="6"/>
  <c r="E12" i="6"/>
  <c r="D13" i="6"/>
  <c r="E13" i="6"/>
  <c r="D14" i="6"/>
  <c r="E14" i="6"/>
  <c r="D15" i="6"/>
  <c r="E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D19" i="6"/>
  <c r="E19" i="6"/>
  <c r="D20" i="6"/>
  <c r="E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D32" i="6"/>
  <c r="E32" i="6"/>
  <c r="D33" i="6"/>
  <c r="E33" i="6"/>
  <c r="D34" i="6"/>
  <c r="E34" i="6"/>
  <c r="D35" i="6"/>
  <c r="E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D39" i="6"/>
  <c r="E39" i="6"/>
  <c r="D40" i="6"/>
  <c r="E40" i="6"/>
  <c r="D41" i="6"/>
  <c r="E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D45" i="6"/>
  <c r="E45" i="6"/>
  <c r="D47" i="6"/>
  <c r="E47" i="6"/>
  <c r="D49" i="6"/>
  <c r="E49" i="6"/>
  <c r="D51" i="6"/>
  <c r="E51" i="6"/>
  <c r="D54" i="6"/>
  <c r="E54" i="6"/>
  <c r="D55" i="6"/>
  <c r="E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5" i="54"/>
  <c r="D11" i="54"/>
  <c r="E11" i="54"/>
  <c r="F11" i="54"/>
  <c r="G11" i="54"/>
  <c r="H11" i="54"/>
  <c r="I11" i="54"/>
  <c r="L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H12" i="54"/>
  <c r="I12" i="54"/>
  <c r="J12" i="54"/>
  <c r="L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H19" i="54"/>
  <c r="I19" i="54"/>
  <c r="L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H20" i="54"/>
  <c r="I20" i="54"/>
  <c r="J20" i="54"/>
  <c r="K20" i="54"/>
  <c r="L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H23" i="54"/>
  <c r="I23" i="54"/>
  <c r="J23" i="54"/>
  <c r="K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H27" i="54"/>
  <c r="I27" i="54"/>
  <c r="J27" i="54"/>
  <c r="L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H49" i="54"/>
  <c r="I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H51" i="54"/>
  <c r="I51" i="54"/>
  <c r="J51" i="54"/>
  <c r="K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H54" i="54"/>
  <c r="I54" i="54"/>
  <c r="N54" i="54"/>
  <c r="O54" i="54"/>
  <c r="P54" i="54"/>
  <c r="Q54" i="54"/>
  <c r="R54" i="54"/>
  <c r="S54" i="54"/>
  <c r="T54" i="54"/>
  <c r="U54" i="54"/>
  <c r="V54" i="54"/>
  <c r="W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H74" i="54"/>
  <c r="I74" i="54"/>
  <c r="J74" i="54"/>
  <c r="K74" i="54"/>
  <c r="L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H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P8" i="30"/>
  <c r="R8" i="30"/>
  <c r="T8" i="30"/>
  <c r="V8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I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AA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D70" i="7"/>
  <c r="E70" i="7"/>
  <c r="I70" i="7"/>
  <c r="D71" i="7"/>
  <c r="E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D73" i="7"/>
  <c r="E73" i="7"/>
  <c r="D74" i="7"/>
  <c r="E74" i="7"/>
  <c r="K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D86" i="7"/>
  <c r="E86" i="7"/>
  <c r="AC86" i="7"/>
  <c r="D87" i="7"/>
  <c r="E87" i="7"/>
  <c r="Z87" i="7"/>
  <c r="D88" i="7"/>
  <c r="E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AI94" i="7"/>
  <c r="E96" i="7"/>
  <c r="K96" i="7"/>
  <c r="E98" i="7"/>
  <c r="E100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P8" i="27"/>
  <c r="R8" i="27"/>
  <c r="T8" i="27"/>
  <c r="V8" i="27"/>
  <c r="X8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E86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P8" i="25"/>
  <c r="R8" i="25"/>
  <c r="T8" i="25"/>
  <c r="V8" i="25"/>
  <c r="X8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H11" i="25"/>
  <c r="I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H13" i="25"/>
  <c r="I13" i="25"/>
  <c r="J13" i="25"/>
  <c r="K13" i="25"/>
  <c r="L13" i="25"/>
  <c r="M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H15" i="25"/>
  <c r="I15" i="25"/>
  <c r="J15" i="25"/>
  <c r="L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H19" i="25"/>
  <c r="I19" i="25"/>
  <c r="J19" i="25"/>
  <c r="K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H20" i="25"/>
  <c r="I20" i="25"/>
  <c r="J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H21" i="25"/>
  <c r="I21" i="25"/>
  <c r="J21" i="25"/>
  <c r="K21" i="25"/>
  <c r="L21" i="25"/>
  <c r="M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H23" i="25"/>
  <c r="I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H27" i="25"/>
  <c r="I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H28" i="25"/>
  <c r="I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H32" i="25"/>
  <c r="I32" i="25"/>
  <c r="P32" i="25"/>
  <c r="Q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H35" i="25"/>
  <c r="I35" i="25"/>
  <c r="J35" i="25"/>
  <c r="K35" i="25"/>
  <c r="M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H40" i="25"/>
  <c r="I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H49" i="25"/>
  <c r="I49" i="25"/>
  <c r="P49" i="25"/>
  <c r="Q49" i="25"/>
  <c r="R49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H51" i="25"/>
  <c r="I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H54" i="25"/>
  <c r="I54" i="25"/>
  <c r="P54" i="25"/>
  <c r="Q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H55" i="25"/>
  <c r="I55" i="25"/>
  <c r="J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H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P8" i="46"/>
  <c r="R8" i="46"/>
  <c r="T8" i="46"/>
  <c r="V8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O11" i="46"/>
  <c r="D12" i="46"/>
  <c r="E12" i="46"/>
  <c r="F12" i="46"/>
  <c r="G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D28" i="46"/>
  <c r="E28" i="46"/>
  <c r="F28" i="46"/>
  <c r="G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I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N89" i="46"/>
  <c r="O89" i="46"/>
  <c r="D91" i="46"/>
  <c r="E91" i="46"/>
  <c r="F91" i="46"/>
  <c r="G91" i="46"/>
  <c r="H91" i="46"/>
  <c r="I91" i="46"/>
  <c r="J91" i="46"/>
  <c r="K91" i="46"/>
  <c r="L91" i="46"/>
  <c r="M91" i="46"/>
  <c r="N91" i="46"/>
  <c r="O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P8" i="26"/>
  <c r="R8" i="26"/>
  <c r="T8" i="26"/>
  <c r="V8" i="26"/>
  <c r="X8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H11" i="26"/>
  <c r="I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H19" i="26"/>
  <c r="I19" i="26"/>
  <c r="J19" i="26"/>
  <c r="K19" i="26"/>
  <c r="L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H28" i="26"/>
  <c r="I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H54" i="26"/>
  <c r="I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H81" i="26"/>
  <c r="I81" i="26"/>
  <c r="J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P8" i="28"/>
  <c r="R8" i="28"/>
  <c r="T8" i="28"/>
  <c r="V8" i="28"/>
  <c r="X8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H11" i="28"/>
  <c r="I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H12" i="28"/>
  <c r="I12" i="28"/>
  <c r="J12" i="28"/>
  <c r="L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H15" i="28"/>
  <c r="I15" i="28"/>
  <c r="J15" i="28"/>
  <c r="L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H19" i="28"/>
  <c r="I19" i="28"/>
  <c r="J19" i="28"/>
  <c r="K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H20" i="28"/>
  <c r="I20" i="28"/>
  <c r="J20" i="28"/>
  <c r="L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H21" i="28"/>
  <c r="I21" i="28"/>
  <c r="J21" i="28"/>
  <c r="K21" i="28"/>
  <c r="L21" i="28"/>
  <c r="M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H23" i="28"/>
  <c r="I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H27" i="28"/>
  <c r="I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H32" i="28"/>
  <c r="I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H33" i="28"/>
  <c r="I33" i="28"/>
  <c r="M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H34" i="28"/>
  <c r="I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H35" i="28"/>
  <c r="I35" i="28"/>
  <c r="K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H39" i="28"/>
  <c r="I39" i="28"/>
  <c r="M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H40" i="28"/>
  <c r="I40" i="28"/>
  <c r="J40" i="28"/>
  <c r="K40" i="28"/>
  <c r="M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H49" i="28"/>
  <c r="I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H51" i="28"/>
  <c r="I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H54" i="28"/>
  <c r="I54" i="28"/>
  <c r="P54" i="28"/>
  <c r="Q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H55" i="28"/>
  <c r="I55" i="28"/>
  <c r="J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H74" i="28"/>
  <c r="I74" i="28"/>
  <c r="J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H81" i="28"/>
  <c r="I81" i="28"/>
  <c r="J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</calcChain>
</file>

<file path=xl/comments1.xml><?xml version="1.0" encoding="utf-8"?>
<comments xmlns="http://schemas.openxmlformats.org/spreadsheetml/2006/main">
  <authors>
    <author>jlittle</author>
  </authors>
  <commentLis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N3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779 per j. valdes
</t>
        </r>
      </text>
    </comment>
    <comment ref="N3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109 per j. valdes
</t>
        </r>
      </text>
    </comment>
    <comment ref="N4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312 per j. valdes</t>
        </r>
      </text>
    </comment>
    <comment ref="I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364 accts
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O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pma for cannon</t>
        </r>
      </text>
    </comment>
    <comment ref="O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Should be transport book will be reversed in October
</t>
        </r>
      </text>
    </comment>
    <comment ref="O86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PMA per frank</t>
        </r>
      </text>
    </comment>
    <comment ref="O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CM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O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234 is liquidation pma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O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1740 is liq pma</t>
        </r>
      </text>
    </comment>
    <comment ref="O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443793 is qualitech liquidation
</t>
        </r>
      </text>
    </comment>
    <comment ref="O86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PMA per frank
</t>
        </r>
      </text>
    </comment>
    <comment ref="O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CM
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<sst xmlns="http://schemas.openxmlformats.org/spreadsheetml/2006/main" count="7134" uniqueCount="235">
  <si>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</si>
  <si>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</si>
  <si>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</si>
  <si>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</si>
  <si>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</si>
  <si>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</si>
  <si>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</si>
  <si>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</si>
  <si>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</si>
  <si>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</si>
  <si>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</si>
  <si>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</si>
  <si>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</si>
  <si>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</si>
  <si>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</si>
  <si>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</si>
  <si>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</si>
  <si>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</si>
  <si>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</si>
  <si>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</si>
  <si>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</si>
  <si>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</si>
  <si>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</si>
  <si>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</si>
  <si>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</si>
  <si>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</si>
  <si>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</si>
  <si>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</si>
  <si>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</si>
  <si>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</si>
  <si>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</si>
  <si>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</si>
  <si>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</si>
  <si>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</si>
  <si>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</si>
  <si>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</si>
  <si>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</si>
  <si>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</si>
  <si>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</si>
  <si>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</si>
  <si>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</si>
  <si>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</si>
  <si>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</si>
  <si>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</si>
  <si>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</si>
  <si>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</si>
  <si>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</si>
  <si>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</si>
  <si>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</si>
  <si>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</si>
  <si>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</si>
  <si>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</si>
  <si>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</si>
  <si>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</si>
  <si>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</si>
  <si>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</si>
  <si>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</si>
  <si>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</si>
  <si>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</si>
  <si>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</si>
  <si>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</si>
  <si>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</si>
  <si>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</si>
  <si>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</si>
  <si>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</si>
  <si>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</si>
  <si>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</si>
  <si>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</si>
  <si>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</si>
  <si>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</si>
  <si>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</si>
  <si>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</si>
  <si>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</si>
  <si>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</si>
  <si>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</si>
  <si>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</si>
  <si>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</si>
  <si>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</si>
  <si>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</si>
  <si>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</si>
  <si>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</si>
  <si>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</si>
  <si>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</si>
  <si>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</si>
  <si>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</si>
  <si>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</si>
  <si>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</si>
  <si>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</si>
  <si>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</si>
  <si>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</si>
  <si>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</si>
  <si>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</si>
  <si>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</si>
  <si>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</si>
  <si>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</si>
  <si>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</si>
  <si>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</si>
  <si>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</si>
  <si>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</si>
  <si>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</si>
  <si>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</si>
  <si>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</si>
  <si>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</si>
  <si>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</si>
  <si>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</si>
  <si>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</si>
  <si>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</si>
  <si>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</si>
  <si>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</si>
  <si>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</si>
  <si>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</si>
  <si>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</si>
  <si>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</si>
  <si>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</si>
  <si>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</si>
  <si>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</si>
  <si>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</si>
  <si>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</si>
  <si>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</si>
  <si>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</si>
  <si>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</si>
  <si>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</si>
  <si>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</si>
  <si>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</si>
  <si>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</si>
  <si>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</si>
  <si>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</si>
  <si>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</si>
  <si>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</si>
  <si>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</si>
  <si>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</si>
  <si>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</si>
  <si>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</si>
  <si>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</si>
  <si>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</si>
  <si>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</si>
  <si>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</si>
  <si>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</si>
  <si>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</si>
  <si>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</si>
  <si>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</si>
  <si>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</si>
  <si>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</si>
  <si>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</si>
  <si>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</si>
  <si>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</si>
  <si>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</si>
  <si>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</si>
  <si>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</si>
  <si>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</si>
  <si>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</si>
  <si>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</si>
  <si>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</si>
  <si>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</si>
  <si>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</si>
  <si>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</si>
  <si>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</si>
  <si>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</si>
  <si>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</si>
  <si>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</si>
  <si>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</si>
  <si>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</si>
  <si>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</si>
  <si>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</si>
  <si>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</si>
  <si>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</si>
  <si>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</si>
  <si>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</si>
  <si>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</si>
  <si>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</si>
  <si>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</si>
  <si>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</si>
  <si>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</si>
  <si>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</si>
  <si>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</si>
  <si>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</si>
  <si>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</si>
  <si>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</si>
  <si>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</si>
  <si>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</si>
  <si>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</si>
  <si>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</si>
  <si>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</si>
  <si>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</si>
  <si>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</si>
  <si>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</si>
  <si>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</si>
  <si>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</si>
  <si>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</si>
  <si>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</si>
  <si>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</si>
  <si>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</si>
  <si>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</si>
  <si>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</si>
  <si>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</si>
  <si>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</si>
  <si>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</si>
  <si>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</si>
  <si>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</si>
  <si>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</si>
  <si>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</si>
  <si>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</si>
  <si>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</si>
  <si>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</si>
  <si>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</si>
  <si>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</si>
  <si>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</si>
  <si>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</si>
  <si>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</si>
  <si>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</si>
  <si>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</si>
  <si>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Production Taxes</t>
  </si>
  <si>
    <t>East-MKT East</t>
  </si>
  <si>
    <t>Market East-EGM</t>
  </si>
  <si>
    <t>Interdesk/Stg COI</t>
  </si>
  <si>
    <t>East-LRC</t>
  </si>
  <si>
    <t>East-EGM</t>
  </si>
  <si>
    <t>REGION:  MARKET EAST</t>
  </si>
  <si>
    <t>REGION: BOSTON GAS</t>
  </si>
  <si>
    <t>MKT-EAST</t>
  </si>
  <si>
    <t>0005V</t>
  </si>
  <si>
    <t>0005A</t>
  </si>
  <si>
    <t>REGION:  MidMarket</t>
  </si>
  <si>
    <t>MidMarket</t>
  </si>
  <si>
    <t>REGION: MidMarket</t>
  </si>
  <si>
    <t>June</t>
  </si>
  <si>
    <t>PRODUCTION MONTH: 0006</t>
  </si>
  <si>
    <t>July</t>
  </si>
  <si>
    <t>Chicago</t>
  </si>
  <si>
    <t>0006V</t>
  </si>
  <si>
    <t>0006A</t>
  </si>
  <si>
    <t>PMAs</t>
  </si>
  <si>
    <t>Originations/Rho Drift</t>
  </si>
  <si>
    <t>August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</si>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</sst>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0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0" fillId="0" borderId="0" xfId="0" applyNumberFormat="1" applyAlignment="1"/>
    <xf numFmtId="165" fontId="27" fillId="0" borderId="1" xfId="1" applyNumberFormat="1" applyFont="1" applyFill="1" applyBorder="1"/>
    <xf numFmtId="43" fontId="4" fillId="0" borderId="0" xfId="1" applyAlignment="1"/>
    <xf numFmtId="165" fontId="16" fillId="5" borderId="23" xfId="1" applyNumberFormat="1" applyFont="1" applyFill="1" applyBorder="1" applyAlignment="1"/>
    <xf numFmtId="165" fontId="26" fillId="0" borderId="11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4</xdr:row>
          <xdr:rowOff>45720</xdr:rowOff>
        </xdr:from>
        <xdr:to>
          <xdr:col>4</xdr:col>
          <xdr:colOff>617220</xdr:colOff>
          <xdr:row>4</xdr:row>
          <xdr:rowOff>259080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5</xdr:row>
          <xdr:rowOff>45720</xdr:rowOff>
        </xdr:from>
        <xdr:to>
          <xdr:col>4</xdr:col>
          <xdr:colOff>617220</xdr:colOff>
          <xdr:row>5</xdr:row>
          <xdr:rowOff>259080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6</xdr:row>
          <xdr:rowOff>45720</xdr:rowOff>
        </xdr:from>
        <xdr:to>
          <xdr:col>4</xdr:col>
          <xdr:colOff>617220</xdr:colOff>
          <xdr:row>6</xdr:row>
          <xdr:rowOff>259080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7</xdr:row>
          <xdr:rowOff>45720</xdr:rowOff>
        </xdr:from>
        <xdr:to>
          <xdr:col>4</xdr:col>
          <xdr:colOff>617220</xdr:colOff>
          <xdr:row>7</xdr:row>
          <xdr:rowOff>259080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8</xdr:row>
          <xdr:rowOff>45720</xdr:rowOff>
        </xdr:from>
        <xdr:to>
          <xdr:col>4</xdr:col>
          <xdr:colOff>617220</xdr:colOff>
          <xdr:row>8</xdr:row>
          <xdr:rowOff>259080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9</xdr:row>
          <xdr:rowOff>45720</xdr:rowOff>
        </xdr:from>
        <xdr:to>
          <xdr:col>4</xdr:col>
          <xdr:colOff>617220</xdr:colOff>
          <xdr:row>9</xdr:row>
          <xdr:rowOff>259080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10</xdr:row>
          <xdr:rowOff>45720</xdr:rowOff>
        </xdr:from>
        <xdr:to>
          <xdr:col>4</xdr:col>
          <xdr:colOff>617220</xdr:colOff>
          <xdr:row>10</xdr:row>
          <xdr:rowOff>259080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11</xdr:row>
          <xdr:rowOff>45720</xdr:rowOff>
        </xdr:from>
        <xdr:to>
          <xdr:col>4</xdr:col>
          <xdr:colOff>617220</xdr:colOff>
          <xdr:row>11</xdr:row>
          <xdr:rowOff>259080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14</xdr:row>
          <xdr:rowOff>45720</xdr:rowOff>
        </xdr:from>
        <xdr:to>
          <xdr:col>4</xdr:col>
          <xdr:colOff>617220</xdr:colOff>
          <xdr:row>14</xdr:row>
          <xdr:rowOff>259080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17</xdr:row>
          <xdr:rowOff>45720</xdr:rowOff>
        </xdr:from>
        <xdr:to>
          <xdr:col>4</xdr:col>
          <xdr:colOff>617220</xdr:colOff>
          <xdr:row>17</xdr:row>
          <xdr:rowOff>259080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45720</xdr:rowOff>
        </xdr:from>
        <xdr:to>
          <xdr:col>3</xdr:col>
          <xdr:colOff>1524000</xdr:colOff>
          <xdr:row>0</xdr:row>
          <xdr:rowOff>274320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63">
          <cell r="G63">
            <v>-16940278.349999994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 East"/>
      <sheetName val="Sithe"/>
      <sheetName val="Central"/>
      <sheetName val="Mid Market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0">
          <cell r="B10">
            <v>3097000</v>
          </cell>
          <cell r="C10">
            <v>-8949000</v>
          </cell>
          <cell r="D10">
            <v>0</v>
          </cell>
          <cell r="E10">
            <v>-43000</v>
          </cell>
          <cell r="F10">
            <v>-260000</v>
          </cell>
          <cell r="G10">
            <v>-593000</v>
          </cell>
          <cell r="H10">
            <v>-5147000</v>
          </cell>
          <cell r="I10">
            <v>6002000</v>
          </cell>
          <cell r="J10">
            <v>-413000</v>
          </cell>
          <cell r="K10">
            <v>-628000</v>
          </cell>
          <cell r="L10">
            <v>7478000</v>
          </cell>
          <cell r="M10">
            <v>241000</v>
          </cell>
          <cell r="N10">
            <v>-38000</v>
          </cell>
          <cell r="O10">
            <v>-2762000</v>
          </cell>
          <cell r="P10">
            <v>-53000</v>
          </cell>
          <cell r="Q10">
            <v>1595000</v>
          </cell>
          <cell r="R10">
            <v>55000</v>
          </cell>
          <cell r="S10">
            <v>222000</v>
          </cell>
          <cell r="T10">
            <v>689000</v>
          </cell>
          <cell r="V10">
            <v>493000</v>
          </cell>
        </row>
        <row r="27">
          <cell r="V27">
            <v>121436</v>
          </cell>
        </row>
        <row r="44">
          <cell r="B44">
            <v>2774911</v>
          </cell>
          <cell r="C44">
            <v>-9762457</v>
          </cell>
          <cell r="D44">
            <v>0</v>
          </cell>
          <cell r="E44">
            <v>-43000</v>
          </cell>
          <cell r="F44">
            <v>156409</v>
          </cell>
          <cell r="G44">
            <v>61237</v>
          </cell>
          <cell r="H44">
            <v>-5111795</v>
          </cell>
          <cell r="I44">
            <v>6002000</v>
          </cell>
          <cell r="J44">
            <v>-413000</v>
          </cell>
          <cell r="K44">
            <v>-628000</v>
          </cell>
          <cell r="L44">
            <v>7373830</v>
          </cell>
          <cell r="M44">
            <v>-660622</v>
          </cell>
          <cell r="N44">
            <v>57394</v>
          </cell>
          <cell r="O44">
            <v>-2655411</v>
          </cell>
          <cell r="P44">
            <v>-53000</v>
          </cell>
          <cell r="Q44">
            <v>2593722</v>
          </cell>
          <cell r="R44">
            <v>55000</v>
          </cell>
          <cell r="S44">
            <v>178218</v>
          </cell>
          <cell r="T44">
            <v>689000</v>
          </cell>
          <cell r="V44">
            <v>614436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0.bin"/><Relationship Id="rId5" Type="http://schemas.openxmlformats.org/officeDocument/2006/relationships/comments" Target="../comments8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3.2" x14ac:dyDescent="0.25"/>
  <cols>
    <col min="1" max="1" width="3.44140625" customWidth="1"/>
    <col min="3" max="3" width="6.33203125" customWidth="1"/>
    <col min="4" max="4" width="14.44140625" customWidth="1"/>
    <col min="5" max="5" width="5.44140625" customWidth="1"/>
  </cols>
  <sheetData>
    <row r="1" spans="1:7" ht="17.399999999999999" x14ac:dyDescent="0.3">
      <c r="A1" s="100" t="s">
        <v>0</v>
      </c>
    </row>
    <row r="4" spans="1:7" x14ac:dyDescent="0.25">
      <c r="A4" s="2" t="s">
        <v>1</v>
      </c>
    </row>
    <row r="5" spans="1:7" ht="23.25" customHeight="1" x14ac:dyDescent="0.25"/>
    <row r="6" spans="1:7" ht="21" customHeight="1" x14ac:dyDescent="0.25"/>
    <row r="7" spans="1:7" ht="21" customHeight="1" x14ac:dyDescent="0.25">
      <c r="G7" t="s">
        <v>2</v>
      </c>
    </row>
    <row r="8" spans="1:7" ht="21" customHeight="1" x14ac:dyDescent="0.25"/>
    <row r="9" spans="1:7" ht="21" customHeight="1" x14ac:dyDescent="0.25"/>
    <row r="10" spans="1:7" ht="21" customHeight="1" x14ac:dyDescent="0.25"/>
    <row r="11" spans="1:7" ht="21" customHeight="1" x14ac:dyDescent="0.25"/>
    <row r="12" spans="1:7" ht="21" customHeight="1" x14ac:dyDescent="0.25"/>
    <row r="15" spans="1:7" ht="21" customHeight="1" x14ac:dyDescent="0.25">
      <c r="A15" s="2" t="s">
        <v>3</v>
      </c>
    </row>
    <row r="18" spans="1:1" ht="21" customHeight="1" x14ac:dyDescent="0.25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106680</xdr:colOff>
                    <xdr:row>4</xdr:row>
                    <xdr:rowOff>45720</xdr:rowOff>
                  </from>
                  <to>
                    <xdr:col>4</xdr:col>
                    <xdr:colOff>617220</xdr:colOff>
                    <xdr:row>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106680</xdr:colOff>
                    <xdr:row>5</xdr:row>
                    <xdr:rowOff>45720</xdr:rowOff>
                  </from>
                  <to>
                    <xdr:col>4</xdr:col>
                    <xdr:colOff>617220</xdr:colOff>
                    <xdr:row>5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106680</xdr:colOff>
                    <xdr:row>6</xdr:row>
                    <xdr:rowOff>45720</xdr:rowOff>
                  </from>
                  <to>
                    <xdr:col>4</xdr:col>
                    <xdr:colOff>617220</xdr:colOff>
                    <xdr:row>6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106680</xdr:colOff>
                    <xdr:row>7</xdr:row>
                    <xdr:rowOff>45720</xdr:rowOff>
                  </from>
                  <to>
                    <xdr:col>4</xdr:col>
                    <xdr:colOff>617220</xdr:colOff>
                    <xdr:row>7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106680</xdr:colOff>
                    <xdr:row>8</xdr:row>
                    <xdr:rowOff>45720</xdr:rowOff>
                  </from>
                  <to>
                    <xdr:col>4</xdr:col>
                    <xdr:colOff>617220</xdr:colOff>
                    <xdr:row>8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106680</xdr:colOff>
                    <xdr:row>9</xdr:row>
                    <xdr:rowOff>45720</xdr:rowOff>
                  </from>
                  <to>
                    <xdr:col>4</xdr:col>
                    <xdr:colOff>617220</xdr:colOff>
                    <xdr:row>9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106680</xdr:colOff>
                    <xdr:row>10</xdr:row>
                    <xdr:rowOff>45720</xdr:rowOff>
                  </from>
                  <to>
                    <xdr:col>4</xdr:col>
                    <xdr:colOff>617220</xdr:colOff>
                    <xdr:row>10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106680</xdr:colOff>
                    <xdr:row>11</xdr:row>
                    <xdr:rowOff>45720</xdr:rowOff>
                  </from>
                  <to>
                    <xdr:col>4</xdr:col>
                    <xdr:colOff>617220</xdr:colOff>
                    <xdr:row>11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106680</xdr:colOff>
                    <xdr:row>14</xdr:row>
                    <xdr:rowOff>45720</xdr:rowOff>
                  </from>
                  <to>
                    <xdr:col>4</xdr:col>
                    <xdr:colOff>617220</xdr:colOff>
                    <xdr:row>14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106680</xdr:colOff>
                    <xdr:row>17</xdr:row>
                    <xdr:rowOff>45720</xdr:rowOff>
                  </from>
                  <to>
                    <xdr:col>4</xdr:col>
                    <xdr:colOff>617220</xdr:colOff>
                    <xdr:row>17</xdr:row>
                    <xdr:rowOff>259080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71" activePane="bottomRight" state="frozen"/>
      <selection pane="topRight"/>
      <selection pane="bottomLeft"/>
      <selection pane="bottomRight" activeCell="C5" sqref="C5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6.109375" customWidth="1"/>
    <col min="7" max="7" width="15.44140625" customWidth="1"/>
    <col min="8" max="8" width="16.109375" customWidth="1"/>
    <col min="9" max="15" width="15.44140625" customWidth="1"/>
  </cols>
  <sheetData>
    <row r="1" spans="1:22" x14ac:dyDescent="0.25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'!D11+'WE-VAR'!D11+BUG_VAR!D11+'TX-HPLC-VAR'!D11+'ARUBA-VAR'!D11+'SITHE-VAR'!D11+'DEN-VAR'!D11+'EAST-MKT-VAR'!D11+'MidMarket-VAR'!D11</f>
        <v>515923340</v>
      </c>
      <c r="E11" s="65">
        <f>STG_VAR!E11+ONT_VAR!E11+'CE-VAR'!E11+'EAST-EGM-VAR'!E11+'BGC-EGM-VAR'!E11+'EAST-LRC-VAR'!E11+'TX-EGM-VAR'!E11+'TX-HPLR-VAR '!E11+'WE-VAR'!E11+BUG_VAR!E11+'TX-HPLC-VAR'!E11+'ARUBA-VAR'!E11+'SITHE-VAR'!E11+'DEN-VAR'!E11+'EAST-MKT-VAR'!E11+'MidMarket-VAR'!E11</f>
        <v>2232893459</v>
      </c>
      <c r="F11" s="65">
        <f>STG_VAR!F11+ONT_VAR!F11+'CE-VAR'!F11+'EAST-EGM-VAR'!F11+'BGC-EGM-VAR'!F11+'EAST-LRC-VAR'!F11+'TX-EGM-VAR'!F11+'TX-HPLR-VAR '!F11+'WE-VAR'!F11+BUG_VAR!F11+'TX-HPLC-VAR'!F11+'ARUBA-VAR'!F11+'SITHE-VAR'!F11+'DEN-VAR'!F11+'EAST-MKT-VAR'!F11+'MidMarket-VAR'!F11</f>
        <v>513707216</v>
      </c>
      <c r="G11" s="65">
        <f>STG_VAR!G11+ONT_VAR!G11+'CE-VAR'!G11+'EAST-EGM-VAR'!G11+'BGC-EGM-VAR'!G11+'EAST-LRC-VAR'!G11+'TX-EGM-VAR'!G11+'TX-HPLR-VAR '!G11+'WE-VAR'!G11+BUG_VAR!G11+'TX-HPLC-VAR'!G11+'ARUBA-VAR'!G11+'SITHE-VAR'!G11+'DEN-VAR'!G11+'EAST-MKT-VAR'!G11+'MidMarket-VAR'!G11</f>
        <v>2166672841.8099999</v>
      </c>
      <c r="H11" s="60">
        <f>F11-D11</f>
        <v>-2216124</v>
      </c>
      <c r="I11" s="38">
        <f>G11-E11</f>
        <v>-66220617.190000057</v>
      </c>
    </row>
    <row r="12" spans="1:22" x14ac:dyDescent="0.25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'!D12+'WE-VAR'!D12+BUG_VAR!D12+'TX-HPLC-VAR'!D12+'ARUBA-VAR'!D12+'SITHE-VAR'!D12+'DEN-VAR'!D12+'EAST-MKT-VAR'!D12+'MidMarket-VAR'!D12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'!E12+'WE-VAR'!E12+BUG_VAR!E12+'TX-HPLC-VAR'!E12+'ARUBA-VAR'!E12+'SITHE-VAR'!E12+'DEN-VAR'!E12+'EAST-MKT-VAR'!E12+'MidMarket-VAR'!E12</f>
        <v>-1405797</v>
      </c>
      <c r="F12" s="65">
        <f>STG_VAR!F12+ONT_VAR!F12+'CE-VAR'!F12+'EAST-EGM-VAR'!F12+'BGC-EGM-VAR'!F12+'EAST-LRC-VAR'!F12+'TX-EGM-VAR'!F12+'TX-HPLR-VAR '!F12+'WE-VAR'!F12+BUG_VAR!F12+'TX-HPLC-VAR'!F12+'ARUBA-VAR'!F12+'SITHE-VAR'!F12+'DEN-VAR'!F12+'EAST-MKT-VAR'!F12+'MidMarket-VAR'!F12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'!G12+'WE-VAR'!G12+BUG_VAR!G12+'TX-HPLC-VAR'!G12+'ARUBA-VAR'!G12+'SITHE-VAR'!G12+'DEN-VAR'!G12+'EAST-MKT-VAR'!G12+'MidMarket-VAR'!G12</f>
        <v>86180093.650000006</v>
      </c>
      <c r="H12" s="60">
        <f>F12-D12</f>
        <v>0</v>
      </c>
      <c r="I12" s="38">
        <f>G12-E12</f>
        <v>87585890.650000006</v>
      </c>
    </row>
    <row r="13" spans="1:22" x14ac:dyDescent="0.25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'!D13+'WE-VAR'!D13+BUG_VAR!D13+'TX-HPLC-VAR'!D13+'ARUBA-VAR'!D13+'SITHE-VAR'!D13+'DEN-VAR'!D13+'EAST-MKT-VAR'!D13+'MidMarket-VAR'!D13</f>
        <v>209834435</v>
      </c>
      <c r="E13" s="65">
        <f>STG_VAR!E13+ONT_VAR!E13+'CE-VAR'!E13+'EAST-EGM-VAR'!E13+'BGC-EGM-VAR'!E13+'EAST-LRC-VAR'!E13+'TX-EGM-VAR'!E13+'TX-HPLR-VAR '!E13+'WE-VAR'!E13+BUG_VAR!E13+'TX-HPLC-VAR'!E13+'ARUBA-VAR'!E13+'SITHE-VAR'!E13+'DEN-VAR'!E13+'EAST-MKT-VAR'!E13+'MidMarket-VAR'!E13</f>
        <v>907429013</v>
      </c>
      <c r="F13" s="65">
        <f>STG_VAR!F13+ONT_VAR!F13+'CE-VAR'!F13+'EAST-EGM-VAR'!F13+'BGC-EGM-VAR'!F13+'EAST-LRC-VAR'!F13+'TX-EGM-VAR'!F13+'TX-HPLR-VAR '!F13+'WE-VAR'!F13+BUG_VAR!F13+'TX-HPLC-VAR'!F13+'ARUBA-VAR'!F13+'SITHE-VAR'!F13+'DEN-VAR'!F13+'EAST-MKT-VAR'!F13+'MidMarket-VAR'!F13</f>
        <v>222275564</v>
      </c>
      <c r="G13" s="65">
        <f>STG_VAR!G13+ONT_VAR!G13+'CE-VAR'!G13+'EAST-EGM-VAR'!G13+'BGC-EGM-VAR'!G13+'EAST-LRC-VAR'!G13+'TX-EGM-VAR'!G13+'TX-HPLR-VAR '!G13+'WE-VAR'!G13+BUG_VAR!G13+'TX-HPLC-VAR'!G13+'ARUBA-VAR'!G13+'SITHE-VAR'!G13+'DEN-VAR'!G13+'EAST-MKT-VAR'!G13+'MidMarket-VAR'!G13</f>
        <v>948352225</v>
      </c>
      <c r="H13" s="60">
        <f t="shared" ref="H13:I15" si="0">F13-D13</f>
        <v>12441129</v>
      </c>
      <c r="I13" s="38">
        <f t="shared" si="0"/>
        <v>40923212</v>
      </c>
    </row>
    <row r="14" spans="1:22" x14ac:dyDescent="0.25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'!D14+'WE-VAR'!D14+BUG_VAR!D14+'TX-HPLC-VAR'!D14+'ARUBA-VAR'!D14+'SITHE-VAR'!D14+'DEN-VAR'!D14+'EAST-MKT-VAR'!D14+'MidMarket-VAR'!D14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'!E14+'WE-VAR'!E14+BUG_VAR!E14+'TX-HPLC-VAR'!E14+'ARUBA-VAR'!E14+'SITHE-VAR'!E14+'DEN-VAR'!E14+'EAST-MKT-VAR'!E14+'MidMarket-VAR'!E14</f>
        <v>30520</v>
      </c>
      <c r="F14" s="65">
        <f>STG_VAR!F14+ONT_VAR!F14+'CE-VAR'!F14+'EAST-EGM-VAR'!F14+'BGC-EGM-VAR'!F14+'EAST-LRC-VAR'!F14+'TX-EGM-VAR'!F14+'TX-HPLR-VAR '!F14+'WE-VAR'!F14+BUG_VAR!F14+'TX-HPLC-VAR'!F14+'ARUBA-VAR'!F14+'SITHE-VAR'!F14+'DEN-VAR'!F14+'EAST-MKT-VAR'!F14+'MidMarket-VAR'!F14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'!G14+'WE-VAR'!G14+BUG_VAR!G14+'TX-HPLC-VAR'!G14+'ARUBA-VAR'!G14+'SITHE-VAR'!G14+'DEN-VAR'!G14+'EAST-MKT-VAR'!G14+'MidMarket-VAR'!G14</f>
        <v>0</v>
      </c>
      <c r="H14" s="60">
        <f t="shared" si="0"/>
        <v>0</v>
      </c>
      <c r="I14" s="38">
        <f t="shared" si="0"/>
        <v>-30520</v>
      </c>
    </row>
    <row r="15" spans="1:22" x14ac:dyDescent="0.25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'!D15+'WE-VAR'!D15+BUG_VAR!D15+'TX-HPLC-VAR'!D15+'ARUBA-VAR'!D15+'SITHE-VAR'!D15+'DEN-VAR'!D15+'EAST-MKT-VAR'!D15+'MidMarket-VAR'!D15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'!E15+'WE-VAR'!E15+BUG_VAR!E15+'TX-HPLC-VAR'!E15+'ARUBA-VAR'!E15+'SITHE-VAR'!E15+'DEN-VAR'!E15+'EAST-MKT-VAR'!E15+'MidMarket-VAR'!E15</f>
        <v>1651248.09</v>
      </c>
      <c r="F15" s="65">
        <f>STG_VAR!F15+ONT_VAR!F15+'CE-VAR'!F15+'EAST-EGM-VAR'!F15+'BGC-EGM-VAR'!F15+'EAST-LRC-VAR'!F15+'TX-EGM-VAR'!F15+'TX-HPLR-VAR '!F15+'WE-VAR'!F15+BUG_VAR!F15+'TX-HPLC-VAR'!F15+'ARUBA-VAR'!F15+'SITHE-VAR'!F15+'DEN-VAR'!F15+'EAST-MKT-VAR'!F15+'MidMarket-VAR'!F15</f>
        <v>-450000</v>
      </c>
      <c r="G15" s="65">
        <f>STG_VAR!G15+ONT_VAR!G15+'CE-VAR'!G15+'EAST-EGM-VAR'!G15+'BGC-EGM-VAR'!G15+'EAST-LRC-VAR'!G15+'TX-EGM-VAR'!G15+'TX-HPLR-VAR '!G15+'WE-VAR'!G15+BUG_VAR!G15+'TX-HPLC-VAR'!G15+'ARUBA-VAR'!G15+'SITHE-VAR'!G15+'DEN-VAR'!G15+'EAST-MKT-VAR'!G15+'MidMarket-VAR'!G15</f>
        <v>9815821.1600000001</v>
      </c>
      <c r="H15" s="60">
        <f t="shared" si="0"/>
        <v>-450000</v>
      </c>
      <c r="I15" s="38">
        <f t="shared" si="0"/>
        <v>8164573.0700000003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725757775</v>
      </c>
      <c r="E16" s="39">
        <f t="shared" si="1"/>
        <v>3140598443.0900002</v>
      </c>
      <c r="F16" s="61">
        <f t="shared" si="1"/>
        <v>735532780</v>
      </c>
      <c r="G16" s="39">
        <f t="shared" si="1"/>
        <v>3211020981.6199999</v>
      </c>
      <c r="H16" s="61">
        <f t="shared" si="1"/>
        <v>9775005</v>
      </c>
      <c r="I16" s="39">
        <f t="shared" si="1"/>
        <v>70422538.529999942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'!D19+'WE-VAR'!D19+BUG_VAR!D19+'TX-HPLC-VAR'!D19+'ARUBA-VAR'!D19+'SITHE-VAR'!D19+'DEN-VAR'!D19+'EAST-MKT-VAR'!D19+'MidMarket-VAR'!D19</f>
        <v>-519856353</v>
      </c>
      <c r="E19" s="65">
        <f>STG_VAR!E19+ONT_VAR!E19+'CE-VAR'!E19+'EAST-EGM-VAR'!E19+'BGC-EGM-VAR'!E19+'EAST-LRC-VAR'!E19+'TX-EGM-VAR'!E19+'TX-HPLR-VAR '!E19+'WE-VAR'!E19+BUG_VAR!E19+'TX-HPLC-VAR'!E19+'ARUBA-VAR'!E19+'SITHE-VAR'!E19+'DEN-VAR'!E19+'EAST-MKT-VAR'!E19+'MidMarket-VAR'!E19</f>
        <v>-2236443182</v>
      </c>
      <c r="F19" s="65">
        <f>STG_VAR!F19+ONT_VAR!F19+'CE-VAR'!F19+'EAST-EGM-VAR'!F19+'BGC-EGM-VAR'!F19+'EAST-LRC-VAR'!F19+'TX-EGM-VAR'!F19+'TX-HPLR-VAR '!F19+'WE-VAR'!F19+BUG_VAR!F19+'TX-HPLC-VAR'!F19+'ARUBA-VAR'!F19+'SITHE-VAR'!F19+'DEN-VAR'!F19+'EAST-MKT-VAR'!F19+'MidMarket-VAR'!F19</f>
        <v>-522479894</v>
      </c>
      <c r="G19" s="65">
        <f>STG_VAR!G19+ONT_VAR!G19+'CE-VAR'!G19+'EAST-EGM-VAR'!G19+'BGC-EGM-VAR'!G19+'EAST-LRC-VAR'!G19+'TX-EGM-VAR'!G19+'TX-HPLR-VAR '!G19+'WE-VAR'!G19+BUG_VAR!G19+'TX-HPLC-VAR'!G19+'ARUBA-VAR'!G19+'SITHE-VAR'!G19+'DEN-VAR'!G19+'EAST-MKT-VAR'!G19+'MidMarket-VAR'!G19</f>
        <v>-2189957097.96</v>
      </c>
      <c r="H19" s="60">
        <f>F19-D19</f>
        <v>-2623541</v>
      </c>
      <c r="I19" s="38">
        <f>G19-E19</f>
        <v>46486084.039999962</v>
      </c>
    </row>
    <row r="20" spans="1:9" x14ac:dyDescent="0.25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'!D20+'WE-VAR'!D20+BUG_VAR!D20+'TX-HPLC-VAR'!D20+'ARUBA-VAR'!D20+'SITHE-VAR'!D20+'DEN-VAR'!D20+'EAST-MKT-VAR'!D20+'MidMarket-VAR'!D20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'!E20+'WE-VAR'!E20+BUG_VAR!E20+'TX-HPLC-VAR'!E20+'ARUBA-VAR'!E20+'SITHE-VAR'!E20+'DEN-VAR'!E20+'EAST-MKT-VAR'!E20+'MidMarket-VAR'!E20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'!F20+'WE-VAR'!F20+BUG_VAR!F20+'TX-HPLC-VAR'!F20+'ARUBA-VAR'!F20+'SITHE-VAR'!F20+'DEN-VAR'!F20+'EAST-MKT-VAR'!F20+'MidMarket-VAR'!F20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'!G20+'WE-VAR'!G20+BUG_VAR!G20+'TX-HPLC-VAR'!G20+'ARUBA-VAR'!G20+'SITHE-VAR'!G20+'DEN-VAR'!G20+'EAST-MKT-VAR'!G20+'MidMarket-VAR'!G20</f>
        <v>-94732601.530000016</v>
      </c>
      <c r="H20" s="60">
        <f>F20-D20</f>
        <v>0</v>
      </c>
      <c r="I20" s="38">
        <f>G20-E20</f>
        <v>-94732601.530000016</v>
      </c>
    </row>
    <row r="21" spans="1:9" x14ac:dyDescent="0.25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'!D21+'WE-VAR'!D21+BUG_VAR!D21+'TX-HPLC-VAR'!D21+'ARUBA-VAR'!D21+'SITHE-VAR'!D21+'DEN-VAR'!D21+'EAST-MKT-VAR'!D21+'MidMarket-VAR'!D21</f>
        <v>-211065490</v>
      </c>
      <c r="E21" s="65">
        <f>STG_VAR!E21+ONT_VAR!E21+'CE-VAR'!E21+'EAST-EGM-VAR'!E21+'BGC-EGM-VAR'!E21+'EAST-LRC-VAR'!E21+'TX-EGM-VAR'!E21+'TX-HPLR-VAR '!E21+'WE-VAR'!E21+BUG_VAR!E21+'TX-HPLC-VAR'!E21+'ARUBA-VAR'!E21+'SITHE-VAR'!E21+'DEN-VAR'!E21+'EAST-MKT-VAR'!E21+'MidMarket-VAR'!E21</f>
        <v>-911472679</v>
      </c>
      <c r="F21" s="65">
        <f>STG_VAR!F21+ONT_VAR!F21+'CE-VAR'!F21+'EAST-EGM-VAR'!F21+'BGC-EGM-VAR'!F21+'EAST-LRC-VAR'!F21+'TX-EGM-VAR'!F21+'TX-HPLR-VAR '!F21+'WE-VAR'!F21+BUG_VAR!F21+'TX-HPLC-VAR'!F21+'ARUBA-VAR'!F21+'SITHE-VAR'!F21+'DEN-VAR'!F21+'EAST-MKT-VAR'!F21+'MidMarket-VAR'!F21</f>
        <v>-222275564</v>
      </c>
      <c r="G21" s="65">
        <f>STG_VAR!G21+ONT_VAR!G21+'CE-VAR'!G21+'EAST-EGM-VAR'!G21+'BGC-EGM-VAR'!G21+'EAST-LRC-VAR'!G21+'TX-EGM-VAR'!G21+'TX-HPLR-VAR '!G21+'WE-VAR'!G21+BUG_VAR!G21+'TX-HPLC-VAR'!G21+'ARUBA-VAR'!G21+'SITHE-VAR'!G21+'DEN-VAR'!G21+'EAST-MKT-VAR'!G21+'MidMarket-VAR'!G21</f>
        <v>-949718683</v>
      </c>
      <c r="H21" s="60">
        <f t="shared" ref="H21:I23" si="2">F21-D21</f>
        <v>-11210074</v>
      </c>
      <c r="I21" s="38">
        <f t="shared" si="2"/>
        <v>-38246004</v>
      </c>
    </row>
    <row r="22" spans="1:9" x14ac:dyDescent="0.25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'!D22+'WE-VAR'!D22+BUG_VAR!D22+'TX-HPLC-VAR'!D22+'ARUBA-VAR'!D22+'SITHE-VAR'!D22+'DEN-VAR'!D22+'EAST-MKT-VAR'!D22+'MidMarket-VAR'!D22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'!E22+'WE-VAR'!E22+BUG_VAR!E22+'TX-HPLC-VAR'!E22+'ARUBA-VAR'!E22+'SITHE-VAR'!E22+'DEN-VAR'!E22+'EAST-MKT-VAR'!E22+'MidMarket-VAR'!E22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'!F22+'WE-VAR'!F22+BUG_VAR!F22+'TX-HPLC-VAR'!F22+'ARUBA-VAR'!F22+'SITHE-VAR'!F22+'DEN-VAR'!F22+'EAST-MKT-VAR'!F22+'MidMarket-VAR'!F22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'!G22+'WE-VAR'!G22+BUG_VAR!G22+'TX-HPLC-VAR'!G22+'ARUBA-VAR'!G22+'SITHE-VAR'!G22+'DEN-VAR'!G22+'EAST-MKT-VAR'!G22+'MidMarket-VAR'!G22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'!D23+'WE-VAR'!D23+BUG_VAR!D23+'TX-HPLC-VAR'!D23+'ARUBA-VAR'!D23+'SITHE-VAR'!D23+'DEN-VAR'!D23+'EAST-MKT-VAR'!D23+'MidMarket-VAR'!D23</f>
        <v>1303202</v>
      </c>
      <c r="E23" s="65">
        <f>STG_VAR!E23+ONT_VAR!E23+'CE-VAR'!E23+'EAST-EGM-VAR'!E23+'BGC-EGM-VAR'!E23+'EAST-LRC-VAR'!E23+'TX-EGM-VAR'!E23+'TX-HPLR-VAR '!E23+'WE-VAR'!E23+BUG_VAR!E23+'TX-HPLC-VAR'!E23+'ARUBA-VAR'!E23+'SITHE-VAR'!E23+'DEN-VAR'!E23+'EAST-MKT-VAR'!E23+'MidMarket-VAR'!E23</f>
        <v>5435274</v>
      </c>
      <c r="F23" s="65">
        <f>STG_VAR!F23+ONT_VAR!F23+'CE-VAR'!F23+'EAST-EGM-VAR'!F23+'BGC-EGM-VAR'!F23+'EAST-LRC-VAR'!F23+'TX-EGM-VAR'!F23+'TX-HPLR-VAR '!F23+'WE-VAR'!F23+BUG_VAR!F23+'TX-HPLC-VAR'!F23+'ARUBA-VAR'!F23+'SITHE-VAR'!F23+'DEN-VAR'!F23+'EAST-MKT-VAR'!F23+'MidMarket-VAR'!F23</f>
        <v>1572234</v>
      </c>
      <c r="G23" s="65">
        <f>STG_VAR!G23+ONT_VAR!G23+'CE-VAR'!G23+'EAST-EGM-VAR'!G23+'BGC-EGM-VAR'!G23+'EAST-LRC-VAR'!G23+'TX-EGM-VAR'!G23+'TX-HPLR-VAR '!G23+'WE-VAR'!G23+BUG_VAR!G23+'TX-HPLC-VAR'!G23+'ARUBA-VAR'!G23+'SITHE-VAR'!G23+'DEN-VAR'!G23+'EAST-MKT-VAR'!G23+'MidMarket-VAR'!G23</f>
        <v>6657780.4060000004</v>
      </c>
      <c r="H23" s="60">
        <f t="shared" si="2"/>
        <v>269032</v>
      </c>
      <c r="I23" s="38">
        <f t="shared" si="2"/>
        <v>1222506.4060000004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-729618641</v>
      </c>
      <c r="E24" s="39">
        <f t="shared" si="3"/>
        <v>-3142480587</v>
      </c>
      <c r="F24" s="61">
        <f t="shared" si="3"/>
        <v>-743183224</v>
      </c>
      <c r="G24" s="39">
        <f t="shared" si="3"/>
        <v>-3227750602.0840001</v>
      </c>
      <c r="H24" s="61">
        <f t="shared" si="3"/>
        <v>-13564583</v>
      </c>
      <c r="I24" s="39">
        <f t="shared" si="3"/>
        <v>-85270015.084000051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'!D27+'WE-VAR'!D27+BUG_VAR!D27+'TX-HPLC-VAR'!D27+'ARUBA-VAR'!D27+'SITHE-VAR'!D27+'DEN-VAR'!D27+'EAST-MKT-VAR'!D27+'MidMarket-VAR'!D27</f>
        <v>108077633</v>
      </c>
      <c r="E27" s="65">
        <f>STG_VAR!E27+ONT_VAR!E27+'CE-VAR'!E27+'EAST-EGM-VAR'!E27+'BGC-EGM-VAR'!E27+'EAST-LRC-VAR'!E27+'TX-EGM-VAR'!E27+'TX-HPLR-VAR '!E27+'WE-VAR'!E27+BUG_VAR!E27+'TX-HPLC-VAR'!E27+'ARUBA-VAR'!E27+'SITHE-VAR'!E27+'DEN-VAR'!E27+'EAST-MKT-VAR'!E27+'MidMarket-VAR'!E27</f>
        <v>462961002</v>
      </c>
      <c r="F27" s="65">
        <f>STG_VAR!F27+ONT_VAR!F27+'CE-VAR'!F27+'EAST-EGM-VAR'!F27+'BGC-EGM-VAR'!F27+'EAST-LRC-VAR'!F27+'TX-EGM-VAR'!F27+'TX-HPLR-VAR '!F27+'WE-VAR'!F27+BUG_VAR!F27+'TX-HPLC-VAR'!F27+'ARUBA-VAR'!F27+'SITHE-VAR'!F27+'DEN-VAR'!F27+'EAST-MKT-VAR'!F27+'MidMarket-VAR'!F27</f>
        <v>35503908</v>
      </c>
      <c r="G27" s="65">
        <f>STG_VAR!G27+ONT_VAR!G27+'CE-VAR'!G27+'EAST-EGM-VAR'!G27+'BGC-EGM-VAR'!G27+'EAST-LRC-VAR'!G27+'TX-EGM-VAR'!G27+'TX-HPLR-VAR '!G27+'WE-VAR'!G27+BUG_VAR!G27+'TX-HPLC-VAR'!G27+'ARUBA-VAR'!G27+'SITHE-VAR'!G27+'DEN-VAR'!G27+'EAST-MKT-VAR'!G27+'MidMarket-VAR'!G27</f>
        <v>150828580.19999999</v>
      </c>
      <c r="H27" s="60">
        <f>F27-D27</f>
        <v>-72573725</v>
      </c>
      <c r="I27" s="38">
        <f>G27-E27</f>
        <v>-312132421.80000001</v>
      </c>
    </row>
    <row r="28" spans="1:9" x14ac:dyDescent="0.25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'!D28+'WE-VAR'!D28+BUG_VAR!D28+'TX-HPLC-VAR'!D28+'ARUBA-VAR'!D28+'SITHE-VAR'!D28+'DEN-VAR'!D28+'EAST-MKT-VAR'!D28+'MidMarket-VAR'!D28</f>
        <v>-106267038</v>
      </c>
      <c r="E28" s="65">
        <f>STG_VAR!E28+ONT_VAR!E28+'CE-VAR'!E28+'EAST-EGM-VAR'!E28+'BGC-EGM-VAR'!E28+'EAST-LRC-VAR'!E28+'TX-EGM-VAR'!E28+'TX-HPLR-VAR '!E28+'WE-VAR'!E28+BUG_VAR!E28+'TX-HPLC-VAR'!E28+'ARUBA-VAR'!E28+'SITHE-VAR'!E28+'DEN-VAR'!E28+'EAST-MKT-VAR'!E28+'MidMarket-VAR'!E28</f>
        <v>-455261050</v>
      </c>
      <c r="F28" s="65">
        <f>STG_VAR!F28+ONT_VAR!F28+'CE-VAR'!F28+'EAST-EGM-VAR'!F28+'BGC-EGM-VAR'!F28+'EAST-LRC-VAR'!F28+'TX-EGM-VAR'!F28+'TX-HPLR-VAR '!F28+'WE-VAR'!F28+BUG_VAR!F28+'TX-HPLC-VAR'!F28+'ARUBA-VAR'!F28+'SITHE-VAR'!F28+'DEN-VAR'!F28+'EAST-MKT-VAR'!F28+'MidMarket-VAR'!F28</f>
        <v>-35555231</v>
      </c>
      <c r="G28" s="65">
        <f>STG_VAR!G28+ONT_VAR!G28+'CE-VAR'!G28+'EAST-EGM-VAR'!G28+'BGC-EGM-VAR'!G28+'EAST-LRC-VAR'!G28+'TX-EGM-VAR'!G28+'TX-HPLR-VAR '!G28+'WE-VAR'!G28+BUG_VAR!G28+'TX-HPLC-VAR'!G28+'ARUBA-VAR'!G28+'SITHE-VAR'!G28+'DEN-VAR'!G28+'EAST-MKT-VAR'!G28+'MidMarket-VAR'!G28</f>
        <v>-152289370.854</v>
      </c>
      <c r="H28" s="60">
        <f>F28-D28</f>
        <v>70711807</v>
      </c>
      <c r="I28" s="38">
        <f>G28-E28</f>
        <v>302971679.14600003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1810595</v>
      </c>
      <c r="E29" s="70">
        <f t="shared" si="4"/>
        <v>7699952</v>
      </c>
      <c r="F29" s="69">
        <f t="shared" si="4"/>
        <v>-51323</v>
      </c>
      <c r="G29" s="70">
        <f t="shared" si="4"/>
        <v>-1460790.6540000141</v>
      </c>
      <c r="H29" s="69">
        <f t="shared" si="4"/>
        <v>-1861918</v>
      </c>
      <c r="I29" s="70">
        <f t="shared" si="4"/>
        <v>-9160742.6539999843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'!D32+'WE-VAR'!D32+BUG_VAR!D32+'TX-HPLC-VAR'!D32+'ARUBA-VAR'!D32+'SITHE-VAR'!D32+'DEN-VAR'!D32+'EAST-MKT-VAR'!D32+'MidMarket-VAR'!D32</f>
        <v>773903</v>
      </c>
      <c r="E32" s="65">
        <f>STG_VAR!E32+ONT_VAR!E32+'CE-VAR'!E32+'EAST-EGM-VAR'!E32+'BGC-EGM-VAR'!E32+'EAST-LRC-VAR'!E32+'TX-EGM-VAR'!E32+'TX-HPLR-VAR '!E32+'WE-VAR'!E32+BUG_VAR!E32+'TX-HPLC-VAR'!E32+'ARUBA-VAR'!E32+'SITHE-VAR'!E32+'DEN-VAR'!E32+'EAST-MKT-VAR'!E32+'MidMarket-VAR'!E32</f>
        <v>1356195</v>
      </c>
      <c r="F32" s="65">
        <f>STG_VAR!F32+ONT_VAR!F32+'CE-VAR'!F32+'EAST-EGM-VAR'!F32+'BGC-EGM-VAR'!F32+'EAST-LRC-VAR'!F32+'TX-EGM-VAR'!F32+'TX-HPLR-VAR '!F32+'WE-VAR'!F32+BUG_VAR!F32+'TX-HPLC-VAR'!F32+'ARUBA-VAR'!F32+'SITHE-VAR'!F32+'DEN-VAR'!F32+'EAST-MKT-VAR'!F32+'MidMarket-VAR'!F32</f>
        <v>940363</v>
      </c>
      <c r="G32" s="65">
        <f>STG_VAR!G32+ONT_VAR!G32+'CE-VAR'!G32+'EAST-EGM-VAR'!G32+'BGC-EGM-VAR'!G32+'EAST-LRC-VAR'!G32+'TX-EGM-VAR'!G32+'TX-HPLR-VAR '!G32+'WE-VAR'!G32+BUG_VAR!G32+'TX-HPLC-VAR'!G32+'ARUBA-VAR'!G32+'SITHE-VAR'!G32+'DEN-VAR'!G32+'EAST-MKT-VAR'!G32+'MidMarket-VAR'!G32</f>
        <v>4354889.0560000017</v>
      </c>
      <c r="H32" s="60">
        <f>F32-D32</f>
        <v>166460</v>
      </c>
      <c r="I32" s="38">
        <f>G32-E32</f>
        <v>2998694.0560000017</v>
      </c>
    </row>
    <row r="33" spans="1:9" x14ac:dyDescent="0.25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'!D33+'WE-VAR'!D33+BUG_VAR!D33+'TX-HPLC-VAR'!D33+'ARUBA-VAR'!D33+'SITHE-VAR'!D33+'DEN-VAR'!D33+'EAST-MKT-VAR'!D33+'MidMarket-VAR'!D33</f>
        <v>141561</v>
      </c>
      <c r="E33" s="65">
        <f>STG_VAR!E33+ONT_VAR!E33+'CE-VAR'!E33+'EAST-EGM-VAR'!E33+'BGC-EGM-VAR'!E33+'EAST-LRC-VAR'!E33+'TX-EGM-VAR'!E33+'TX-HPLR-VAR '!E33+'WE-VAR'!E33+BUG_VAR!E33+'TX-HPLC-VAR'!E33+'ARUBA-VAR'!E33+'SITHE-VAR'!E33+'DEN-VAR'!E33+'EAST-MKT-VAR'!E33+'MidMarket-VAR'!E33</f>
        <v>2866687</v>
      </c>
      <c r="F33" s="65">
        <f>STG_VAR!F33+ONT_VAR!F33+'CE-VAR'!F33+'EAST-EGM-VAR'!F33+'BGC-EGM-VAR'!F33+'EAST-LRC-VAR'!F33+'TX-EGM-VAR'!F33+'TX-HPLR-VAR '!F33+'WE-VAR'!F33+BUG_VAR!F33+'TX-HPLC-VAR'!F33+'ARUBA-VAR'!F33+'SITHE-VAR'!F33+'DEN-VAR'!F33+'EAST-MKT-VAR'!F33+'MidMarket-VAR'!F33</f>
        <v>-629717</v>
      </c>
      <c r="G33" s="65">
        <f>STG_VAR!G33+ONT_VAR!G33+'CE-VAR'!G33+'EAST-EGM-VAR'!G33+'BGC-EGM-VAR'!G33+'EAST-LRC-VAR'!G33+'TX-EGM-VAR'!G33+'TX-HPLR-VAR '!G33+'WE-VAR'!G33+BUG_VAR!G33+'TX-HPLC-VAR'!G33+'ARUBA-VAR'!G33+'SITHE-VAR'!G33+'DEN-VAR'!G33+'EAST-MKT-VAR'!G33+'MidMarket-VAR'!G33</f>
        <v>-2492306.41</v>
      </c>
      <c r="H33" s="60">
        <f t="shared" ref="H33:I35" si="5">F33-D33</f>
        <v>-771278</v>
      </c>
      <c r="I33" s="38">
        <f t="shared" si="5"/>
        <v>-5358993.41</v>
      </c>
    </row>
    <row r="34" spans="1:9" x14ac:dyDescent="0.25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'!D34+'WE-VAR'!D34+BUG_VAR!D34+'TX-HPLC-VAR'!D34+'ARUBA-VAR'!D34+'SITHE-VAR'!D34+'DEN-VAR'!D34+'EAST-MKT-VAR'!D34+'MidMarket-VAR'!D34</f>
        <v>-624629</v>
      </c>
      <c r="E34" s="65">
        <f>STG_VAR!E34+ONT_VAR!E34+'CE-VAR'!E34+'EAST-EGM-VAR'!E34+'BGC-EGM-VAR'!E34+'EAST-LRC-VAR'!E34+'TX-EGM-VAR'!E34+'TX-HPLR-VAR '!E34+'WE-VAR'!E34+BUG_VAR!E34+'TX-HPLC-VAR'!E34+'ARUBA-VAR'!E34+'SITHE-VAR'!E34+'DEN-VAR'!E34+'EAST-MKT-VAR'!E34+'MidMarket-VAR'!E34</f>
        <v>-2675858</v>
      </c>
      <c r="F34" s="65">
        <f>STG_VAR!F34+ONT_VAR!F34+'CE-VAR'!F34+'EAST-EGM-VAR'!F34+'BGC-EGM-VAR'!F34+'EAST-LRC-VAR'!F34+'TX-EGM-VAR'!F34+'TX-HPLR-VAR '!F34+'WE-VAR'!F34+BUG_VAR!F34+'TX-HPLC-VAR'!F34+'ARUBA-VAR'!F34+'SITHE-VAR'!F34+'DEN-VAR'!F34+'EAST-MKT-VAR'!F34+'MidMarket-VAR'!F34</f>
        <v>626151</v>
      </c>
      <c r="G34" s="65">
        <f>STG_VAR!G34+ONT_VAR!G34+'CE-VAR'!G34+'EAST-EGM-VAR'!G34+'BGC-EGM-VAR'!G34+'EAST-LRC-VAR'!G34+'TX-EGM-VAR'!G34+'TX-HPLR-VAR '!G34+'WE-VAR'!G34+BUG_VAR!G34+'TX-HPLC-VAR'!G34+'ARUBA-VAR'!G34+'SITHE-VAR'!G34+'DEN-VAR'!G34+'EAST-MKT-VAR'!G34+'MidMarket-VAR'!G34</f>
        <v>2371886.6300000004</v>
      </c>
      <c r="H34" s="60">
        <f t="shared" si="5"/>
        <v>1250780</v>
      </c>
      <c r="I34" s="38">
        <f t="shared" si="5"/>
        <v>5047744.6300000008</v>
      </c>
    </row>
    <row r="35" spans="1:9" x14ac:dyDescent="0.25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'!D35+'WE-VAR'!D35+BUG_VAR!D35+'TX-HPLC-VAR'!D35+'ARUBA-VAR'!D35+'SITHE-VAR'!D35+'DEN-VAR'!D35+'EAST-MKT-VAR'!D35+'MidMarket-VAR'!D35</f>
        <v>772772</v>
      </c>
      <c r="E35" s="65">
        <f>STG_VAR!E35+ONT_VAR!E35+'CE-VAR'!E35+'EAST-EGM-VAR'!E35+'BGC-EGM-VAR'!E35+'EAST-LRC-VAR'!E35+'TX-EGM-VAR'!E35+'TX-HPLR-VAR '!E35+'WE-VAR'!E35+BUG_VAR!E35+'TX-HPLC-VAR'!E35+'ARUBA-VAR'!E35+'SITHE-VAR'!E35+'DEN-VAR'!E35+'EAST-MKT-VAR'!E35+'MidMarket-VAR'!E35</f>
        <v>3764489</v>
      </c>
      <c r="F35" s="65">
        <f>STG_VAR!F35+ONT_VAR!F35+'CE-VAR'!F35+'EAST-EGM-VAR'!F35+'BGC-EGM-VAR'!F35+'EAST-LRC-VAR'!F35+'TX-EGM-VAR'!F35+'TX-HPLR-VAR '!F35+'WE-VAR'!F35+BUG_VAR!F35+'TX-HPLC-VAR'!F35+'ARUBA-VAR'!F35+'SITHE-VAR'!F35+'DEN-VAR'!F35+'EAST-MKT-VAR'!F35+'MidMarket-VAR'!F35</f>
        <v>751673</v>
      </c>
      <c r="G35" s="65">
        <f>STG_VAR!G35+ONT_VAR!G35+'CE-VAR'!G35+'EAST-EGM-VAR'!G35+'BGC-EGM-VAR'!G35+'EAST-LRC-VAR'!G35+'TX-EGM-VAR'!G35+'TX-HPLR-VAR '!G35+'WE-VAR'!G35+BUG_VAR!G35+'TX-HPLC-VAR'!G35+'ARUBA-VAR'!G35+'SITHE-VAR'!G35+'DEN-VAR'!G35+'EAST-MKT-VAR'!G35+'MidMarket-VAR'!G35</f>
        <v>2336596.38</v>
      </c>
      <c r="H35" s="60">
        <f t="shared" si="5"/>
        <v>-21099</v>
      </c>
      <c r="I35" s="38">
        <f t="shared" si="5"/>
        <v>-1427892.62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1063607</v>
      </c>
      <c r="E36" s="39">
        <f t="shared" si="6"/>
        <v>5311513</v>
      </c>
      <c r="F36" s="61">
        <f t="shared" si="6"/>
        <v>1688470</v>
      </c>
      <c r="G36" s="39">
        <f t="shared" si="6"/>
        <v>6571065.6560000023</v>
      </c>
      <c r="H36" s="61">
        <f t="shared" si="6"/>
        <v>624863</v>
      </c>
      <c r="I36" s="39">
        <f t="shared" si="6"/>
        <v>1259552.6560000023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'!D39+'WE-VAR'!D39+BUG_VAR!D39+'TX-HPLC-VAR'!D39+'ARUBA-VAR'!D39+'SITHE-VAR'!D39+'DEN-VAR'!D39+'EAST-MKT-VAR'!D39+'MidMarket-VAR'!D39</f>
        <v>5754095</v>
      </c>
      <c r="E39" s="65">
        <f>STG_VAR!E39+ONT_VAR!E39+'CE-VAR'!E39+'EAST-EGM-VAR'!E39+'BGC-EGM-VAR'!E39+'EAST-LRC-VAR'!E39+'TX-EGM-VAR'!E39+'TX-HPLR-VAR '!E39+'WE-VAR'!E39+BUG_VAR!E39+'TX-HPLC-VAR'!E39+'ARUBA-VAR'!E39+'SITHE-VAR'!E39+'DEN-VAR'!E39+'EAST-MKT-VAR'!E39+'MidMarket-VAR'!E39</f>
        <v>20535891</v>
      </c>
      <c r="F39" s="65">
        <f>STG_VAR!F39+ONT_VAR!F39+'CE-VAR'!F39+'EAST-EGM-VAR'!F39+'BGC-EGM-VAR'!F39+'EAST-LRC-VAR'!F39+'TX-EGM-VAR'!F39+'TX-HPLR-VAR '!F39+'WE-VAR'!F39+BUG_VAR!F39+'TX-HPLC-VAR'!F39+'ARUBA-VAR'!F39+'SITHE-VAR'!F39+'DEN-VAR'!F39+'EAST-MKT-VAR'!F39+'MidMarket-VAR'!F39</f>
        <v>2889035</v>
      </c>
      <c r="G39" s="65">
        <f>STG_VAR!G39+ONT_VAR!G39+'CE-VAR'!G39+'EAST-EGM-VAR'!G39+'BGC-EGM-VAR'!G39+'EAST-LRC-VAR'!G39+'TX-EGM-VAR'!G39+'TX-HPLR-VAR '!G39+'WE-VAR'!G39+BUG_VAR!G39+'TX-HPLC-VAR'!G39+'ARUBA-VAR'!G39+'SITHE-VAR'!G39+'DEN-VAR'!G39+'EAST-MKT-VAR'!G39+'MidMarket-VAR'!G39</f>
        <v>11097951.029999999</v>
      </c>
      <c r="H39" s="60">
        <f t="shared" ref="H39:I41" si="7">F39-D39</f>
        <v>-2865060</v>
      </c>
      <c r="I39" s="38">
        <f t="shared" si="7"/>
        <v>-9437939.9700000007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'!D40+'WE-VAR'!D40+BUG_VAR!D40+'TX-HPLC-VAR'!D40+'ARUBA-VAR'!D40+'SITHE-VAR'!D40+'DEN-VAR'!D40+'EAST-MKT-VAR'!D40+'MidMarket-VAR'!D40</f>
        <v>-4777103</v>
      </c>
      <c r="E40" s="65">
        <f>STG_VAR!E40+ONT_VAR!E40+'CE-VAR'!E40+'EAST-EGM-VAR'!E40+'BGC-EGM-VAR'!E40+'EAST-LRC-VAR'!E40+'TX-EGM-VAR'!E40+'TX-HPLR-VAR '!E40+'WE-VAR'!E40+BUG_VAR!E40+'TX-HPLC-VAR'!E40+'ARUBA-VAR'!E40+'SITHE-VAR'!E40+'DEN-VAR'!E40+'EAST-MKT-VAR'!E40+'MidMarket-VAR'!E40</f>
        <v>-16366366</v>
      </c>
      <c r="F40" s="65">
        <f>STG_VAR!F40+ONT_VAR!F40+'CE-VAR'!F40+'EAST-EGM-VAR'!F40+'BGC-EGM-VAR'!F40+'EAST-LRC-VAR'!F40+'TX-EGM-VAR'!F40+'TX-HPLR-VAR '!F40+'WE-VAR'!F40+BUG_VAR!F40+'TX-HPLC-VAR'!F40+'ARUBA-VAR'!F40+'SITHE-VAR'!F40+'DEN-VAR'!F40+'EAST-MKT-VAR'!F40+'MidMarket-VAR'!F40</f>
        <v>-1336101</v>
      </c>
      <c r="G40" s="65">
        <f>STG_VAR!G40+ONT_VAR!G40+'CE-VAR'!G40+'EAST-EGM-VAR'!G40+'BGC-EGM-VAR'!G40+'EAST-LRC-VAR'!G40+'TX-EGM-VAR'!G40+'TX-HPLR-VAR '!G40+'WE-VAR'!G40+BUG_VAR!G40+'TX-HPLC-VAR'!G40+'ARUBA-VAR'!G40+'SITHE-VAR'!G40+'DEN-VAR'!G40+'EAST-MKT-VAR'!G40+'MidMarket-VAR'!G40</f>
        <v>-5758237.7999999998</v>
      </c>
      <c r="H40" s="60">
        <f t="shared" si="7"/>
        <v>3441002</v>
      </c>
      <c r="I40" s="38">
        <f t="shared" si="7"/>
        <v>10608128.199999999</v>
      </c>
    </row>
    <row r="41" spans="1:9" x14ac:dyDescent="0.25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'!D41+'WE-VAR'!D41+BUG_VAR!D41+'TX-HPLC-VAR'!D41+'ARUBA-VAR'!D41+'SITHE-VAR'!D41+'DEN-VAR'!D41+'EAST-MKT-VAR'!D41+'MidMarket-VAR'!D41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'!E41+'WE-VAR'!E41+BUG_VAR!E41+'TX-HPLC-VAR'!E41+'ARUBA-VAR'!E41+'SITHE-VAR'!E41+'DEN-VAR'!E41+'EAST-MKT-VAR'!E41+'MidMarket-VAR'!E41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'!F41+'WE-VAR'!F41+BUG_VAR!F41+'TX-HPLC-VAR'!F41+'ARUBA-VAR'!F41+'SITHE-VAR'!F41+'DEN-VAR'!F41+'EAST-MKT-VAR'!F41+'MidMarket-VAR'!F41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'!G41+'WE-VAR'!G41+BUG_VAR!G41+'TX-HPLC-VAR'!G41+'ARUBA-VAR'!G41+'SITHE-VAR'!G41+'DEN-VAR'!G41+'EAST-MKT-VAR'!G41+'MidMarket-VAR'!G41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-4777103</v>
      </c>
      <c r="E42" s="70">
        <f t="shared" si="8"/>
        <v>-16366366</v>
      </c>
      <c r="F42" s="69">
        <f t="shared" si="8"/>
        <v>-1336101</v>
      </c>
      <c r="G42" s="70">
        <f t="shared" si="8"/>
        <v>-5758237.7999999998</v>
      </c>
      <c r="H42" s="69">
        <f t="shared" si="8"/>
        <v>3441002</v>
      </c>
      <c r="I42" s="70">
        <f t="shared" si="8"/>
        <v>10608128.199999999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976992</v>
      </c>
      <c r="E43" s="39">
        <f t="shared" si="9"/>
        <v>4169525</v>
      </c>
      <c r="F43" s="61">
        <f t="shared" si="9"/>
        <v>1552934</v>
      </c>
      <c r="G43" s="39">
        <f t="shared" si="9"/>
        <v>5339713.2299999995</v>
      </c>
      <c r="H43" s="61">
        <f t="shared" si="9"/>
        <v>575942</v>
      </c>
      <c r="I43" s="39">
        <f t="shared" si="9"/>
        <v>1170188.2299999986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'!D45+'WE-VAR'!D45+BUG_VAR!D45+'TX-HPLC-VAR'!D45+'ARUBA-VAR'!D45+'SITHE-VAR'!D45+'DEN-VAR'!D45+'EAST-MKT-VAR'!D45+'MidMarket-VAR'!D45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'!E45+'WE-VAR'!E45+BUG_VAR!E45+'TX-HPLC-VAR'!E45+'ARUBA-VAR'!E45+'SITHE-VAR'!E45+'DEN-VAR'!E45+'EAST-MKT-VAR'!E45+'MidMarket-VAR'!E45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'!F45+'WE-VAR'!F45+BUG_VAR!F45+'TX-HPLC-VAR'!F45+'ARUBA-VAR'!F45+'SITHE-VAR'!F45+'DEN-VAR'!F45+'EAST-MKT-VAR'!F45+'MidMarket-VAR'!F45</f>
        <v>0</v>
      </c>
      <c r="G45" s="65">
        <f>STG_VAR!G45+ONT_VAR!G45+'CE-VAR'!G45+'EAST-EGM-VAR'!G45+'BGC-EGM-VAR'!G45+'EAST-LRC-VAR'!G45+'TX-EGM-VAR'!G45+'TX-HPLR-VAR '!G45+'WE-VAR'!G45+BUG_VAR!G45+'TX-HPLC-VAR'!G45+'ARUBA-VAR'!G45+'SITHE-VAR'!G45+'DEN-VAR'!G45+'EAST-MKT-VAR'!G45+'MidMarket-VAR'!G45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'!D47+'WE-VAR'!D47+BUG_VAR!D47+'TX-HPLC-VAR'!D47+'ARUBA-VAR'!D47+'SITHE-VAR'!D47+'DEN-VAR'!D47+'EAST-MKT-VAR'!D47+'MidMarket-VAR'!D47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'!E47+'WE-VAR'!E47+BUG_VAR!E47+'TX-HPLC-VAR'!E47+'ARUBA-VAR'!E47+'SITHE-VAR'!E47+'DEN-VAR'!E47+'EAST-MKT-VAR'!E47+'MidMarket-VAR'!E47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'!F47+'WE-VAR'!F47+BUG_VAR!F47+'TX-HPLC-VAR'!F47+'ARUBA-VAR'!F47+'SITHE-VAR'!F47+'DEN-VAR'!F47+'EAST-MKT-VAR'!F47+'MidMarket-VAR'!F47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'!G47+'WE-VAR'!G47+BUG_VAR!G47+'TX-HPLC-VAR'!G47+'ARUBA-VAR'!G47+'SITHE-VAR'!G47+'DEN-VAR'!G47+'EAST-MKT-VAR'!G47+'MidMarket-VAR'!G47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'!D49+'WE-VAR'!D49+BUG_VAR!D49+'TX-HPLC-VAR'!D49+'ARUBA-VAR'!D49+'SITHE-VAR'!D49+'DEN-VAR'!D49+'EAST-MKT-VAR'!D49+'MidMarket-VAR'!D49</f>
        <v>9686</v>
      </c>
      <c r="E49" s="65">
        <f>STG_VAR!E49+ONT_VAR!E49+'CE-VAR'!E49+'EAST-EGM-VAR'!E49+'BGC-EGM-VAR'!E49+'EAST-LRC-VAR'!E49+'TX-EGM-VAR'!E49+'TX-HPLR-VAR '!E49+'WE-VAR'!E49+BUG_VAR!E49+'TX-HPLC-VAR'!E49+'ARUBA-VAR'!E49+'SITHE-VAR'!E49+'DEN-VAR'!E49+'EAST-MKT-VAR'!E49+'MidMarket-VAR'!E49</f>
        <v>-1298237.2187561318</v>
      </c>
      <c r="F49" s="65">
        <f>STG_VAR!F49+ONT_VAR!F49+'CE-VAR'!F49+'EAST-EGM-VAR'!F49+'BGC-EGM-VAR'!F49+'EAST-LRC-VAR'!F49+'TX-EGM-VAR'!F49+'TX-HPLR-VAR '!F49+'WE-VAR'!F49+BUG_VAR!F49+'TX-HPLC-VAR'!F49+'ARUBA-VAR'!F49+'SITHE-VAR'!F49+'DEN-VAR'!F49+'EAST-MKT-VAR'!F49+'MidMarket-VAR'!F49</f>
        <v>4734128</v>
      </c>
      <c r="G49" s="65">
        <f>STG_VAR!G49+ONT_VAR!G49+'CE-VAR'!G49+'EAST-EGM-VAR'!G49+'BGC-EGM-VAR'!G49+'EAST-LRC-VAR'!G49+'TX-EGM-VAR'!G49+'TX-HPLR-VAR '!G49+'WE-VAR'!G49+BUG_VAR!G49+'TX-HPLC-VAR'!G49+'ARUBA-VAR'!G49+'SITHE-VAR'!G49+'DEN-VAR'!G49+'EAST-MKT-VAR'!G49+'MidMarket-VAR'!G49</f>
        <v>19994145.306000009</v>
      </c>
      <c r="H49" s="60">
        <f>F49-D49</f>
        <v>4724442</v>
      </c>
      <c r="I49" s="38">
        <f>G49-E49</f>
        <v>21292382.524756141</v>
      </c>
    </row>
    <row r="50" spans="1:9" x14ac:dyDescent="0.25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'!D51+'WE-VAR'!D51+BUG_VAR!D51+'TX-HPLC-VAR'!D51+'ARUBA-VAR'!D51+'SITHE-VAR'!D51+'DEN-VAR'!D51+'EAST-MKT-VAR'!D51+'MidMarket-VAR'!D51</f>
        <v>-1285448</v>
      </c>
      <c r="E51" s="65">
        <f>STG_VAR!E51+ONT_VAR!E51+'CE-VAR'!E51+'EAST-EGM-VAR'!E51+'BGC-EGM-VAR'!E51+'EAST-LRC-VAR'!E51+'TX-EGM-VAR'!E51+'TX-HPLR-VAR '!E51+'WE-VAR'!E51+BUG_VAR!E51+'TX-HPLC-VAR'!E51+'ARUBA-VAR'!E51+'SITHE-VAR'!E51+'DEN-VAR'!E51+'EAST-MKT-VAR'!E51+'MidMarket-VAR'!E51</f>
        <v>-5360472</v>
      </c>
      <c r="F51" s="65">
        <f>STG_VAR!F51+ONT_VAR!F51+'CE-VAR'!F51+'EAST-EGM-VAR'!F51+'BGC-EGM-VAR'!F51+'EAST-LRC-VAR'!F51+'TX-EGM-VAR'!F51+'TX-HPLR-VAR '!F51+'WE-VAR'!F51+BUG_VAR!F51+'TX-HPLC-VAR'!F51+'ARUBA-VAR'!F51+'SITHE-VAR'!F51+'DEN-VAR'!F51+'EAST-MKT-VAR'!F51+'MidMarket-VAR'!F51</f>
        <v>-1435857</v>
      </c>
      <c r="G51" s="65">
        <f>STG_VAR!G51+ONT_VAR!G51+'CE-VAR'!G51+'EAST-EGM-VAR'!G51+'BGC-EGM-VAR'!G51+'EAST-LRC-VAR'!G51+'TX-EGM-VAR'!G51+'TX-HPLR-VAR '!G51+'WE-VAR'!G51+BUG_VAR!G51+'TX-HPLC-VAR'!G51+'ARUBA-VAR'!G51+'SITHE-VAR'!G51+'DEN-VAR'!G51+'EAST-MKT-VAR'!G51+'MidMarket-VAR'!G51</f>
        <v>-6163051.6660000002</v>
      </c>
      <c r="H51" s="60">
        <f>F51-D51</f>
        <v>-150409</v>
      </c>
      <c r="I51" s="38">
        <f>G51-E51</f>
        <v>-802579.6660000002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'!D54+'WE-VAR'!D54+BUG_VAR!D54+'TX-HPLC-VAR'!D54+'ARUBA-VAR'!D54+'SITHE-VAR'!D54+'DEN-VAR'!D54+'EAST-MKT-VAR'!D54+'MidMarket-VAR'!D54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'!E54+'WE-VAR'!E54+BUG_VAR!E54+'TX-HPLC-VAR'!E54+'ARUBA-VAR'!E54+'SITHE-VAR'!E54+'DEN-VAR'!E54+'EAST-MKT-VAR'!E54+'MidMarket-VAR'!E54</f>
        <v>-5149754.8365999991</v>
      </c>
      <c r="F54" s="65">
        <f>STG_VAR!F54+ONT_VAR!F54+'CE-VAR'!F54+'EAST-EGM-VAR'!F54+'BGC-EGM-VAR'!F54+'EAST-LRC-VAR'!F54+'TX-EGM-VAR'!F54+'TX-HPLR-VAR '!F54+'WE-VAR'!F54+BUG_VAR!F54+'TX-HPLC-VAR'!F54+'ARUBA-VAR'!F54+'SITHE-VAR'!F54+'DEN-VAR'!F54+'EAST-MKT-VAR'!F54+'MidMarket-VAR'!F54</f>
        <v>-370513536.64999998</v>
      </c>
      <c r="G54" s="65">
        <f>STG_VAR!G54+ONT_VAR!G54+'CE-VAR'!G54+'EAST-EGM-VAR'!G54+'BGC-EGM-VAR'!G54+'EAST-LRC-VAR'!G54+'TX-EGM-VAR'!G54+'TX-HPLR-VAR '!G54+'WE-VAR'!G54+BUG_VAR!G54+'TX-HPLC-VAR'!G54+'ARUBA-VAR'!G54+'SITHE-VAR'!G54+'DEN-VAR'!G54+'EAST-MKT-VAR'!G54+'MidMarket-VAR'!G54</f>
        <v>3245131.169999999</v>
      </c>
      <c r="H54" s="60">
        <f>F54-D54</f>
        <v>-370513536.64999998</v>
      </c>
      <c r="I54" s="38">
        <f>G54-E54</f>
        <v>8394886.0065999981</v>
      </c>
    </row>
    <row r="55" spans="1:9" x14ac:dyDescent="0.25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'!D55+'WE-VAR'!D55+BUG_VAR!D55+'TX-HPLC-VAR'!D55+'ARUBA-VAR'!D55+'SITHE-VAR'!D55+'DEN-VAR'!D55+'EAST-MKT-VAR'!D55+'MidMarket-VAR'!D55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'!E55+'WE-VAR'!E55+BUG_VAR!E55+'TX-HPLC-VAR'!E55+'ARUBA-VAR'!E55+'SITHE-VAR'!E55+'DEN-VAR'!E55+'EAST-MKT-VAR'!E55+'MidMarket-VAR'!E55</f>
        <v>-7508388.6299999999</v>
      </c>
      <c r="F55" s="65">
        <f>STG_VAR!F55+ONT_VAR!F55+'CE-VAR'!F55+'EAST-EGM-VAR'!F55+'BGC-EGM-VAR'!F55+'EAST-LRC-VAR'!F55+'TX-EGM-VAR'!F55+'TX-HPLR-VAR '!F55+'WE-VAR'!F55+BUG_VAR!F55+'TX-HPLC-VAR'!F55+'ARUBA-VAR'!F55+'SITHE-VAR'!F55+'DEN-VAR'!F55+'EAST-MKT-VAR'!F55+'MidMarket-VAR'!F55</f>
        <v>23344</v>
      </c>
      <c r="G55" s="65">
        <f>STG_VAR!G55+ONT_VAR!G55+'CE-VAR'!G55+'EAST-EGM-VAR'!G55+'BGC-EGM-VAR'!G55+'EAST-LRC-VAR'!G55+'TX-EGM-VAR'!G55+'TX-HPLR-VAR '!G55+'WE-VAR'!G55+BUG_VAR!G55+'TX-HPLC-VAR'!G55+'ARUBA-VAR'!G55+'SITHE-VAR'!G55+'DEN-VAR'!G55+'EAST-MKT-VAR'!G55+'MidMarket-VAR'!G55</f>
        <v>-23435660.449999999</v>
      </c>
      <c r="H55" s="60">
        <f>F55-D55</f>
        <v>23344</v>
      </c>
      <c r="I55" s="38">
        <f>G55-E55</f>
        <v>-15927271.82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-12658143.466599999</v>
      </c>
      <c r="F56" s="61">
        <f t="shared" si="10"/>
        <v>-370490192.64999998</v>
      </c>
      <c r="G56" s="39">
        <f t="shared" si="10"/>
        <v>-20190529.280000001</v>
      </c>
      <c r="H56" s="61">
        <f t="shared" si="10"/>
        <v>-370490192.64999998</v>
      </c>
      <c r="I56" s="39">
        <f t="shared" si="10"/>
        <v>-7532385.8134000022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'!D59+'WE-VAR'!D59+BUG_VAR!D59+'TX-HPLC-VAR'!D59+'ARUBA-VAR'!D59+'SITHE-VAR'!D59+'DEN-VAR'!D59+'EAST-MKT-VAR'!D59+'MidMarket-VAR'!D59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'!E59+'WE-VAR'!E59+BUG_VAR!E59+'TX-HPLC-VAR'!E59+'ARUBA-VAR'!E59+'SITHE-VAR'!E59+'DEN-VAR'!E59+'EAST-MKT-VAR'!E59+'MidMarket-VAR'!E59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'!F59+'WE-VAR'!F59+BUG_VAR!F59+'TX-HPLC-VAR'!F59+'ARUBA-VAR'!F59+'SITHE-VAR'!F59+'DEN-VAR'!F59+'EAST-MKT-VAR'!F59+'MidMarket-VAR'!F59</f>
        <v>0</v>
      </c>
      <c r="G59" s="65">
        <f>STG_VAR!G59+ONT_VAR!G59+'CE-VAR'!G59+'EAST-EGM-VAR'!G59+'BGC-EGM-VAR'!G59+'EAST-LRC-VAR'!G59+'TX-EGM-VAR'!G59+'TX-HPLR-VAR '!G59+'WE-VAR'!G59+BUG_VAR!G59+'TX-HPLC-VAR'!G59+'ARUBA-VAR'!G59+'SITHE-VAR'!G59+'DEN-VAR'!G59+'EAST-MKT-VAR'!G59+'MidMarket-VAR'!G59</f>
        <v>48847.92</v>
      </c>
      <c r="H59" s="60">
        <f>F59-D59</f>
        <v>0</v>
      </c>
      <c r="I59" s="38">
        <f>G59-E59</f>
        <v>48847.92</v>
      </c>
    </row>
    <row r="60" spans="1:9" x14ac:dyDescent="0.25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'!D60+'WE-VAR'!D60+BUG_VAR!D60+'TX-HPLC-VAR'!D60+'ARUBA-VAR'!D60+'SITHE-VAR'!D60+'DEN-VAR'!D60+'EAST-MKT-VAR'!D60+'MidMarket-VAR'!D60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'!E60+'WE-VAR'!E60+BUG_VAR!E60+'TX-HPLC-VAR'!E60+'ARUBA-VAR'!E60+'SITHE-VAR'!E60+'DEN-VAR'!E60+'EAST-MKT-VAR'!E60+'MidMarket-VAR'!E60</f>
        <v>2162</v>
      </c>
      <c r="F60" s="65">
        <f>STG_VAR!F60+ONT_VAR!F60+'CE-VAR'!F60+'EAST-EGM-VAR'!F60+'BGC-EGM-VAR'!F60+'EAST-LRC-VAR'!F60+'TX-EGM-VAR'!F60+'TX-HPLR-VAR '!F60+'WE-VAR'!F60+BUG_VAR!F60+'TX-HPLC-VAR'!F60+'ARUBA-VAR'!F60+'SITHE-VAR'!F60+'DEN-VAR'!F60+'EAST-MKT-VAR'!F60+'MidMarket-VAR'!F60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'!G60+'WE-VAR'!G60+BUG_VAR!G60+'TX-HPLC-VAR'!G60+'ARUBA-VAR'!G60+'SITHE-VAR'!G60+'DEN-VAR'!G60+'EAST-MKT-VAR'!G60+'MidMarket-VAR'!G60</f>
        <v>0</v>
      </c>
      <c r="H60" s="60">
        <f>F60-D60</f>
        <v>0</v>
      </c>
      <c r="I60" s="38">
        <f>G60-E60</f>
        <v>-2162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2162</v>
      </c>
      <c r="F61" s="69">
        <f t="shared" si="11"/>
        <v>0</v>
      </c>
      <c r="G61" s="70">
        <f t="shared" si="11"/>
        <v>48847.92</v>
      </c>
      <c r="H61" s="69">
        <f t="shared" si="11"/>
        <v>0</v>
      </c>
      <c r="I61" s="70">
        <f t="shared" si="11"/>
        <v>46685.919999999998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'!D64+'WE-VAR'!D64+BUG_VAR!D64+'TX-HPLC-VAR'!D64+'ARUBA-VAR'!D64+'SITHE-VAR'!D64+'DEN-VAR'!D64+'EAST-MKT-VAR'!D64+'MidMarket-VAR'!D64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'!E64+'WE-VAR'!E64+BUG_VAR!E64+'TX-HPLC-VAR'!E64+'ARUBA-VAR'!E64+'SITHE-VAR'!E64+'DEN-VAR'!E64+'EAST-MKT-VAR'!E64+'MidMarket-VAR'!E64</f>
        <v>0</v>
      </c>
      <c r="F64" s="65">
        <f>STG_VAR!F64+ONT_VAR!F64+'CE-VAR'!F64+'EAST-EGM-VAR'!F64+'BGC-EGM-VAR'!F64+'EAST-LRC-VAR'!F64+'TX-EGM-VAR'!F64+'TX-HPLR-VAR '!F64+'WE-VAR'!F64+BUG_VAR!F64+'TX-HPLC-VAR'!F64+'ARUBA-VAR'!F64+'SITHE-VAR'!F64+'DEN-VAR'!F64+'EAST-MKT-VAR'!F64+'MidMarket-VAR'!F64</f>
        <v>0</v>
      </c>
      <c r="G64" s="65">
        <f>STG_VAR!G64+ONT_VAR!G64+'CE-VAR'!G64+'EAST-EGM-VAR'!G64+'BGC-EGM-VAR'!G64+'EAST-LRC-VAR'!G64+'TX-EGM-VAR'!G64+'TX-HPLR-VAR '!G64+'WE-VAR'!G64+BUG_VAR!G64+'TX-HPLC-VAR'!G64+'ARUBA-VAR'!G64+'SITHE-VAR'!G64+'DEN-VAR'!G64+'EAST-MKT-VAR'!G64+'MidMarket-VAR'!G64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'!D65+'WE-VAR'!D65+BUG_VAR!D65+'TX-HPLC-VAR'!D65+'ARUBA-VAR'!D65+'SITHE-VAR'!D65+'DEN-VAR'!D65+'EAST-MKT-VAR'!D65+'MidMarket-VAR'!D65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'!E65+'WE-VAR'!E65+BUG_VAR!E65+'TX-HPLC-VAR'!E65+'ARUBA-VAR'!E65+'SITHE-VAR'!E65+'DEN-VAR'!E65+'EAST-MKT-VAR'!E65+'MidMarket-VAR'!E65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'!F65+'WE-VAR'!F65+BUG_VAR!F65+'TX-HPLC-VAR'!F65+'ARUBA-VAR'!F65+'SITHE-VAR'!F65+'DEN-VAR'!F65+'EAST-MKT-VAR'!F65+'MidMarket-VAR'!F65</f>
        <v>0</v>
      </c>
      <c r="G65" s="65">
        <f>STG_VAR!G65+ONT_VAR!G65+'CE-VAR'!G65+'EAST-EGM-VAR'!G65+'BGC-EGM-VAR'!G65+'EAST-LRC-VAR'!G65+'TX-EGM-VAR'!G65+'TX-HPLR-VAR '!G65+'WE-VAR'!G65+BUG_VAR!G65+'TX-HPLC-VAR'!G65+'ARUBA-VAR'!G65+'SITHE-VAR'!G65+'DEN-VAR'!G65+'EAST-MKT-VAR'!G65+'MidMarket-VAR'!G65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'!D70+'WE-VAR'!D70+BUG_VAR!D70+'TX-HPLC-VAR'!D70+'ARUBA-VAR'!D70+'SITHE-VAR'!D70+'DEN-VAR'!D70+'EAST-MKT-VAR'!D70+'MidMarket-VAR'!D70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'!E70+'WE-VAR'!E70+BUG_VAR!E70+'TX-HPLC-VAR'!E70+'ARUBA-VAR'!E70+'SITHE-VAR'!E70+'DEN-VAR'!E70+'EAST-MKT-VAR'!E70+'MidMarket-VAR'!E70</f>
        <v>213250992.5667983</v>
      </c>
      <c r="F70" s="65">
        <f>STG_VAR!F70+ONT_VAR!F70+'CE-VAR'!F70+'EAST-EGM-VAR'!F70+'BGC-EGM-VAR'!F70+'EAST-LRC-VAR'!F70+'TX-EGM-VAR'!F70+'TX-HPLR-VAR '!F70+'WE-VAR'!F70+BUG_VAR!F70+'TX-HPLC-VAR'!F70+'ARUBA-VAR'!F70+'SITHE-VAR'!F70+'DEN-VAR'!F70+'EAST-MKT-VAR'!F70+'MidMarket-VAR'!F70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'!G70+'WE-VAR'!G70+BUG_VAR!G70+'TX-HPLC-VAR'!G70+'ARUBA-VAR'!G70+'SITHE-VAR'!G70+'DEN-VAR'!G70+'EAST-MKT-VAR'!G70+'MidMarket-VAR'!G70</f>
        <v>198986442.61000004</v>
      </c>
      <c r="H70" s="60">
        <f>F70-D70</f>
        <v>0</v>
      </c>
      <c r="I70" s="38">
        <f>G70-E70</f>
        <v>-14264549.956798255</v>
      </c>
    </row>
    <row r="71" spans="1:9" x14ac:dyDescent="0.25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'!D71+'WE-VAR'!D71+BUG_VAR!D71+'TX-HPLC-VAR'!D71+'ARUBA-VAR'!D71+'SITHE-VAR'!D71+'DEN-VAR'!D71+'EAST-MKT-VAR'!D71+'MidMarket-VAR'!D71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'!E71+'WE-VAR'!E71+BUG_VAR!E71+'TX-HPLC-VAR'!E71+'ARUBA-VAR'!E71+'SITHE-VAR'!E71+'DEN-VAR'!E71+'EAST-MKT-VAR'!E71+'MidMarket-VAR'!E71</f>
        <v>-245318231.66940001</v>
      </c>
      <c r="F71" s="65">
        <f>STG_VAR!F71+ONT_VAR!F71+'CE-VAR'!F71+'EAST-EGM-VAR'!F71+'BGC-EGM-VAR'!F71+'EAST-LRC-VAR'!F71+'TX-EGM-VAR'!F71+'TX-HPLR-VAR '!F71+'WE-VAR'!F71+BUG_VAR!F71+'TX-HPLC-VAR'!F71+'ARUBA-VAR'!F71+'SITHE-VAR'!F71+'DEN-VAR'!F71+'EAST-MKT-VAR'!F71+'MidMarket-VAR'!F71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'!G71+'WE-VAR'!G71+BUG_VAR!G71+'TX-HPLC-VAR'!G71+'ARUBA-VAR'!G71+'SITHE-VAR'!G71+'DEN-VAR'!G71+'EAST-MKT-VAR'!G71+'MidMarket-VAR'!G71</f>
        <v>-247240142</v>
      </c>
      <c r="H71" s="60">
        <f>F71-D71</f>
        <v>0</v>
      </c>
      <c r="I71" s="38">
        <f>G71-E71</f>
        <v>-1921910.3305999935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-32067239.102601707</v>
      </c>
      <c r="F72" s="69">
        <f t="shared" si="13"/>
        <v>0</v>
      </c>
      <c r="G72" s="70">
        <f t="shared" si="13"/>
        <v>-48253699.389999956</v>
      </c>
      <c r="H72" s="69">
        <f t="shared" si="13"/>
        <v>0</v>
      </c>
      <c r="I72" s="70">
        <f t="shared" si="13"/>
        <v>-16186460.287398249</v>
      </c>
    </row>
    <row r="73" spans="1:9" x14ac:dyDescent="0.25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'!D73+'WE-VAR'!D73+BUG_VAR!D73+'TX-HPLC-VAR'!D73+'ARUBA-VAR'!D73+'SITHE-VAR'!D73+'DEN-VAR'!D73+'EAST-MKT-VAR'!D73+'MidMarket-VAR'!D73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'!E73+'WE-VAR'!E73+BUG_VAR!E73+'TX-HPLC-VAR'!E73+'ARUBA-VAR'!E73+'SITHE-VAR'!E73+'DEN-VAR'!E73+'EAST-MKT-VAR'!E73+'MidMarket-VAR'!E73</f>
        <v>-39048</v>
      </c>
      <c r="F73" s="65">
        <f>STG_VAR!F73+ONT_VAR!F73+'CE-VAR'!F73+'EAST-EGM-VAR'!F73+'BGC-EGM-VAR'!F73+'EAST-LRC-VAR'!F73+'TX-EGM-VAR'!F73+'TX-HPLR-VAR '!F73+'WE-VAR'!F73+BUG_VAR!F73+'TX-HPLC-VAR'!F73+'ARUBA-VAR'!F73+'SITHE-VAR'!F73+'DEN-VAR'!F73+'EAST-MKT-VAR'!F73+'MidMarket-VAR'!F73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'!G73+'WE-VAR'!G73+BUG_VAR!G73+'TX-HPLC-VAR'!G73+'ARUBA-VAR'!G73+'SITHE-VAR'!G73+'DEN-VAR'!G73+'EAST-MKT-VAR'!G73+'MidMarket-VAR'!G73</f>
        <v>0</v>
      </c>
      <c r="H73" s="60">
        <f>F73-D73</f>
        <v>0</v>
      </c>
      <c r="I73" s="38">
        <f>G73-E73</f>
        <v>39048</v>
      </c>
    </row>
    <row r="74" spans="1:9" x14ac:dyDescent="0.25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'!D74+'WE-VAR'!D74+BUG_VAR!D74+'TX-HPLC-VAR'!D74+'ARUBA-VAR'!D74+'SITHE-VAR'!D74+'DEN-VAR'!D74+'EAST-MKT-VAR'!D74+'MidMarket-VAR'!D74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'!E74+'WE-VAR'!E74+BUG_VAR!E74+'TX-HPLC-VAR'!E74+'ARUBA-VAR'!E74+'SITHE-VAR'!E74+'DEN-VAR'!E74+'EAST-MKT-VAR'!E74+'MidMarket-VAR'!E74</f>
        <v>47002315.645100005</v>
      </c>
      <c r="F74" s="65">
        <f>STG_VAR!F74+ONT_VAR!F74+'CE-VAR'!F74+'EAST-EGM-VAR'!F74+'BGC-EGM-VAR'!F74+'EAST-LRC-VAR'!F74+'TX-EGM-VAR'!F74+'TX-HPLR-VAR '!F74+'WE-VAR'!F74+BUG_VAR!F74+'TX-HPLC-VAR'!F74+'ARUBA-VAR'!F74+'SITHE-VAR'!F74+'DEN-VAR'!F74+'EAST-MKT-VAR'!F74+'MidMarket-VAR'!F74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'!G74+'WE-VAR'!G74+BUG_VAR!G74+'TX-HPLC-VAR'!G74+'ARUBA-VAR'!G74+'SITHE-VAR'!G74+'DEN-VAR'!G74+'EAST-MKT-VAR'!G74+'MidMarket-VAR'!G74</f>
        <v>47396531.699999996</v>
      </c>
      <c r="H74" s="60">
        <f t="shared" ref="H74:I79" si="14">F74-D74</f>
        <v>0</v>
      </c>
      <c r="I74" s="38">
        <f t="shared" si="14"/>
        <v>394216.05489999056</v>
      </c>
    </row>
    <row r="75" spans="1:9" x14ac:dyDescent="0.25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'!D75+'WE-VAR'!D75+BUG_VAR!D75+'TX-HPLC-VAR'!D75+'ARUBA-VAR'!D75+'SITHE-VAR'!D75+'DEN-VAR'!D75+'EAST-MKT-VAR'!D75+'MidMarket-VAR'!D75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'!E75+'WE-VAR'!E75+BUG_VAR!E75+'TX-HPLC-VAR'!E75+'ARUBA-VAR'!E75+'SITHE-VAR'!E75+'DEN-VAR'!E75+'EAST-MKT-VAR'!E75+'MidMarket-VAR'!E75</f>
        <v>-1377285.48</v>
      </c>
      <c r="F75" s="65">
        <f>STG_VAR!F75+ONT_VAR!F75+'CE-VAR'!F75+'EAST-EGM-VAR'!F75+'BGC-EGM-VAR'!F75+'EAST-LRC-VAR'!F75+'TX-EGM-VAR'!F75+'TX-HPLR-VAR '!F75+'WE-VAR'!F75+BUG_VAR!F75+'TX-HPLC-VAR'!F75+'ARUBA-VAR'!F75+'SITHE-VAR'!F75+'DEN-VAR'!F75+'EAST-MKT-VAR'!F75+'MidMarket-VAR'!F75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'!G75+'WE-VAR'!G75+BUG_VAR!G75+'TX-HPLC-VAR'!G75+'ARUBA-VAR'!G75+'SITHE-VAR'!G75+'DEN-VAR'!G75+'EAST-MKT-VAR'!G75+'MidMarket-VAR'!G75</f>
        <v>-1377286</v>
      </c>
      <c r="H75" s="60">
        <f t="shared" si="14"/>
        <v>0</v>
      </c>
      <c r="I75" s="38">
        <f t="shared" si="14"/>
        <v>-0.52000000001862645</v>
      </c>
    </row>
    <row r="76" spans="1:9" x14ac:dyDescent="0.25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'!D76+'WE-VAR'!D76+BUG_VAR!D76+'TX-HPLC-VAR'!D76+'ARUBA-VAR'!D76+'SITHE-VAR'!D76+'DEN-VAR'!D76+'EAST-MKT-VAR'!D76+'MidMarket-VAR'!D76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'!E76+'WE-VAR'!E76+BUG_VAR!E76+'TX-HPLC-VAR'!E76+'ARUBA-VAR'!E76+'SITHE-VAR'!E76+'DEN-VAR'!E76+'EAST-MKT-VAR'!E76+'MidMarket-VAR'!E76</f>
        <v>-43198</v>
      </c>
      <c r="F76" s="65">
        <f>STG_VAR!F76+ONT_VAR!F76+'CE-VAR'!F76+'EAST-EGM-VAR'!F76+'BGC-EGM-VAR'!F76+'EAST-LRC-VAR'!F76+'TX-EGM-VAR'!F76+'TX-HPLR-VAR '!F76+'WE-VAR'!F76+BUG_VAR!F76+'TX-HPLC-VAR'!F76+'ARUBA-VAR'!F76+'SITHE-VAR'!F76+'DEN-VAR'!F76+'EAST-MKT-VAR'!F76+'MidMarket-VAR'!F76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'!G76+'WE-VAR'!G76+BUG_VAR!G76+'TX-HPLC-VAR'!G76+'ARUBA-VAR'!G76+'SITHE-VAR'!G76+'DEN-VAR'!G76+'EAST-MKT-VAR'!G76+'MidMarket-VAR'!G76</f>
        <v>-58598.62</v>
      </c>
      <c r="H76" s="60">
        <f t="shared" si="14"/>
        <v>0</v>
      </c>
      <c r="I76" s="38">
        <f t="shared" si="14"/>
        <v>-15400.620000000003</v>
      </c>
    </row>
    <row r="77" spans="1:9" x14ac:dyDescent="0.25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'!D77+'WE-VAR'!D77+BUG_VAR!D77+'TX-HPLC-VAR'!D77+'ARUBA-VAR'!D77+'SITHE-VAR'!D77+'DEN-VAR'!D77+'EAST-MKT-VAR'!D77+'MidMarket-VAR'!D77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'!E77+'WE-VAR'!E77+BUG_VAR!E77+'TX-HPLC-VAR'!E77+'ARUBA-VAR'!E77+'SITHE-VAR'!E77+'DEN-VAR'!E77+'EAST-MKT-VAR'!E77+'MidMarket-VAR'!E77</f>
        <v>-460727</v>
      </c>
      <c r="F77" s="65">
        <f>STG_VAR!F77+ONT_VAR!F77+'CE-VAR'!F77+'EAST-EGM-VAR'!F77+'BGC-EGM-VAR'!F77+'EAST-LRC-VAR'!F77+'TX-EGM-VAR'!F77+'TX-HPLR-VAR '!F77+'WE-VAR'!F77+BUG_VAR!F77+'TX-HPLC-VAR'!F77+'ARUBA-VAR'!F77+'SITHE-VAR'!F77+'DEN-VAR'!F77+'EAST-MKT-VAR'!F77+'MidMarket-VAR'!F77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'!G77+'WE-VAR'!G77+BUG_VAR!G77+'TX-HPLC-VAR'!G77+'ARUBA-VAR'!G77+'SITHE-VAR'!G77+'DEN-VAR'!G77+'EAST-MKT-VAR'!G77+'MidMarket-VAR'!G77</f>
        <v>-564878</v>
      </c>
      <c r="H77" s="60">
        <f t="shared" si="14"/>
        <v>0</v>
      </c>
      <c r="I77" s="38">
        <f t="shared" si="14"/>
        <v>-104151</v>
      </c>
    </row>
    <row r="78" spans="1:9" x14ac:dyDescent="0.25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'!D78+'WE-VAR'!D78+BUG_VAR!D78+'TX-HPLC-VAR'!D78+'ARUBA-VAR'!D78+'SITHE-VAR'!D78+'DEN-VAR'!D78+'EAST-MKT-VAR'!D78+'MidMarket-VAR'!D78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'!E78+'WE-VAR'!E78+BUG_VAR!E78+'TX-HPLC-VAR'!E78+'ARUBA-VAR'!E78+'SITHE-VAR'!E78+'DEN-VAR'!E78+'EAST-MKT-VAR'!E78+'MidMarket-VAR'!E78</f>
        <v>23733</v>
      </c>
      <c r="F78" s="65">
        <f>STG_VAR!F78+ONT_VAR!F78+'CE-VAR'!F78+'EAST-EGM-VAR'!F78+'BGC-EGM-VAR'!F78+'EAST-LRC-VAR'!F78+'TX-EGM-VAR'!F78+'TX-HPLR-VAR '!F78+'WE-VAR'!F78+BUG_VAR!F78+'TX-HPLC-VAR'!F78+'ARUBA-VAR'!F78+'SITHE-VAR'!F78+'DEN-VAR'!F78+'EAST-MKT-VAR'!F78+'MidMarket-VAR'!F78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'!G78+'WE-VAR'!G78+BUG_VAR!G78+'TX-HPLC-VAR'!G78+'ARUBA-VAR'!G78+'SITHE-VAR'!G78+'DEN-VAR'!G78+'EAST-MKT-VAR'!G78+'MidMarket-VAR'!G78</f>
        <v>0</v>
      </c>
      <c r="H78" s="60">
        <f t="shared" si="14"/>
        <v>0</v>
      </c>
      <c r="I78" s="38">
        <f t="shared" si="14"/>
        <v>-23733</v>
      </c>
    </row>
    <row r="79" spans="1:9" x14ac:dyDescent="0.25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'!D79+'WE-VAR'!D79+BUG_VAR!D79+'TX-HPLC-VAR'!D79+'ARUBA-VAR'!D79+'SITHE-VAR'!D79+'DEN-VAR'!D79+'EAST-MKT-VAR'!D79+'MidMarket-VAR'!D79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'!E79+'WE-VAR'!E79+BUG_VAR!E79+'TX-HPLC-VAR'!E79+'ARUBA-VAR'!E79+'SITHE-VAR'!E79+'DEN-VAR'!E79+'EAST-MKT-VAR'!E79+'MidMarket-VAR'!E79</f>
        <v>912777</v>
      </c>
      <c r="F79" s="65">
        <f>STG_VAR!F79+ONT_VAR!F79+'CE-VAR'!F79+'EAST-EGM-VAR'!F79+'BGC-EGM-VAR'!F79+'EAST-LRC-VAR'!F79+'TX-EGM-VAR'!F79+'TX-HPLR-VAR '!F79+'WE-VAR'!F79+BUG_VAR!F79+'TX-HPLC-VAR'!F79+'ARUBA-VAR'!F79+'SITHE-VAR'!F79+'DEN-VAR'!F79+'EAST-MKT-VAR'!F79+'MidMarket-VAR'!F79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'!G79+'WE-VAR'!G79+BUG_VAR!G79+'TX-HPLC-VAR'!G79+'ARUBA-VAR'!G79+'SITHE-VAR'!G79+'DEN-VAR'!G79+'EAST-MKT-VAR'!G79+'MidMarket-VAR'!G79</f>
        <v>0</v>
      </c>
      <c r="H79" s="60">
        <f t="shared" si="14"/>
        <v>0</v>
      </c>
      <c r="I79" s="38">
        <f t="shared" si="14"/>
        <v>-912777</v>
      </c>
    </row>
    <row r="80" spans="1:9" x14ac:dyDescent="0.25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'!D80+'WE-VAR'!D80+BUG_VAR!D80+'TX-HPLC-VAR'!D80+'ARUBA-VAR'!D80+'SITHE-VAR'!D80+'DEN-VAR'!D80+'EAST-MKT-VAR'!D80+'MidMarket-VAR'!D80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'!E80+'WE-VAR'!E80+BUG_VAR!E80+'TX-HPLC-VAR'!E80+'ARUBA-VAR'!E80+'SITHE-VAR'!E80+'DEN-VAR'!E80+'EAST-MKT-VAR'!E80+'MidMarket-VAR'!E80</f>
        <v>-66750</v>
      </c>
      <c r="F80" s="65">
        <f>STG_VAR!F80+ONT_VAR!F80+'CE-VAR'!F80+'EAST-EGM-VAR'!F80+'BGC-EGM-VAR'!F80+'EAST-LRC-VAR'!F80+'TX-EGM-VAR'!F80+'TX-HPLR-VAR '!F80+'WE-VAR'!F80+BUG_VAR!F80+'TX-HPLC-VAR'!F80+'ARUBA-VAR'!F80+'SITHE-VAR'!F80+'DEN-VAR'!F80+'EAST-MKT-VAR'!F80+'MidMarket-VAR'!F80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'!G80+'WE-VAR'!G80+BUG_VAR!G80+'TX-HPLC-VAR'!G80+'ARUBA-VAR'!G80+'SITHE-VAR'!G80+'DEN-VAR'!G80+'EAST-MKT-VAR'!G80+'MidMarket-VAR'!G80</f>
        <v>-3941158.33</v>
      </c>
      <c r="H80" s="60">
        <f>F80-D80</f>
        <v>0</v>
      </c>
      <c r="I80" s="38">
        <f>G80-E80</f>
        <v>-3874408.33</v>
      </c>
    </row>
    <row r="81" spans="1:9" x14ac:dyDescent="0.25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'!D81+'WE-VAR'!D81+BUG_VAR!D81+'TX-HPLC-VAR'!D81+'ARUBA-VAR'!D81+'SITHE-VAR'!D81+'DEN-VAR'!D81+'EAST-MKT-VAR'!D81+'MidMarket-VAR'!D81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'!E81+'WE-VAR'!E81+BUG_VAR!E81+'TX-HPLC-VAR'!E81+'ARUBA-VAR'!E81+'SITHE-VAR'!E81+'DEN-VAR'!E81+'EAST-MKT-VAR'!E81+'MidMarket-VAR'!E81</f>
        <v>-8545340</v>
      </c>
      <c r="F81" s="65">
        <f>STG_VAR!F81+ONT_VAR!F81+'CE-VAR'!F81+'EAST-EGM-VAR'!F81+'BGC-EGM-VAR'!F81+'EAST-LRC-VAR'!F81+'TX-EGM-VAR'!F81+'TX-HPLR-VAR '!F81+'WE-VAR'!F81+BUG_VAR!F81+'TX-HPLC-VAR'!F81+'ARUBA-VAR'!F81+'SITHE-VAR'!F81+'DEN-VAR'!F81+'EAST-MKT-VAR'!F81+'MidMarket-VAR'!F81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'!G81+'WE-VAR'!G81+BUG_VAR!G81+'TX-HPLC-VAR'!G81+'ARUBA-VAR'!G81+'SITHE-VAR'!G81+'DEN-VAR'!G81+'EAST-MKT-VAR'!G81+'MidMarket-VAR'!G81</f>
        <v>3730254.3200000003</v>
      </c>
      <c r="H81" s="60">
        <f>F81-D81</f>
        <v>0</v>
      </c>
      <c r="I81" s="38">
        <f>G81-E81</f>
        <v>12275594.32</v>
      </c>
    </row>
    <row r="82" spans="1:9" s="49" customFormat="1" ht="20.25" customHeight="1" thickBot="1" x14ac:dyDescent="0.3">
      <c r="A82" s="88"/>
      <c r="B82" s="89"/>
      <c r="C82" s="90" t="s">
        <v>79</v>
      </c>
      <c r="D82" s="91">
        <f>D16+D24+D29+D36+D43+D45+D47+D49</f>
        <v>14</v>
      </c>
      <c r="E82" s="92">
        <f>SUM(E72:E81)+E16+E24+E29+E36+E43+E45+E47+E49+E51+E56+E61+E66</f>
        <v>1323393.4671421144</v>
      </c>
      <c r="F82" s="91">
        <f>F16+F24+F29+F36+F43+F45+F47+F49</f>
        <v>273765</v>
      </c>
      <c r="G82" s="92">
        <f>SUM(G72:G81)+G16+G24+G29+G36+G43+G45+G47+G49+G51+G56+G61+G66</f>
        <v>-15659054.2720004</v>
      </c>
      <c r="H82" s="91">
        <f>H16+H24+H29+H36+H43+H45+H47+H49</f>
        <v>273751</v>
      </c>
      <c r="I82" s="92">
        <f>SUM(I72:I81)+I16+I24+I29+I36+I43+I45+I47+I49+I51+I56+I61+I66</f>
        <v>-16982447.739142209</v>
      </c>
    </row>
    <row r="83" spans="1:9" ht="13.8" thickTop="1" x14ac:dyDescent="0.25">
      <c r="A83" s="4"/>
      <c r="B83" s="3"/>
      <c r="D83"/>
      <c r="E83"/>
    </row>
    <row r="84" spans="1:9" x14ac:dyDescent="0.25">
      <c r="A84" s="4"/>
      <c r="B84" s="3"/>
      <c r="D84"/>
      <c r="E84" s="45"/>
      <c r="G84" s="45"/>
      <c r="I84" s="45"/>
    </row>
    <row r="85" spans="1:9" x14ac:dyDescent="0.25">
      <c r="A85" s="4" t="s">
        <v>159</v>
      </c>
      <c r="B85" s="3"/>
      <c r="D85" s="181"/>
      <c r="E85" s="181"/>
      <c r="F85" s="181"/>
      <c r="G85" s="181"/>
      <c r="H85" s="31"/>
      <c r="I85" s="31"/>
    </row>
    <row r="86" spans="1:9" x14ac:dyDescent="0.25">
      <c r="A86" s="144"/>
      <c r="B86" s="3"/>
      <c r="C86" s="10" t="s">
        <v>162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16800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-1023574.5800000001</v>
      </c>
      <c r="H86" s="145">
        <f t="shared" ref="H86:I88" si="15">F86-D86</f>
        <v>0</v>
      </c>
      <c r="I86" s="145">
        <f t="shared" si="15"/>
        <v>-1040374.5800000001</v>
      </c>
    </row>
    <row r="87" spans="1:9" x14ac:dyDescent="0.25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0</v>
      </c>
      <c r="H87" s="146">
        <f t="shared" si="15"/>
        <v>0</v>
      </c>
      <c r="I87" s="146">
        <f t="shared" si="15"/>
        <v>0</v>
      </c>
    </row>
    <row r="88" spans="1:9" x14ac:dyDescent="0.25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-686167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354575</v>
      </c>
      <c r="H88" s="147">
        <f t="shared" si="15"/>
        <v>0</v>
      </c>
      <c r="I88" s="147">
        <f t="shared" si="15"/>
        <v>1040742</v>
      </c>
    </row>
    <row r="89" spans="1:9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-669367</v>
      </c>
      <c r="F89" s="160">
        <f t="shared" si="16"/>
        <v>0</v>
      </c>
      <c r="G89" s="160">
        <f t="shared" si="16"/>
        <v>-668999.58000000007</v>
      </c>
      <c r="H89" s="160">
        <f t="shared" si="16"/>
        <v>0</v>
      </c>
      <c r="I89" s="160">
        <f t="shared" si="16"/>
        <v>367.41999999992549</v>
      </c>
    </row>
    <row r="90" spans="1:9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5">
      <c r="A91" s="158"/>
      <c r="B91" s="159"/>
      <c r="C91" s="157" t="s">
        <v>168</v>
      </c>
      <c r="D91" s="160">
        <f t="shared" ref="D91:I91" si="17">+D82+D89</f>
        <v>14</v>
      </c>
      <c r="E91" s="160">
        <f t="shared" si="17"/>
        <v>654026.46714211442</v>
      </c>
      <c r="F91" s="160">
        <f t="shared" si="17"/>
        <v>273765</v>
      </c>
      <c r="G91" s="160">
        <f t="shared" si="17"/>
        <v>-16328053.8520004</v>
      </c>
      <c r="H91" s="160">
        <f t="shared" si="17"/>
        <v>273751</v>
      </c>
      <c r="I91" s="160">
        <f t="shared" si="17"/>
        <v>-16982080.319142208</v>
      </c>
    </row>
    <row r="92" spans="1:9" x14ac:dyDescent="0.25">
      <c r="A92" s="4"/>
      <c r="B92" s="3"/>
    </row>
    <row r="93" spans="1:9" x14ac:dyDescent="0.25">
      <c r="A93" s="4"/>
      <c r="B93" s="3"/>
    </row>
    <row r="94" spans="1:9" x14ac:dyDescent="0.25">
      <c r="A94" s="4"/>
      <c r="B94" s="3"/>
    </row>
    <row r="95" spans="1:9" x14ac:dyDescent="0.25">
      <c r="A95" s="4"/>
      <c r="B95" s="3"/>
    </row>
    <row r="96" spans="1:9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90"/>
  <sheetViews>
    <sheetView tabSelected="1" topLeftCell="A3" zoomScale="75" workbookViewId="0">
      <pane xSplit="1" ySplit="8" topLeftCell="B11" activePane="bottomRight" state="frozen"/>
      <selection pane="topRight"/>
      <selection pane="bottomLeft"/>
      <selection pane="bottomRight" activeCell="G16" sqref="G16"/>
    </sheetView>
  </sheetViews>
  <sheetFormatPr defaultRowHeight="13.2" x14ac:dyDescent="0.25"/>
  <cols>
    <col min="1" max="1" width="21.6640625" customWidth="1"/>
    <col min="2" max="2" width="21.33203125" customWidth="1"/>
    <col min="3" max="3" width="20" customWidth="1"/>
    <col min="4" max="7" width="17" customWidth="1"/>
    <col min="8" max="8" width="25.6640625" customWidth="1"/>
  </cols>
  <sheetData>
    <row r="1" spans="1:10" s="33" customFormat="1" x14ac:dyDescent="0.25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5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5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5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5">
      <c r="A5" s="5" t="s">
        <v>226</v>
      </c>
      <c r="B5" s="50"/>
      <c r="C5" s="50"/>
      <c r="D5" s="50"/>
      <c r="E5" s="50"/>
      <c r="F5" s="50"/>
      <c r="G5" s="50"/>
      <c r="H5" s="50"/>
    </row>
    <row r="9" spans="1:10" ht="13.8" thickBot="1" x14ac:dyDescent="0.3"/>
    <row r="10" spans="1:10" s="87" customFormat="1" ht="36.6" thickBot="1" x14ac:dyDescent="0.4">
      <c r="A10" s="104" t="s">
        <v>12</v>
      </c>
      <c r="B10" s="105" t="s">
        <v>188</v>
      </c>
      <c r="C10" s="167" t="s">
        <v>184</v>
      </c>
      <c r="D10" s="106" t="s">
        <v>181</v>
      </c>
      <c r="E10" s="106" t="s">
        <v>182</v>
      </c>
      <c r="F10" s="106" t="s">
        <v>183</v>
      </c>
      <c r="G10" s="106" t="s">
        <v>8</v>
      </c>
      <c r="H10" s="106" t="s">
        <v>9</v>
      </c>
    </row>
    <row r="11" spans="1:10" x14ac:dyDescent="0.25">
      <c r="A11" s="101" t="s">
        <v>13</v>
      </c>
      <c r="B11" s="124">
        <f>'CE-FLSH'!$M$82</f>
        <v>3097542.0757000144</v>
      </c>
      <c r="C11" s="65">
        <f t="shared" ref="C11:C29" si="0">+D11-B11</f>
        <v>-542.07570001436397</v>
      </c>
      <c r="D11" s="124">
        <f>+'[2]ST Warroom 99'!$B$10</f>
        <v>3097000</v>
      </c>
      <c r="E11" s="124">
        <f>+F11-D11</f>
        <v>-322089</v>
      </c>
      <c r="F11" s="124">
        <f>+'[2]ST Warroom 99'!$B$44</f>
        <v>2774911</v>
      </c>
      <c r="G11" s="168">
        <f>CE_GL!$E$82</f>
        <v>4382855.6999998577</v>
      </c>
      <c r="H11" s="107">
        <f t="shared" ref="H11:H30" si="1">G11-F11</f>
        <v>1607944.6999998577</v>
      </c>
      <c r="I11" s="31"/>
      <c r="J11" s="31"/>
    </row>
    <row r="12" spans="1:10" x14ac:dyDescent="0.25">
      <c r="A12" s="101" t="s">
        <v>191</v>
      </c>
      <c r="B12" s="124">
        <f>'SITHE-FLSH'!$M$82</f>
        <v>-38088.202800002691</v>
      </c>
      <c r="C12" s="65">
        <f>+D12-B12</f>
        <v>88.20280000269122</v>
      </c>
      <c r="D12" s="124">
        <f>+'[2]ST Warroom 99'!$N$10</f>
        <v>-38000</v>
      </c>
      <c r="E12" s="124">
        <f>+F12-D12</f>
        <v>95394</v>
      </c>
      <c r="F12" s="124">
        <f>+'[2]ST Warroom 99'!$N$44</f>
        <v>57394</v>
      </c>
      <c r="G12" s="168">
        <f>SITHE_GL!$E$82</f>
        <v>-314841.69999999669</v>
      </c>
      <c r="H12" s="107">
        <f>G12-F12</f>
        <v>-372235.69999999669</v>
      </c>
      <c r="I12" s="31"/>
      <c r="J12" s="31"/>
    </row>
    <row r="13" spans="1:10" x14ac:dyDescent="0.25">
      <c r="A13" s="101" t="s">
        <v>185</v>
      </c>
      <c r="B13" s="124">
        <f>'ARUBA-FLSH'!$M$82</f>
        <v>1594700.2903999984</v>
      </c>
      <c r="C13" s="65">
        <f>+D13-B13</f>
        <v>299.70960000157356</v>
      </c>
      <c r="D13" s="124">
        <f>+'[2]ST Warroom 99'!$Q$10</f>
        <v>1595000</v>
      </c>
      <c r="E13" s="124">
        <f>+F13-D13</f>
        <v>998722</v>
      </c>
      <c r="F13" s="124">
        <f>+'[2]ST Warroom 99'!$Q$44</f>
        <v>2593722</v>
      </c>
      <c r="G13" s="168">
        <f>ARUBA_GL!$E$82</f>
        <v>2531934.8000000129</v>
      </c>
      <c r="H13" s="107">
        <f>G13-F13</f>
        <v>-61787.199999987148</v>
      </c>
      <c r="I13" s="31"/>
      <c r="J13" s="31"/>
    </row>
    <row r="14" spans="1:10" x14ac:dyDescent="0.25">
      <c r="A14" s="101" t="s">
        <v>228</v>
      </c>
      <c r="B14" s="124">
        <f>+'MidMarket-FLSH'!M82</f>
        <v>688524.20027465967</v>
      </c>
      <c r="C14" s="65">
        <f>+D14-B14</f>
        <v>475.79972534033004</v>
      </c>
      <c r="D14" s="124">
        <f>+'[2]ST Warroom 99'!$T$10</f>
        <v>689000</v>
      </c>
      <c r="E14" s="124">
        <f>+F14-D14</f>
        <v>0</v>
      </c>
      <c r="F14" s="124">
        <f>+'[2]ST Warroom 99'!$T$44</f>
        <v>689000</v>
      </c>
      <c r="G14" s="168">
        <f>MidMarket_GL!$E$82</f>
        <v>688999.83000000031</v>
      </c>
      <c r="H14" s="107">
        <f>G14-F14</f>
        <v>-0.16999999969266355</v>
      </c>
      <c r="I14" s="31"/>
      <c r="J14" s="31"/>
    </row>
    <row r="15" spans="1:10" x14ac:dyDescent="0.25">
      <c r="A15" s="101" t="s">
        <v>14</v>
      </c>
      <c r="B15" s="124">
        <v>0</v>
      </c>
      <c r="C15" s="65">
        <f t="shared" si="0"/>
        <v>0</v>
      </c>
      <c r="D15" s="124">
        <v>0</v>
      </c>
      <c r="E15" s="124">
        <f t="shared" ref="E15:E30" si="2">+F15-D15</f>
        <v>0</v>
      </c>
      <c r="F15" s="124">
        <v>0</v>
      </c>
      <c r="G15" s="168">
        <v>0</v>
      </c>
      <c r="H15" s="107">
        <f t="shared" si="1"/>
        <v>0</v>
      </c>
      <c r="I15" s="31"/>
      <c r="J15" s="31"/>
    </row>
    <row r="16" spans="1:10" x14ac:dyDescent="0.25">
      <c r="A16" s="101" t="s">
        <v>216</v>
      </c>
      <c r="B16" s="123">
        <f>'BGC-EGM-FLSH'!$M$82+'EAST-EGM-FLSH'!M82</f>
        <v>-8911113.9300000481</v>
      </c>
      <c r="C16" s="65">
        <f t="shared" si="0"/>
        <v>-37886.069999951869</v>
      </c>
      <c r="D16" s="123">
        <f>+'[2]ST Warroom 99'!$C$10</f>
        <v>-8949000</v>
      </c>
      <c r="E16" s="124">
        <f t="shared" si="2"/>
        <v>-813457</v>
      </c>
      <c r="F16" s="123">
        <f>+'[2]ST Warroom 99'!$C$44</f>
        <v>-9762457</v>
      </c>
      <c r="G16" s="168">
        <f>'BGC-EGM-GL'!$E$82+'EAST-EGM-GL'!E82</f>
        <v>-23661720.349000424</v>
      </c>
      <c r="H16" s="107">
        <f t="shared" si="1"/>
        <v>-13899263.349000424</v>
      </c>
      <c r="I16" s="31"/>
      <c r="J16" s="31"/>
    </row>
    <row r="17" spans="1:10" x14ac:dyDescent="0.25">
      <c r="A17" s="101" t="s">
        <v>212</v>
      </c>
      <c r="B17" s="123">
        <f>'EAST-MKT-FLSH'!$M$82</f>
        <v>-159745.75239998323</v>
      </c>
      <c r="C17" s="65">
        <f t="shared" si="0"/>
        <v>-100254.24760001677</v>
      </c>
      <c r="D17" s="123">
        <f>+'[2]ST Warroom 99'!$F$10</f>
        <v>-260000</v>
      </c>
      <c r="E17" s="124">
        <f t="shared" si="2"/>
        <v>416409</v>
      </c>
      <c r="F17" s="123">
        <f>+'[2]ST Warroom 99'!$F$44</f>
        <v>156409</v>
      </c>
      <c r="G17" s="168">
        <f>'EAST-MKT-GL'!$E$82</f>
        <v>-492655.42999993358</v>
      </c>
      <c r="H17" s="107">
        <f t="shared" si="1"/>
        <v>-649064.42999993358</v>
      </c>
      <c r="I17" s="31"/>
      <c r="J17" s="31"/>
    </row>
    <row r="18" spans="1:10" x14ac:dyDescent="0.25">
      <c r="A18" s="101" t="s">
        <v>215</v>
      </c>
      <c r="B18" s="123">
        <f>'EAST-LRC-FLSH'!$M$82</f>
        <v>0</v>
      </c>
      <c r="C18" s="65">
        <f>+D18-B18</f>
        <v>0</v>
      </c>
      <c r="D18" s="123">
        <f>+'[2]ST Warroom 99'!$D$10</f>
        <v>0</v>
      </c>
      <c r="E18" s="124">
        <f>+F18-D18</f>
        <v>0</v>
      </c>
      <c r="F18" s="123">
        <f>+'[2]ST Warroom 99'!$D$44</f>
        <v>0</v>
      </c>
      <c r="G18" s="168">
        <f>'EAST-LRC-GL'!$E$82</f>
        <v>-33856.559999999998</v>
      </c>
      <c r="H18" s="107">
        <f>G18-F18</f>
        <v>-33856.559999999998</v>
      </c>
      <c r="I18" s="31"/>
      <c r="J18" s="31"/>
    </row>
    <row r="19" spans="1:10" x14ac:dyDescent="0.25">
      <c r="A19" s="101" t="s">
        <v>160</v>
      </c>
      <c r="B19" s="123">
        <f>+'EAST-EGM-FLSH'!M89</f>
        <v>-42632</v>
      </c>
      <c r="C19" s="65">
        <f t="shared" si="0"/>
        <v>-368</v>
      </c>
      <c r="D19" s="123">
        <f>+'[2]ST Warroom 99'!$E$10</f>
        <v>-43000</v>
      </c>
      <c r="E19" s="124">
        <f t="shared" si="2"/>
        <v>0</v>
      </c>
      <c r="F19" s="123">
        <f>+'[2]ST Warroom 99'!$E$44</f>
        <v>-43000</v>
      </c>
      <c r="G19" s="168">
        <f>+'EAST-EGM-GL'!E89</f>
        <v>-43000</v>
      </c>
      <c r="H19" s="107">
        <f t="shared" si="1"/>
        <v>0</v>
      </c>
      <c r="I19" s="31"/>
      <c r="J19" s="31"/>
    </row>
    <row r="20" spans="1:10" x14ac:dyDescent="0.25">
      <c r="A20" s="101" t="s">
        <v>16</v>
      </c>
      <c r="B20" s="123">
        <f>'TX-EGM-FLSH'!$M$82</f>
        <v>-5146614.224167414</v>
      </c>
      <c r="C20" s="65">
        <f t="shared" si="0"/>
        <v>-385.77583258599043</v>
      </c>
      <c r="D20" s="123">
        <f>+'[2]ST Warroom 99'!$H$10</f>
        <v>-5147000</v>
      </c>
      <c r="E20" s="124">
        <f t="shared" si="2"/>
        <v>35205</v>
      </c>
      <c r="F20" s="123">
        <f>+'[2]ST Warroom 99'!$H$44</f>
        <v>-5111795</v>
      </c>
      <c r="G20" s="168">
        <f>'TX-EGM-GL'!$E$91</f>
        <v>-2860738.2689999817</v>
      </c>
      <c r="H20" s="107">
        <f t="shared" si="1"/>
        <v>2251056.7310000183</v>
      </c>
      <c r="I20" s="31"/>
      <c r="J20" s="31"/>
    </row>
    <row r="21" spans="1:10" x14ac:dyDescent="0.25">
      <c r="A21" s="101" t="s">
        <v>178</v>
      </c>
      <c r="B21" s="123">
        <f>'TX-HPLR-FLSH'!$M$82</f>
        <v>6002274.7916297354</v>
      </c>
      <c r="C21" s="65">
        <f t="shared" si="0"/>
        <v>-274.79162973538041</v>
      </c>
      <c r="D21" s="123">
        <f>+'[2]ST Warroom 99'!$I$10</f>
        <v>6002000</v>
      </c>
      <c r="E21" s="124">
        <f t="shared" si="2"/>
        <v>0</v>
      </c>
      <c r="F21" s="123">
        <f>+'[2]ST Warroom 99'!$I$44</f>
        <v>6002000</v>
      </c>
      <c r="G21" s="168">
        <f>'TX-HPLR-GL '!$E$82</f>
        <v>-1162407.3700000001</v>
      </c>
      <c r="H21" s="107">
        <f t="shared" si="1"/>
        <v>-7164407.3700000001</v>
      </c>
      <c r="I21" s="31"/>
      <c r="J21" s="31"/>
    </row>
    <row r="22" spans="1:10" x14ac:dyDescent="0.25">
      <c r="A22" s="101" t="s">
        <v>179</v>
      </c>
      <c r="B22" s="123">
        <f>'TX-HPLC-FLSH'!$M$82</f>
        <v>-413608.98195889592</v>
      </c>
      <c r="C22" s="65">
        <f t="shared" si="0"/>
        <v>608.98195889592171</v>
      </c>
      <c r="D22" s="123">
        <f>+'[2]ST Warroom 99'!$J$10</f>
        <v>-413000</v>
      </c>
      <c r="E22" s="124">
        <f t="shared" si="2"/>
        <v>0</v>
      </c>
      <c r="F22" s="123">
        <f>+'[2]ST Warroom 99'!$J$44</f>
        <v>-413000</v>
      </c>
      <c r="G22" s="168">
        <f>'TX-HPLC-GL'!$E$82</f>
        <v>3637623.5699999705</v>
      </c>
      <c r="H22" s="107">
        <f t="shared" si="1"/>
        <v>4050623.5699999705</v>
      </c>
      <c r="I22" s="31"/>
      <c r="J22" s="31"/>
    </row>
    <row r="23" spans="1:10" x14ac:dyDescent="0.25">
      <c r="A23" s="101" t="s">
        <v>172</v>
      </c>
      <c r="B23" s="123">
        <f>'TX-EGM-FLSH'!$M$89</f>
        <v>-628490</v>
      </c>
      <c r="C23" s="65">
        <f t="shared" si="0"/>
        <v>490</v>
      </c>
      <c r="D23" s="60">
        <f>+'[2]ST Warroom 99'!$K$10</f>
        <v>-628000</v>
      </c>
      <c r="E23" s="124">
        <f t="shared" si="2"/>
        <v>0</v>
      </c>
      <c r="F23" s="60">
        <f>+'[2]ST Warroom 99'!$K$44</f>
        <v>-628000</v>
      </c>
      <c r="G23" s="168">
        <f>'TX-HPLC-GL'!$E$89</f>
        <v>-628000</v>
      </c>
      <c r="H23" s="107">
        <f t="shared" si="1"/>
        <v>0</v>
      </c>
      <c r="I23" s="31"/>
      <c r="J23" s="31"/>
    </row>
    <row r="24" spans="1:10" x14ac:dyDescent="0.25">
      <c r="A24" s="101" t="s">
        <v>17</v>
      </c>
      <c r="B24" s="123">
        <f>'WE-FLSH'!$M$82</f>
        <v>7502195.8096345328</v>
      </c>
      <c r="C24" s="65">
        <f t="shared" si="0"/>
        <v>-24195.809634532779</v>
      </c>
      <c r="D24" s="123">
        <f>+'[2]ST Warroom 99'!$L$10</f>
        <v>7478000</v>
      </c>
      <c r="E24" s="124">
        <f t="shared" si="2"/>
        <v>-104170</v>
      </c>
      <c r="F24" s="123">
        <f>+'[2]ST Warroom 99'!$L$44</f>
        <v>7373830</v>
      </c>
      <c r="G24" s="168">
        <f>'WE-GL '!$E$82</f>
        <v>7136238.0680000009</v>
      </c>
      <c r="H24" s="107">
        <f t="shared" si="1"/>
        <v>-237591.9319999991</v>
      </c>
      <c r="I24" s="31"/>
      <c r="J24" s="31"/>
    </row>
    <row r="25" spans="1:10" x14ac:dyDescent="0.25">
      <c r="A25" s="101" t="s">
        <v>195</v>
      </c>
      <c r="B25" s="123">
        <f>'DEN-FLSH'!$M$82</f>
        <v>220422.37283129338</v>
      </c>
      <c r="C25" s="65">
        <f>+D25-B25</f>
        <v>1577.6271687066182</v>
      </c>
      <c r="D25" s="123">
        <f>+'[2]ST Warroom 99'!$S$10</f>
        <v>222000</v>
      </c>
      <c r="E25" s="124">
        <f>+F25-D25</f>
        <v>-43782</v>
      </c>
      <c r="F25" s="123">
        <f>+'[2]ST Warroom 99'!$S$44</f>
        <v>178218</v>
      </c>
      <c r="G25" s="168">
        <f>'DEN-GL'!$E$82</f>
        <v>136751.58799999859</v>
      </c>
      <c r="H25" s="107">
        <f>G25-F25</f>
        <v>-41466.412000001408</v>
      </c>
      <c r="I25" s="31"/>
      <c r="J25" s="31"/>
    </row>
    <row r="26" spans="1:10" x14ac:dyDescent="0.25">
      <c r="A26" s="101" t="s">
        <v>207</v>
      </c>
      <c r="B26" s="123">
        <f>'DEN-FLSH'!$M$89</f>
        <v>54892</v>
      </c>
      <c r="C26" s="65">
        <f>+D26-B26</f>
        <v>108</v>
      </c>
      <c r="D26" s="123">
        <f>+'[2]ST Warroom 99'!$R$10</f>
        <v>55000</v>
      </c>
      <c r="E26" s="124">
        <f>+F26-D26</f>
        <v>0</v>
      </c>
      <c r="F26" s="123">
        <f>+'[2]ST Warroom 99'!$R$44</f>
        <v>55000</v>
      </c>
      <c r="G26" s="168">
        <f>'DEN-GL'!$E$89</f>
        <v>55000</v>
      </c>
      <c r="H26" s="107">
        <f>G26-F26</f>
        <v>0</v>
      </c>
      <c r="I26" s="31"/>
      <c r="J26" s="31"/>
    </row>
    <row r="27" spans="1:10" x14ac:dyDescent="0.25">
      <c r="A27" s="101" t="s">
        <v>18</v>
      </c>
      <c r="B27" s="123">
        <f>STG_FLSH!$M$82</f>
        <v>240964</v>
      </c>
      <c r="C27" s="65">
        <f t="shared" si="0"/>
        <v>36</v>
      </c>
      <c r="D27" s="123">
        <f>+'[2]ST Warroom 99'!$M$10</f>
        <v>241000</v>
      </c>
      <c r="E27" s="124">
        <f t="shared" si="2"/>
        <v>-901622</v>
      </c>
      <c r="F27" s="123">
        <f>+'[2]ST Warroom 99'!$M$44</f>
        <v>-660622</v>
      </c>
      <c r="G27" s="168">
        <f>STG_GL!$E$82</f>
        <v>-2702141.98</v>
      </c>
      <c r="H27" s="107">
        <f t="shared" si="1"/>
        <v>-2041519.98</v>
      </c>
      <c r="I27" s="31"/>
      <c r="J27" s="31"/>
    </row>
    <row r="28" spans="1:10" x14ac:dyDescent="0.25">
      <c r="A28" s="101" t="s">
        <v>154</v>
      </c>
      <c r="B28" s="123">
        <f>ONT_FLSH!$M$82</f>
        <v>-2761499.9171017134</v>
      </c>
      <c r="C28" s="65">
        <f t="shared" si="0"/>
        <v>-500.08289828663692</v>
      </c>
      <c r="D28" s="123">
        <f>+'[2]ST Warroom 99'!$O$10</f>
        <v>-2762000</v>
      </c>
      <c r="E28" s="124">
        <f t="shared" si="2"/>
        <v>106589</v>
      </c>
      <c r="F28" s="123">
        <f>+'[2]ST Warroom 99'!$O$44</f>
        <v>-2655411</v>
      </c>
      <c r="G28" s="168">
        <f>'ONT_GL '!$E$82</f>
        <v>-3006332.9300000179</v>
      </c>
      <c r="H28" s="107">
        <f t="shared" si="1"/>
        <v>-350921.93000001786</v>
      </c>
      <c r="I28" s="31"/>
      <c r="J28" s="31"/>
    </row>
    <row r="29" spans="1:10" x14ac:dyDescent="0.25">
      <c r="A29" s="101" t="s">
        <v>159</v>
      </c>
      <c r="B29" s="123">
        <f>ONT_FLSH!$M$89</f>
        <v>-53137</v>
      </c>
      <c r="C29" s="65">
        <f t="shared" si="0"/>
        <v>137</v>
      </c>
      <c r="D29" s="168">
        <f>+'[2]ST Warroom 99'!$P$10</f>
        <v>-53000</v>
      </c>
      <c r="E29" s="124">
        <f t="shared" si="2"/>
        <v>0</v>
      </c>
      <c r="F29" s="168">
        <f>+'[2]ST Warroom 99'!$P$44</f>
        <v>-53000</v>
      </c>
      <c r="G29" s="168">
        <f>+'ONT_GL '!E89</f>
        <v>-52999.580000000075</v>
      </c>
      <c r="H29" s="107">
        <f t="shared" si="1"/>
        <v>0.41999999992549419</v>
      </c>
      <c r="I29" s="31"/>
      <c r="J29" s="31"/>
    </row>
    <row r="30" spans="1:10" x14ac:dyDescent="0.25">
      <c r="A30" s="138" t="s">
        <v>111</v>
      </c>
      <c r="B30" s="123">
        <f>+BUG_FLSH!M82</f>
        <v>-592559.06489999976</v>
      </c>
      <c r="C30" s="65">
        <f>+D30-B30</f>
        <v>-440.93510000023525</v>
      </c>
      <c r="D30" s="123">
        <f>+'[2]ST Warroom 99'!$G$10</f>
        <v>-593000</v>
      </c>
      <c r="E30" s="124">
        <f t="shared" si="2"/>
        <v>654237</v>
      </c>
      <c r="F30" s="123">
        <f>+'[2]ST Warroom 99'!$G$44</f>
        <v>61237</v>
      </c>
      <c r="G30" s="168">
        <f>+BUG_GL!E82</f>
        <v>61236.76</v>
      </c>
      <c r="H30" s="107">
        <f t="shared" si="1"/>
        <v>-0.23999999999796273</v>
      </c>
      <c r="I30" s="31"/>
      <c r="J30" s="31"/>
    </row>
    <row r="31" spans="1:10" ht="21.75" customHeight="1" thickBot="1" x14ac:dyDescent="0.3">
      <c r="A31" s="101" t="s">
        <v>10</v>
      </c>
      <c r="B31" s="61">
        <f t="shared" ref="B31:H31" si="3">SUM(B11:B30)</f>
        <v>654026.46714217623</v>
      </c>
      <c r="C31" s="61">
        <f t="shared" si="3"/>
        <v>-161026.46714217687</v>
      </c>
      <c r="D31" s="61">
        <f t="shared" si="3"/>
        <v>493000</v>
      </c>
      <c r="E31" s="61">
        <f t="shared" si="3"/>
        <v>121436</v>
      </c>
      <c r="F31" s="61">
        <f t="shared" si="3"/>
        <v>614436</v>
      </c>
      <c r="G31" s="61">
        <f>SUM(G11:G30)</f>
        <v>-16328053.852000516</v>
      </c>
      <c r="H31" s="108">
        <f t="shared" si="3"/>
        <v>-16942489.852000516</v>
      </c>
      <c r="I31" s="31"/>
      <c r="J31" s="31"/>
    </row>
    <row r="32" spans="1:10" ht="21" customHeight="1" thickBot="1" x14ac:dyDescent="0.3">
      <c r="A32" s="102" t="s">
        <v>19</v>
      </c>
      <c r="B32" s="103">
        <f>TOTAL!$E$91</f>
        <v>654026.46714211442</v>
      </c>
      <c r="C32" s="103">
        <f>+C31</f>
        <v>-161026.46714217687</v>
      </c>
      <c r="D32" s="103">
        <f>+'[2]ST Warroom 99'!$V$10</f>
        <v>493000</v>
      </c>
      <c r="E32" s="103">
        <f>+'[2]ST Warroom 99'!$V$27</f>
        <v>121436</v>
      </c>
      <c r="F32" s="103">
        <f>+'[2]ST Warroom 99'!$V$44</f>
        <v>614436</v>
      </c>
      <c r="G32" s="103">
        <f>TOTAL!$G$91</f>
        <v>-16328053.8520004</v>
      </c>
      <c r="H32" s="179">
        <f>+[1]OAvsACT!$G$63</f>
        <v>-16940278.349999994</v>
      </c>
      <c r="I32" s="31"/>
      <c r="J32" s="31"/>
    </row>
    <row r="33" spans="2:10" x14ac:dyDescent="0.25">
      <c r="B33" s="45"/>
      <c r="C33" s="45"/>
      <c r="D33" s="45"/>
      <c r="E33" s="45"/>
      <c r="F33" s="45"/>
      <c r="G33" s="45"/>
      <c r="H33" s="45">
        <f>+H32-H31</f>
        <v>2211.5020005218685</v>
      </c>
      <c r="I33" s="45"/>
      <c r="J33" s="45"/>
    </row>
    <row r="34" spans="2:10" x14ac:dyDescent="0.25">
      <c r="B34" s="45">
        <f t="shared" ref="B34:G34" si="4">+B31-B32</f>
        <v>6.1816535890102386E-8</v>
      </c>
      <c r="C34" s="45">
        <f t="shared" si="4"/>
        <v>0</v>
      </c>
      <c r="D34" s="45">
        <f t="shared" si="4"/>
        <v>0</v>
      </c>
      <c r="E34" s="45">
        <f t="shared" si="4"/>
        <v>0</v>
      </c>
      <c r="F34" s="45">
        <f t="shared" si="4"/>
        <v>0</v>
      </c>
      <c r="G34" s="14">
        <f t="shared" si="4"/>
        <v>-1.1548399925231934E-7</v>
      </c>
      <c r="H34" s="45">
        <v>0</v>
      </c>
      <c r="I34" s="45"/>
      <c r="J34" s="45"/>
    </row>
    <row r="35" spans="2:10" x14ac:dyDescent="0.25">
      <c r="H35">
        <v>2214</v>
      </c>
    </row>
    <row r="36" spans="2:10" hidden="1" x14ac:dyDescent="0.25"/>
    <row r="37" spans="2:10" hidden="1" x14ac:dyDescent="0.25"/>
    <row r="38" spans="2:10" hidden="1" x14ac:dyDescent="0.25"/>
    <row r="39" spans="2:10" hidden="1" x14ac:dyDescent="0.25"/>
    <row r="40" spans="2:10" hidden="1" x14ac:dyDescent="0.25"/>
    <row r="41" spans="2:10" hidden="1" x14ac:dyDescent="0.25"/>
    <row r="42" spans="2:10" hidden="1" x14ac:dyDescent="0.25"/>
    <row r="43" spans="2:10" hidden="1" x14ac:dyDescent="0.25"/>
    <row r="44" spans="2:10" hidden="1" x14ac:dyDescent="0.25"/>
    <row r="45" spans="2:10" hidden="1" x14ac:dyDescent="0.25"/>
    <row r="46" spans="2:10" hidden="1" x14ac:dyDescent="0.25"/>
    <row r="47" spans="2:10" hidden="1" x14ac:dyDescent="0.25"/>
    <row r="48" spans="2:10" hidden="1" x14ac:dyDescent="0.25"/>
    <row r="49" spans="3:7" hidden="1" x14ac:dyDescent="0.25"/>
    <row r="50" spans="3:7" hidden="1" x14ac:dyDescent="0.25"/>
    <row r="51" spans="3:7" hidden="1" x14ac:dyDescent="0.25"/>
    <row r="52" spans="3:7" hidden="1" x14ac:dyDescent="0.25"/>
    <row r="53" spans="3:7" hidden="1" x14ac:dyDescent="0.25"/>
    <row r="54" spans="3:7" hidden="1" x14ac:dyDescent="0.25"/>
    <row r="55" spans="3:7" hidden="1" x14ac:dyDescent="0.25"/>
    <row r="56" spans="3:7" hidden="1" x14ac:dyDescent="0.25"/>
    <row r="57" spans="3:7" hidden="1" x14ac:dyDescent="0.25"/>
    <row r="58" spans="3:7" hidden="1" x14ac:dyDescent="0.25"/>
    <row r="59" spans="3:7" hidden="1" x14ac:dyDescent="0.25"/>
    <row r="60" spans="3:7" hidden="1" x14ac:dyDescent="0.25"/>
    <row r="61" spans="3:7" hidden="1" x14ac:dyDescent="0.25"/>
    <row r="62" spans="3:7" hidden="1" x14ac:dyDescent="0.25"/>
    <row r="63" spans="3:7" hidden="1" x14ac:dyDescent="0.25">
      <c r="C63" s="2"/>
      <c r="D63" s="2"/>
      <c r="E63" s="2"/>
      <c r="F63" s="2"/>
      <c r="G63" s="2"/>
    </row>
    <row r="64" spans="3:7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spans="7:8" hidden="1" x14ac:dyDescent="0.25"/>
    <row r="82" spans="7:8" hidden="1" x14ac:dyDescent="0.25"/>
    <row r="83" spans="7:8" hidden="1" x14ac:dyDescent="0.25"/>
    <row r="84" spans="7:8" hidden="1" x14ac:dyDescent="0.25"/>
    <row r="85" spans="7:8" hidden="1" x14ac:dyDescent="0.25"/>
    <row r="86" spans="7:8" hidden="1" x14ac:dyDescent="0.25"/>
    <row r="87" spans="7:8" x14ac:dyDescent="0.25">
      <c r="H87" s="45">
        <f>+H33-H35</f>
        <v>-2.4979994781315327</v>
      </c>
    </row>
    <row r="88" spans="7:8" x14ac:dyDescent="0.25">
      <c r="G88" s="45"/>
    </row>
    <row r="90" spans="7:8" x14ac:dyDescent="0.25">
      <c r="G90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J187"/>
  <sheetViews>
    <sheetView zoomScale="75" workbookViewId="0">
      <pane xSplit="3" ySplit="9" topLeftCell="D89" activePane="bottomRight" state="frozen"/>
      <selection pane="topRight"/>
      <selection pane="bottomLeft"/>
      <selection pane="bottomRight" activeCell="D89" sqref="D89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5" width="15" style="31" customWidth="1"/>
    <col min="6" max="35" width="15" customWidth="1"/>
  </cols>
  <sheetData>
    <row r="1" spans="1:35" x14ac:dyDescent="0.25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5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5">
      <c r="A5" s="48" t="str">
        <f>Check!A5</f>
        <v>PRODUCTION MONTH: 0006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5" x14ac:dyDescent="0.25">
      <c r="A7" s="4"/>
      <c r="B7" s="19"/>
      <c r="C7" s="19"/>
    </row>
    <row r="8" spans="1:35" x14ac:dyDescent="0.25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213</v>
      </c>
      <c r="M8" s="27"/>
      <c r="N8" s="26" t="s">
        <v>17</v>
      </c>
      <c r="O8" s="27"/>
      <c r="P8" s="26" t="s">
        <v>195</v>
      </c>
      <c r="Q8" s="27"/>
      <c r="R8" s="26" t="s">
        <v>178</v>
      </c>
      <c r="S8" s="27"/>
      <c r="T8" s="26" t="s">
        <v>16</v>
      </c>
      <c r="U8" s="27"/>
      <c r="V8" s="26" t="s">
        <v>179</v>
      </c>
      <c r="W8" s="27"/>
      <c r="X8" s="26" t="s">
        <v>18</v>
      </c>
      <c r="Y8" s="27"/>
      <c r="Z8" s="26" t="s">
        <v>154</v>
      </c>
      <c r="AA8" s="27"/>
      <c r="AB8" s="26" t="s">
        <v>185</v>
      </c>
      <c r="AC8" s="27"/>
      <c r="AD8" s="26" t="s">
        <v>191</v>
      </c>
      <c r="AE8" s="27"/>
      <c r="AF8" s="26" t="s">
        <v>223</v>
      </c>
      <c r="AG8" s="27"/>
      <c r="AH8" s="26" t="s">
        <v>111</v>
      </c>
      <c r="AI8" s="27"/>
    </row>
    <row r="9" spans="1:35" s="80" customFormat="1" x14ac:dyDescent="0.25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5">
      <c r="A11" s="9">
        <v>1</v>
      </c>
      <c r="B11" s="7"/>
      <c r="C11" s="18" t="s">
        <v>25</v>
      </c>
      <c r="D11" s="66">
        <f t="shared" ref="D11:E15" si="0">F11+H11+J11+L11+N11+R11+T11+X11+Z11+AH11+P11+V11+AB11+AD11</f>
        <v>0</v>
      </c>
      <c r="E11" s="66">
        <f t="shared" si="0"/>
        <v>0</v>
      </c>
      <c r="F11" s="60"/>
      <c r="G11" s="38">
        <v>0</v>
      </c>
      <c r="H11" s="60"/>
      <c r="I11" s="38">
        <v>0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v>0</v>
      </c>
      <c r="AH11" s="60"/>
      <c r="AI11" s="38">
        <v>0</v>
      </c>
    </row>
    <row r="12" spans="1:35" x14ac:dyDescent="0.25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0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</row>
    <row r="13" spans="1:35" x14ac:dyDescent="0.25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</row>
    <row r="14" spans="1:35" x14ac:dyDescent="0.25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5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0</v>
      </c>
      <c r="F15" s="60"/>
      <c r="G15" s="38">
        <v>0</v>
      </c>
      <c r="H15" s="60"/>
      <c r="I15" s="38">
        <v>0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v>0</v>
      </c>
      <c r="AH15" s="60"/>
      <c r="AI15" s="38">
        <v>0</v>
      </c>
    </row>
    <row r="16" spans="1:35" x14ac:dyDescent="0.25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I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ref="AB16:AG16" si="3">SUM(AB11:AB15)</f>
        <v>0</v>
      </c>
      <c r="AC16" s="39">
        <f t="shared" si="3"/>
        <v>0</v>
      </c>
      <c r="AD16" s="61">
        <f t="shared" si="3"/>
        <v>0</v>
      </c>
      <c r="AE16" s="39">
        <f t="shared" si="3"/>
        <v>0</v>
      </c>
      <c r="AF16" s="61">
        <f t="shared" si="3"/>
        <v>0</v>
      </c>
      <c r="AG16" s="39">
        <f t="shared" si="3"/>
        <v>0</v>
      </c>
      <c r="AH16" s="61">
        <f t="shared" si="2"/>
        <v>0</v>
      </c>
      <c r="AI16" s="39">
        <f t="shared" si="2"/>
        <v>0</v>
      </c>
    </row>
    <row r="17" spans="1:35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5">
      <c r="A19" s="9">
        <v>6</v>
      </c>
      <c r="B19" s="7"/>
      <c r="C19" s="18" t="s">
        <v>25</v>
      </c>
      <c r="D19" s="66">
        <f t="shared" ref="D19:E23" si="4">F19+H19+J19+L19+N19+R19+T19+X19+Z19+AH19+P19+V19+AB19+AD19</f>
        <v>0</v>
      </c>
      <c r="E19" s="66">
        <f t="shared" si="4"/>
        <v>0</v>
      </c>
      <c r="F19" s="60"/>
      <c r="G19" s="38">
        <v>0</v>
      </c>
      <c r="H19" s="60"/>
      <c r="I19" s="38">
        <v>0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</row>
    <row r="20" spans="1:35" x14ac:dyDescent="0.25">
      <c r="A20" s="9">
        <v>7</v>
      </c>
      <c r="B20" s="7"/>
      <c r="C20" s="18" t="s">
        <v>26</v>
      </c>
      <c r="D20" s="66">
        <f t="shared" si="4"/>
        <v>0</v>
      </c>
      <c r="E20" s="66">
        <f t="shared" si="4"/>
        <v>0</v>
      </c>
      <c r="F20" s="60"/>
      <c r="G20" s="38"/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</row>
    <row r="21" spans="1:35" x14ac:dyDescent="0.25">
      <c r="A21" s="9">
        <v>8</v>
      </c>
      <c r="B21" s="7"/>
      <c r="C21" s="18" t="s">
        <v>27</v>
      </c>
      <c r="D21" s="66">
        <f t="shared" si="4"/>
        <v>0</v>
      </c>
      <c r="E21" s="66">
        <f t="shared" si="4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5">
      <c r="A22" s="9">
        <v>9</v>
      </c>
      <c r="B22" s="7"/>
      <c r="C22" s="18" t="s">
        <v>28</v>
      </c>
      <c r="D22" s="66">
        <f t="shared" si="4"/>
        <v>0</v>
      </c>
      <c r="E22" s="66">
        <f t="shared" si="4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5">
      <c r="A23" s="9">
        <v>10</v>
      </c>
      <c r="B23" s="7"/>
      <c r="C23" s="18" t="s">
        <v>32</v>
      </c>
      <c r="D23" s="66">
        <f t="shared" si="4"/>
        <v>0</v>
      </c>
      <c r="E23" s="66">
        <f t="shared" si="4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5">
      <c r="A24" s="9"/>
      <c r="B24" s="7" t="s">
        <v>33</v>
      </c>
      <c r="C24" s="6"/>
      <c r="D24" s="61">
        <f t="shared" ref="D24:M24" si="5">SUM(D19:D23)</f>
        <v>0</v>
      </c>
      <c r="E24" s="39">
        <f t="shared" si="5"/>
        <v>0</v>
      </c>
      <c r="F24" s="61">
        <f t="shared" si="5"/>
        <v>0</v>
      </c>
      <c r="G24" s="39">
        <f t="shared" si="5"/>
        <v>0</v>
      </c>
      <c r="H24" s="61">
        <f t="shared" si="5"/>
        <v>0</v>
      </c>
      <c r="I24" s="39">
        <f t="shared" si="5"/>
        <v>0</v>
      </c>
      <c r="J24" s="61">
        <f t="shared" si="5"/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ref="N24:AI24" si="6">SUM(N19:N23)</f>
        <v>0</v>
      </c>
      <c r="O24" s="39">
        <f t="shared" si="6"/>
        <v>0</v>
      </c>
      <c r="P24" s="61">
        <f>SUM(P19:P23)</f>
        <v>0</v>
      </c>
      <c r="Q24" s="39">
        <f>SUM(Q19:Q23)</f>
        <v>0</v>
      </c>
      <c r="R24" s="61">
        <f t="shared" si="6"/>
        <v>0</v>
      </c>
      <c r="S24" s="39">
        <f t="shared" si="6"/>
        <v>0</v>
      </c>
      <c r="T24" s="61">
        <f t="shared" si="6"/>
        <v>0</v>
      </c>
      <c r="U24" s="39">
        <f t="shared" si="6"/>
        <v>0</v>
      </c>
      <c r="V24" s="61">
        <f>SUM(V19:V23)</f>
        <v>0</v>
      </c>
      <c r="W24" s="39">
        <f>SUM(W19:W23)</f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ref="AB24:AG24" si="7">SUM(AB19:AB23)</f>
        <v>0</v>
      </c>
      <c r="AC24" s="39">
        <f t="shared" si="7"/>
        <v>0</v>
      </c>
      <c r="AD24" s="61">
        <f t="shared" si="7"/>
        <v>0</v>
      </c>
      <c r="AE24" s="39">
        <f t="shared" si="7"/>
        <v>0</v>
      </c>
      <c r="AF24" s="61">
        <f t="shared" si="7"/>
        <v>0</v>
      </c>
      <c r="AG24" s="39">
        <f t="shared" si="7"/>
        <v>0</v>
      </c>
      <c r="AH24" s="61">
        <f t="shared" si="6"/>
        <v>0</v>
      </c>
      <c r="AI24" s="39">
        <f t="shared" si="6"/>
        <v>0</v>
      </c>
    </row>
    <row r="25" spans="1:35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5">
      <c r="A27" s="9">
        <v>11</v>
      </c>
      <c r="B27" s="7"/>
      <c r="C27" s="18" t="s">
        <v>35</v>
      </c>
      <c r="D27" s="66">
        <f>F27+H27+J27+L27+N27+R27+T27+X27+Z27+AH27+P27+V27+AB27+AD27</f>
        <v>0</v>
      </c>
      <c r="E27" s="66">
        <f>G27+I27+K27+M27+O27+S27+U27+Y27+AA27+AI27+Q27+W27+AC27+AE27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</row>
    <row r="28" spans="1:35" x14ac:dyDescent="0.25">
      <c r="A28" s="9">
        <v>12</v>
      </c>
      <c r="B28" s="7"/>
      <c r="C28" s="18" t="s">
        <v>36</v>
      </c>
      <c r="D28" s="66">
        <f>F28+H28+J28+L28+N28+R28+T28+X28+Z28+AH28+P28+V28+AB28+AD28</f>
        <v>0</v>
      </c>
      <c r="E28" s="66">
        <f>G28+I28+K28+M28+O28+S28+U28+Y28+AA28+AI28+Q28+W28+AC28+AE28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</row>
    <row r="29" spans="1:35" x14ac:dyDescent="0.25">
      <c r="A29" s="9"/>
      <c r="B29" s="7" t="s">
        <v>37</v>
      </c>
      <c r="C29" s="6"/>
      <c r="D29" s="61">
        <f t="shared" ref="D29:M29" si="8">SUM(D27:D28)</f>
        <v>0</v>
      </c>
      <c r="E29" s="39">
        <f t="shared" si="8"/>
        <v>0</v>
      </c>
      <c r="F29" s="61">
        <f t="shared" si="8"/>
        <v>0</v>
      </c>
      <c r="G29" s="39">
        <f t="shared" si="8"/>
        <v>0</v>
      </c>
      <c r="H29" s="61">
        <f t="shared" si="8"/>
        <v>0</v>
      </c>
      <c r="I29" s="39">
        <f t="shared" si="8"/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  <c r="N29" s="61">
        <f t="shared" ref="N29:AI29" si="9">SUM(N27:N28)</f>
        <v>0</v>
      </c>
      <c r="O29" s="39">
        <f t="shared" si="9"/>
        <v>0</v>
      </c>
      <c r="P29" s="61">
        <f>SUM(P27:P28)</f>
        <v>0</v>
      </c>
      <c r="Q29" s="39">
        <f>SUM(Q27:Q28)</f>
        <v>0</v>
      </c>
      <c r="R29" s="61">
        <f t="shared" si="9"/>
        <v>0</v>
      </c>
      <c r="S29" s="39">
        <f t="shared" si="9"/>
        <v>0</v>
      </c>
      <c r="T29" s="61">
        <f t="shared" si="9"/>
        <v>0</v>
      </c>
      <c r="U29" s="39">
        <f t="shared" si="9"/>
        <v>0</v>
      </c>
      <c r="V29" s="61">
        <f>SUM(V27:V28)</f>
        <v>0</v>
      </c>
      <c r="W29" s="39">
        <f>SUM(W27:W28)</f>
        <v>0</v>
      </c>
      <c r="X29" s="61">
        <f t="shared" si="9"/>
        <v>0</v>
      </c>
      <c r="Y29" s="39">
        <f t="shared" si="9"/>
        <v>0</v>
      </c>
      <c r="Z29" s="61">
        <f t="shared" si="9"/>
        <v>0</v>
      </c>
      <c r="AA29" s="39">
        <f t="shared" si="9"/>
        <v>0</v>
      </c>
      <c r="AB29" s="61">
        <f t="shared" ref="AB29:AG29" si="10">SUM(AB27:AB28)</f>
        <v>0</v>
      </c>
      <c r="AC29" s="39">
        <f t="shared" si="10"/>
        <v>0</v>
      </c>
      <c r="AD29" s="61">
        <f t="shared" si="10"/>
        <v>0</v>
      </c>
      <c r="AE29" s="39">
        <f t="shared" si="10"/>
        <v>0</v>
      </c>
      <c r="AF29" s="61">
        <f t="shared" si="10"/>
        <v>0</v>
      </c>
      <c r="AG29" s="39">
        <f t="shared" si="10"/>
        <v>0</v>
      </c>
      <c r="AH29" s="61">
        <f t="shared" si="9"/>
        <v>0</v>
      </c>
      <c r="AI29" s="39">
        <f t="shared" si="9"/>
        <v>0</v>
      </c>
    </row>
    <row r="30" spans="1:35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5">
      <c r="A32" s="9">
        <v>13</v>
      </c>
      <c r="B32" s="7"/>
      <c r="C32" s="18" t="s">
        <v>39</v>
      </c>
      <c r="D32" s="66">
        <f t="shared" ref="D32:E35" si="11">F32+H32+J32+L32+N32+R32+T32+X32+Z32+AH32+P32+V32+AB32+AD32</f>
        <v>0</v>
      </c>
      <c r="E32" s="66">
        <f t="shared" si="11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5">
      <c r="A33" s="9">
        <v>14</v>
      </c>
      <c r="B33" s="7"/>
      <c r="C33" s="18" t="s">
        <v>40</v>
      </c>
      <c r="D33" s="66">
        <f t="shared" si="11"/>
        <v>0</v>
      </c>
      <c r="E33" s="66">
        <f t="shared" si="11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5">
      <c r="A34" s="9">
        <v>15</v>
      </c>
      <c r="B34" s="7"/>
      <c r="C34" s="18" t="s">
        <v>41</v>
      </c>
      <c r="D34" s="66">
        <f t="shared" si="11"/>
        <v>0</v>
      </c>
      <c r="E34" s="66">
        <f t="shared" si="11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5">
      <c r="A35" s="9">
        <v>16</v>
      </c>
      <c r="B35" s="7"/>
      <c r="C35" s="18" t="s">
        <v>42</v>
      </c>
      <c r="D35" s="66">
        <f t="shared" si="11"/>
        <v>0</v>
      </c>
      <c r="E35" s="66">
        <f t="shared" si="11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5">
      <c r="A36" s="9"/>
      <c r="B36" s="7" t="s">
        <v>43</v>
      </c>
      <c r="C36" s="6"/>
      <c r="D36" s="61">
        <f>SUM(D32:D35)</f>
        <v>0</v>
      </c>
      <c r="E36" s="39">
        <f>SUM(E32:E35)</f>
        <v>0</v>
      </c>
      <c r="F36" s="61">
        <f t="shared" ref="F36:Q36" si="12">SUM(F32:F34)</f>
        <v>0</v>
      </c>
      <c r="G36" s="39">
        <f t="shared" si="12"/>
        <v>0</v>
      </c>
      <c r="H36" s="61">
        <f t="shared" si="12"/>
        <v>0</v>
      </c>
      <c r="I36" s="39">
        <f t="shared" si="12"/>
        <v>0</v>
      </c>
      <c r="J36" s="61">
        <f t="shared" si="12"/>
        <v>0</v>
      </c>
      <c r="K36" s="39">
        <f t="shared" si="12"/>
        <v>0</v>
      </c>
      <c r="L36" s="61">
        <f t="shared" si="12"/>
        <v>0</v>
      </c>
      <c r="M36" s="39">
        <f t="shared" si="12"/>
        <v>0</v>
      </c>
      <c r="N36" s="61">
        <f t="shared" si="12"/>
        <v>0</v>
      </c>
      <c r="O36" s="39">
        <f t="shared" si="12"/>
        <v>0</v>
      </c>
      <c r="P36" s="61">
        <f t="shared" si="12"/>
        <v>0</v>
      </c>
      <c r="Q36" s="39">
        <f t="shared" si="12"/>
        <v>0</v>
      </c>
      <c r="R36" s="61">
        <f t="shared" ref="R36:AI36" si="13">SUM(R32:R34)</f>
        <v>0</v>
      </c>
      <c r="S36" s="39">
        <f t="shared" si="13"/>
        <v>0</v>
      </c>
      <c r="T36" s="61">
        <f t="shared" si="13"/>
        <v>0</v>
      </c>
      <c r="U36" s="39">
        <f t="shared" si="13"/>
        <v>0</v>
      </c>
      <c r="V36" s="61">
        <f>SUM(V32:V34)</f>
        <v>0</v>
      </c>
      <c r="W36" s="39">
        <f>SUM(W32:W34)</f>
        <v>0</v>
      </c>
      <c r="X36" s="61">
        <f t="shared" si="13"/>
        <v>0</v>
      </c>
      <c r="Y36" s="39">
        <f t="shared" si="13"/>
        <v>0</v>
      </c>
      <c r="Z36" s="61">
        <f t="shared" si="13"/>
        <v>0</v>
      </c>
      <c r="AA36" s="39">
        <f t="shared" si="13"/>
        <v>0</v>
      </c>
      <c r="AB36" s="61">
        <f t="shared" ref="AB36:AG36" si="14">SUM(AB32:AB34)</f>
        <v>0</v>
      </c>
      <c r="AC36" s="39">
        <f t="shared" si="14"/>
        <v>0</v>
      </c>
      <c r="AD36" s="61">
        <f t="shared" si="14"/>
        <v>0</v>
      </c>
      <c r="AE36" s="39">
        <f t="shared" si="14"/>
        <v>0</v>
      </c>
      <c r="AF36" s="61">
        <f t="shared" si="14"/>
        <v>0</v>
      </c>
      <c r="AG36" s="39">
        <f t="shared" si="14"/>
        <v>0</v>
      </c>
      <c r="AH36" s="61">
        <f t="shared" si="13"/>
        <v>0</v>
      </c>
      <c r="AI36" s="39">
        <f t="shared" si="13"/>
        <v>0</v>
      </c>
    </row>
    <row r="37" spans="1:35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5">
      <c r="A39" s="9">
        <v>17</v>
      </c>
      <c r="B39" s="7"/>
      <c r="C39" s="18" t="s">
        <v>45</v>
      </c>
      <c r="D39" s="66">
        <f t="shared" ref="D39:E41" si="15">F39+H39+J39+L39+N39+R39+T39+X39+Z39+AH39+P39+V39+AB39+AD39</f>
        <v>0</v>
      </c>
      <c r="E39" s="66">
        <f t="shared" si="15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5">
      <c r="A40" s="9">
        <v>18</v>
      </c>
      <c r="B40" s="7"/>
      <c r="C40" s="18" t="s">
        <v>46</v>
      </c>
      <c r="D40" s="66">
        <f t="shared" si="15"/>
        <v>0</v>
      </c>
      <c r="E40" s="66">
        <f t="shared" si="15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5">
      <c r="A41" s="9">
        <v>19</v>
      </c>
      <c r="B41" s="7"/>
      <c r="C41" s="18" t="s">
        <v>47</v>
      </c>
      <c r="D41" s="66">
        <f t="shared" si="15"/>
        <v>0</v>
      </c>
      <c r="E41" s="66">
        <f t="shared" si="15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0</v>
      </c>
      <c r="X41" s="60"/>
      <c r="Y41" s="38">
        <v>0</v>
      </c>
      <c r="Z41" s="60"/>
      <c r="AA41" s="38"/>
      <c r="AB41" s="60"/>
      <c r="AC41" s="38"/>
      <c r="AD41" s="60"/>
      <c r="AE41" s="38"/>
      <c r="AF41" s="60"/>
      <c r="AG41" s="38"/>
      <c r="AH41" s="60"/>
      <c r="AI41" s="38"/>
    </row>
    <row r="42" spans="1:35" x14ac:dyDescent="0.25">
      <c r="A42" s="9"/>
      <c r="B42" s="7"/>
      <c r="C42" s="53" t="s">
        <v>48</v>
      </c>
      <c r="D42" s="61">
        <f t="shared" ref="D42:M42" si="16">SUM(D40:D41)</f>
        <v>0</v>
      </c>
      <c r="E42" s="39">
        <f t="shared" si="16"/>
        <v>0</v>
      </c>
      <c r="F42" s="61">
        <f t="shared" si="16"/>
        <v>0</v>
      </c>
      <c r="G42" s="39">
        <f t="shared" si="16"/>
        <v>0</v>
      </c>
      <c r="H42" s="61">
        <f t="shared" si="16"/>
        <v>0</v>
      </c>
      <c r="I42" s="39">
        <f t="shared" si="16"/>
        <v>0</v>
      </c>
      <c r="J42" s="61">
        <f t="shared" si="16"/>
        <v>0</v>
      </c>
      <c r="K42" s="39">
        <f t="shared" si="16"/>
        <v>0</v>
      </c>
      <c r="L42" s="61">
        <f t="shared" si="16"/>
        <v>0</v>
      </c>
      <c r="M42" s="39">
        <f t="shared" si="16"/>
        <v>0</v>
      </c>
      <c r="N42" s="61">
        <f t="shared" ref="N42:AI42" si="17">SUM(N40:N41)</f>
        <v>0</v>
      </c>
      <c r="O42" s="39">
        <f t="shared" si="17"/>
        <v>0</v>
      </c>
      <c r="P42" s="61">
        <f>SUM(P40:P41)</f>
        <v>0</v>
      </c>
      <c r="Q42" s="39">
        <f>SUM(Q40:Q41)</f>
        <v>0</v>
      </c>
      <c r="R42" s="61">
        <f t="shared" si="17"/>
        <v>0</v>
      </c>
      <c r="S42" s="39">
        <f t="shared" si="17"/>
        <v>0</v>
      </c>
      <c r="T42" s="61">
        <f t="shared" si="17"/>
        <v>0</v>
      </c>
      <c r="U42" s="39">
        <f t="shared" si="17"/>
        <v>0</v>
      </c>
      <c r="V42" s="61">
        <f>SUM(V40:V41)</f>
        <v>0</v>
      </c>
      <c r="W42" s="39">
        <f>SUM(W40:W41)</f>
        <v>0</v>
      </c>
      <c r="X42" s="61">
        <f t="shared" si="17"/>
        <v>0</v>
      </c>
      <c r="Y42" s="39">
        <f t="shared" si="17"/>
        <v>0</v>
      </c>
      <c r="Z42" s="61">
        <f t="shared" si="17"/>
        <v>0</v>
      </c>
      <c r="AA42" s="39">
        <f t="shared" si="17"/>
        <v>0</v>
      </c>
      <c r="AB42" s="61">
        <f t="shared" ref="AB42:AG42" si="18">SUM(AB40:AB41)</f>
        <v>0</v>
      </c>
      <c r="AC42" s="39">
        <f t="shared" si="18"/>
        <v>0</v>
      </c>
      <c r="AD42" s="61">
        <f t="shared" si="18"/>
        <v>0</v>
      </c>
      <c r="AE42" s="39">
        <f t="shared" si="18"/>
        <v>0</v>
      </c>
      <c r="AF42" s="61">
        <f t="shared" si="18"/>
        <v>0</v>
      </c>
      <c r="AG42" s="39">
        <f t="shared" si="18"/>
        <v>0</v>
      </c>
      <c r="AH42" s="61">
        <f t="shared" si="17"/>
        <v>0</v>
      </c>
      <c r="AI42" s="39">
        <f t="shared" si="17"/>
        <v>0</v>
      </c>
    </row>
    <row r="43" spans="1:35" ht="21" customHeight="1" x14ac:dyDescent="0.25">
      <c r="A43" s="9"/>
      <c r="B43" s="7" t="s">
        <v>49</v>
      </c>
      <c r="C43" s="6"/>
      <c r="D43" s="61">
        <f t="shared" ref="D43:M43" si="19">D42+D39</f>
        <v>0</v>
      </c>
      <c r="E43" s="39">
        <f t="shared" si="19"/>
        <v>0</v>
      </c>
      <c r="F43" s="61">
        <f t="shared" si="19"/>
        <v>0</v>
      </c>
      <c r="G43" s="39">
        <f t="shared" si="19"/>
        <v>0</v>
      </c>
      <c r="H43" s="61">
        <f t="shared" si="19"/>
        <v>0</v>
      </c>
      <c r="I43" s="39">
        <f t="shared" si="19"/>
        <v>0</v>
      </c>
      <c r="J43" s="61">
        <f t="shared" si="19"/>
        <v>0</v>
      </c>
      <c r="K43" s="39">
        <f t="shared" si="19"/>
        <v>0</v>
      </c>
      <c r="L43" s="61">
        <f t="shared" si="19"/>
        <v>0</v>
      </c>
      <c r="M43" s="39">
        <f t="shared" si="19"/>
        <v>0</v>
      </c>
      <c r="N43" s="61">
        <f t="shared" ref="N43:AI43" si="20">N42+N39</f>
        <v>0</v>
      </c>
      <c r="O43" s="39">
        <f t="shared" si="20"/>
        <v>0</v>
      </c>
      <c r="P43" s="61">
        <f>P42+P39</f>
        <v>0</v>
      </c>
      <c r="Q43" s="39">
        <f>Q42+Q39</f>
        <v>0</v>
      </c>
      <c r="R43" s="61">
        <f t="shared" si="20"/>
        <v>0</v>
      </c>
      <c r="S43" s="39">
        <f t="shared" si="20"/>
        <v>0</v>
      </c>
      <c r="T43" s="61">
        <f t="shared" si="20"/>
        <v>0</v>
      </c>
      <c r="U43" s="39">
        <f t="shared" si="20"/>
        <v>0</v>
      </c>
      <c r="V43" s="61">
        <f>V42+V39</f>
        <v>0</v>
      </c>
      <c r="W43" s="39">
        <f>W42+W39</f>
        <v>0</v>
      </c>
      <c r="X43" s="61">
        <f t="shared" si="20"/>
        <v>0</v>
      </c>
      <c r="Y43" s="39">
        <f t="shared" si="20"/>
        <v>0</v>
      </c>
      <c r="Z43" s="61">
        <f t="shared" si="20"/>
        <v>0</v>
      </c>
      <c r="AA43" s="39">
        <f t="shared" si="20"/>
        <v>0</v>
      </c>
      <c r="AB43" s="61">
        <f t="shared" ref="AB43:AG43" si="21">AB42+AB39</f>
        <v>0</v>
      </c>
      <c r="AC43" s="39">
        <f t="shared" si="21"/>
        <v>0</v>
      </c>
      <c r="AD43" s="61">
        <f t="shared" si="21"/>
        <v>0</v>
      </c>
      <c r="AE43" s="39">
        <f t="shared" si="21"/>
        <v>0</v>
      </c>
      <c r="AF43" s="61">
        <f t="shared" si="21"/>
        <v>0</v>
      </c>
      <c r="AG43" s="39">
        <f t="shared" si="21"/>
        <v>0</v>
      </c>
      <c r="AH43" s="61">
        <f t="shared" si="20"/>
        <v>0</v>
      </c>
      <c r="AI43" s="39">
        <f t="shared" si="20"/>
        <v>0</v>
      </c>
    </row>
    <row r="44" spans="1:35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5">
      <c r="A45" s="9">
        <v>20</v>
      </c>
      <c r="B45" s="11" t="s">
        <v>50</v>
      </c>
      <c r="C45" s="6"/>
      <c r="D45" s="66">
        <f>F45+H45+J45+L45+N45+R45+T45+X45+Z45+AH45+P45+V45+AB45+AD45</f>
        <v>0</v>
      </c>
      <c r="E45" s="66">
        <f>G45+I45+K45+M45+O45+S45+U45+Y45+AA45+AI45+Q45+W45+AC45+AE45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5">
      <c r="A47" s="9">
        <v>21</v>
      </c>
      <c r="B47" s="11" t="s">
        <v>51</v>
      </c>
      <c r="C47" s="6"/>
      <c r="D47" s="66">
        <f>F47+H47+J47+L47+N47+R47+T47+X47+Z47+AH47+P47+V47+AB47+AD47</f>
        <v>0</v>
      </c>
      <c r="E47" s="66">
        <f>G47+I47+K47+M47+O47+S47+U47+Y47+AA47+AI47+Q47+W47+AC47+AE47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5">
      <c r="A49" s="9">
        <v>22</v>
      </c>
      <c r="B49" s="11" t="s">
        <v>52</v>
      </c>
      <c r="C49" s="6"/>
      <c r="D49" s="66">
        <f>F49+H49+J49+L49+N49+R49+T49+X49+Z49+AH49+P49+V49+AB49+AD49</f>
        <v>0</v>
      </c>
      <c r="E49" s="66">
        <f>G49+I49+K49+M49+O49+S49+U49+Y49+AA49+AI49+Q49+W49+AC49+AE49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5">
      <c r="A51" s="9">
        <v>23</v>
      </c>
      <c r="B51" s="11" t="s">
        <v>53</v>
      </c>
      <c r="C51" s="6"/>
      <c r="D51" s="66">
        <f>F51+H51+J51+L51+N51+R51+T51+X51+Z51+AH51+P51+V51+AB51+AD51</f>
        <v>0</v>
      </c>
      <c r="E51" s="66">
        <f>G51+I51+K51+M51+O51+S51+U51+Y51+AA51+AI51+Q51+W51+AC51+AE51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5">
      <c r="A54" s="9">
        <v>24</v>
      </c>
      <c r="B54" s="7"/>
      <c r="C54" s="18" t="s">
        <v>55</v>
      </c>
      <c r="D54" s="66">
        <f>F54+H54+J54+L54+N54+R54+T54+X54+Z54+AH54+P54+V54+AB54+AD54</f>
        <v>0</v>
      </c>
      <c r="E54" s="66">
        <f>G54+I54+K54+M54+O54+S54+U54+Y54+AA54+AI54+Q54+W54+AC54+AE54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5">
      <c r="A55" s="9">
        <v>25</v>
      </c>
      <c r="B55" s="7"/>
      <c r="C55" s="18" t="s">
        <v>56</v>
      </c>
      <c r="D55" s="66">
        <f>F55+H55+J55+L55+N55+R55+T55+X55+Z55+AH55+P55+V55+AB55+AD55</f>
        <v>0</v>
      </c>
      <c r="E55" s="66">
        <f>G55+I55+K55+M55+O55+S55+U55+Y55+AA55+AI55+Q55+W55+AC55+AE55</f>
        <v>0</v>
      </c>
      <c r="F55" s="60"/>
      <c r="G55" s="38">
        <v>0</v>
      </c>
      <c r="H55" s="60"/>
      <c r="I55" s="38">
        <v>0</v>
      </c>
      <c r="J55" s="60"/>
      <c r="K55" s="38"/>
      <c r="L55" s="60"/>
      <c r="M55" s="38"/>
      <c r="N55" s="60"/>
      <c r="O55" s="38">
        <v>0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/>
      <c r="AH55" s="60"/>
      <c r="AI55" s="38"/>
    </row>
    <row r="56" spans="1:35" x14ac:dyDescent="0.25">
      <c r="A56" s="9"/>
      <c r="B56" s="7" t="s">
        <v>57</v>
      </c>
      <c r="C56" s="6"/>
      <c r="D56" s="61">
        <f t="shared" ref="D56:M56" si="22">SUM(D54:D55)</f>
        <v>0</v>
      </c>
      <c r="E56" s="39">
        <f t="shared" si="22"/>
        <v>0</v>
      </c>
      <c r="F56" s="61">
        <f t="shared" si="22"/>
        <v>0</v>
      </c>
      <c r="G56" s="39">
        <f t="shared" si="22"/>
        <v>0</v>
      </c>
      <c r="H56" s="61">
        <f t="shared" si="22"/>
        <v>0</v>
      </c>
      <c r="I56" s="39">
        <f t="shared" si="22"/>
        <v>0</v>
      </c>
      <c r="J56" s="61">
        <f t="shared" si="22"/>
        <v>0</v>
      </c>
      <c r="K56" s="39">
        <f t="shared" si="22"/>
        <v>0</v>
      </c>
      <c r="L56" s="61">
        <f t="shared" si="22"/>
        <v>0</v>
      </c>
      <c r="M56" s="39">
        <f t="shared" si="22"/>
        <v>0</v>
      </c>
      <c r="N56" s="61">
        <f t="shared" ref="N56:AI56" si="23">SUM(N54:N55)</f>
        <v>0</v>
      </c>
      <c r="O56" s="39">
        <f t="shared" si="23"/>
        <v>0</v>
      </c>
      <c r="P56" s="61">
        <f>SUM(P54:P55)</f>
        <v>0</v>
      </c>
      <c r="Q56" s="39">
        <f>SUM(Q54:Q55)</f>
        <v>0</v>
      </c>
      <c r="R56" s="61">
        <f t="shared" si="23"/>
        <v>0</v>
      </c>
      <c r="S56" s="39">
        <f t="shared" si="23"/>
        <v>0</v>
      </c>
      <c r="T56" s="61">
        <f t="shared" si="23"/>
        <v>0</v>
      </c>
      <c r="U56" s="39">
        <f t="shared" si="23"/>
        <v>0</v>
      </c>
      <c r="V56" s="61">
        <f>SUM(V54:V55)</f>
        <v>0</v>
      </c>
      <c r="W56" s="39">
        <f>SUM(W54:W55)</f>
        <v>0</v>
      </c>
      <c r="X56" s="61">
        <f t="shared" si="23"/>
        <v>0</v>
      </c>
      <c r="Y56" s="39">
        <f t="shared" si="23"/>
        <v>0</v>
      </c>
      <c r="Z56" s="61">
        <f t="shared" si="23"/>
        <v>0</v>
      </c>
      <c r="AA56" s="39">
        <f t="shared" si="23"/>
        <v>0</v>
      </c>
      <c r="AB56" s="61">
        <f t="shared" ref="AB56:AG56" si="24">SUM(AB54:AB55)</f>
        <v>0</v>
      </c>
      <c r="AC56" s="39">
        <f t="shared" si="24"/>
        <v>0</v>
      </c>
      <c r="AD56" s="61">
        <f t="shared" si="24"/>
        <v>0</v>
      </c>
      <c r="AE56" s="39">
        <f t="shared" si="24"/>
        <v>0</v>
      </c>
      <c r="AF56" s="61">
        <f t="shared" si="24"/>
        <v>0</v>
      </c>
      <c r="AG56" s="39">
        <f t="shared" si="24"/>
        <v>0</v>
      </c>
      <c r="AH56" s="61">
        <f t="shared" si="23"/>
        <v>0</v>
      </c>
      <c r="AI56" s="39">
        <f t="shared" si="23"/>
        <v>0</v>
      </c>
    </row>
    <row r="57" spans="1:3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5">
      <c r="A59" s="9">
        <v>26</v>
      </c>
      <c r="B59" s="11"/>
      <c r="C59" s="18" t="s">
        <v>59</v>
      </c>
      <c r="D59" s="66">
        <f>F59+H59+J59+L59+N59+R59+T59+X59+Z59+AH59+P59+V59+AB59+AD59</f>
        <v>0</v>
      </c>
      <c r="E59" s="66">
        <f>G59+I59+K59+M59+O59+S59+U59+Y59+AA59+AI59+Q59+W59+AC59+AE59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</row>
    <row r="60" spans="1:35" x14ac:dyDescent="0.25">
      <c r="A60" s="9">
        <v>27</v>
      </c>
      <c r="B60" s="11"/>
      <c r="C60" s="18" t="s">
        <v>60</v>
      </c>
      <c r="D60" s="66">
        <f>F60+H60+J60+L60+N60+R60+T60+X60+Z60+AH60+P60+V60+AB60+AD60</f>
        <v>0</v>
      </c>
      <c r="E60" s="66">
        <f>G60+I60+K60+M60+O60+S60+U60+Y60+AA60+AI60+Q60+W60+AC60+AE60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</row>
    <row r="61" spans="1:35" x14ac:dyDescent="0.25">
      <c r="A61" s="9"/>
      <c r="B61" s="62" t="s">
        <v>61</v>
      </c>
      <c r="C61" s="6"/>
      <c r="D61" s="61">
        <f t="shared" ref="D61:M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si="25"/>
        <v>0</v>
      </c>
      <c r="K61" s="39">
        <f t="shared" si="25"/>
        <v>0</v>
      </c>
      <c r="L61" s="61">
        <f t="shared" si="25"/>
        <v>0</v>
      </c>
      <c r="M61" s="39">
        <f t="shared" si="25"/>
        <v>0</v>
      </c>
      <c r="N61" s="61">
        <f t="shared" ref="N61:AI61" si="26">SUM(N59:N60)</f>
        <v>0</v>
      </c>
      <c r="O61" s="39">
        <f t="shared" si="26"/>
        <v>0</v>
      </c>
      <c r="P61" s="61">
        <f>SUM(P59:P60)</f>
        <v>0</v>
      </c>
      <c r="Q61" s="39">
        <f>SUM(Q59:Q60)</f>
        <v>0</v>
      </c>
      <c r="R61" s="61">
        <f t="shared" si="26"/>
        <v>0</v>
      </c>
      <c r="S61" s="39">
        <f t="shared" si="26"/>
        <v>0</v>
      </c>
      <c r="T61" s="61">
        <f t="shared" si="26"/>
        <v>0</v>
      </c>
      <c r="U61" s="39">
        <f t="shared" si="26"/>
        <v>0</v>
      </c>
      <c r="V61" s="61">
        <f>SUM(V59:V60)</f>
        <v>0</v>
      </c>
      <c r="W61" s="39">
        <f>SUM(W59:W60)</f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ref="AB61:AG61" si="27">SUM(AB59:AB60)</f>
        <v>0</v>
      </c>
      <c r="AC61" s="39">
        <f t="shared" si="27"/>
        <v>0</v>
      </c>
      <c r="AD61" s="61">
        <f t="shared" si="27"/>
        <v>0</v>
      </c>
      <c r="AE61" s="39">
        <f t="shared" si="27"/>
        <v>0</v>
      </c>
      <c r="AF61" s="61">
        <f t="shared" si="27"/>
        <v>0</v>
      </c>
      <c r="AG61" s="39">
        <f t="shared" si="27"/>
        <v>0</v>
      </c>
      <c r="AH61" s="61">
        <f t="shared" si="26"/>
        <v>0</v>
      </c>
      <c r="AI61" s="39">
        <f t="shared" si="26"/>
        <v>0</v>
      </c>
    </row>
    <row r="62" spans="1:35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5">
      <c r="A64" s="9">
        <v>28</v>
      </c>
      <c r="B64" s="7"/>
      <c r="C64" s="18" t="s">
        <v>62</v>
      </c>
      <c r="D64" s="66">
        <f>F64+H64+J64+L64+N64+R64+T64+X64+Z64+AH64+P64+V64+AB64+AD64</f>
        <v>0</v>
      </c>
      <c r="E64" s="66">
        <f>G64+I64+K64+M64+O64+S64+U64+Y64+AA64+AI64+Q64+W64+AC64+AE64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5">
      <c r="A65" s="9">
        <v>29</v>
      </c>
      <c r="B65" s="11"/>
      <c r="C65" s="18" t="s">
        <v>63</v>
      </c>
      <c r="D65" s="66">
        <f>F65+H65+J65+L65+N65+R65+T65+X65+Z65+AH65+P65+V65+AB65+AD65</f>
        <v>0</v>
      </c>
      <c r="E65" s="66">
        <f>G65+I65+K65+M65+O65+S65+U65+Y65+AA65+AI65+Q65+W65+AC65+AE65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</row>
    <row r="66" spans="1:35" x14ac:dyDescent="0.25">
      <c r="A66" s="9"/>
      <c r="B66" s="7" t="s">
        <v>64</v>
      </c>
      <c r="C66" s="6"/>
      <c r="D66" s="61">
        <f t="shared" ref="D66:M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si="28"/>
        <v>0</v>
      </c>
      <c r="K66" s="39">
        <f t="shared" si="28"/>
        <v>0</v>
      </c>
      <c r="L66" s="61">
        <f t="shared" si="28"/>
        <v>0</v>
      </c>
      <c r="M66" s="39">
        <f t="shared" si="28"/>
        <v>0</v>
      </c>
      <c r="N66" s="61">
        <f t="shared" ref="N66:AI66" si="29">SUM(N64:N65)</f>
        <v>0</v>
      </c>
      <c r="O66" s="39">
        <f t="shared" si="29"/>
        <v>0</v>
      </c>
      <c r="P66" s="61">
        <f>SUM(P64:P65)</f>
        <v>0</v>
      </c>
      <c r="Q66" s="39">
        <f>SUM(Q64:Q65)</f>
        <v>0</v>
      </c>
      <c r="R66" s="61">
        <f t="shared" si="29"/>
        <v>0</v>
      </c>
      <c r="S66" s="39">
        <f t="shared" si="29"/>
        <v>0</v>
      </c>
      <c r="T66" s="61">
        <f t="shared" si="29"/>
        <v>0</v>
      </c>
      <c r="U66" s="39">
        <f t="shared" si="29"/>
        <v>0</v>
      </c>
      <c r="V66" s="61">
        <f>SUM(V64:V65)</f>
        <v>0</v>
      </c>
      <c r="W66" s="39">
        <f>SUM(W64:W65)</f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ref="AB66:AG66" si="30">SUM(AB64:AB65)</f>
        <v>0</v>
      </c>
      <c r="AC66" s="39">
        <f t="shared" si="30"/>
        <v>0</v>
      </c>
      <c r="AD66" s="61">
        <f t="shared" si="30"/>
        <v>0</v>
      </c>
      <c r="AE66" s="39">
        <f t="shared" si="30"/>
        <v>0</v>
      </c>
      <c r="AF66" s="61">
        <f t="shared" si="30"/>
        <v>0</v>
      </c>
      <c r="AG66" s="39">
        <f t="shared" si="30"/>
        <v>0</v>
      </c>
      <c r="AH66" s="61">
        <f t="shared" si="29"/>
        <v>0</v>
      </c>
      <c r="AI66" s="39">
        <f t="shared" si="29"/>
        <v>0</v>
      </c>
    </row>
    <row r="67" spans="1:35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5">
      <c r="A70" s="9">
        <v>30</v>
      </c>
      <c r="B70" s="3"/>
      <c r="C70" s="10" t="s">
        <v>67</v>
      </c>
      <c r="D70" s="66">
        <f>F70+H70+J70+L70+N70+R70+T70+X70+Z70+AH70+P70+V70+AB70+AD70</f>
        <v>0</v>
      </c>
      <c r="E70" s="66">
        <f>G70+I70+K70+M70+O70+S70+U70+Y70+AA70+AI70+Q70+W70+AC70+AE70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  <c r="AH70" s="60"/>
      <c r="AI70" s="38"/>
    </row>
    <row r="71" spans="1:35" x14ac:dyDescent="0.25">
      <c r="A71" s="9">
        <v>31</v>
      </c>
      <c r="B71" s="3"/>
      <c r="C71" s="10" t="s">
        <v>68</v>
      </c>
      <c r="D71" s="66">
        <f>F71+H71+J71+L71+N71+R71+T71+X71+Z71+AH71+P71+V71+AB71+AD71</f>
        <v>0</v>
      </c>
      <c r="E71" s="66">
        <f>G71+I71+K71+M71+O71+S71+U71+Y71+AA71+AI71+Q71+W71+AC71+AE71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</row>
    <row r="72" spans="1:35" x14ac:dyDescent="0.25">
      <c r="A72" s="9"/>
      <c r="B72" s="3"/>
      <c r="C72" s="55" t="s">
        <v>69</v>
      </c>
      <c r="D72" s="61">
        <f t="shared" ref="D72:M72" si="31">SUM(D70:D71)</f>
        <v>0</v>
      </c>
      <c r="E72" s="39">
        <f t="shared" si="31"/>
        <v>0</v>
      </c>
      <c r="F72" s="61">
        <f t="shared" si="31"/>
        <v>0</v>
      </c>
      <c r="G72" s="39">
        <f t="shared" si="31"/>
        <v>0</v>
      </c>
      <c r="H72" s="61">
        <f t="shared" si="31"/>
        <v>0</v>
      </c>
      <c r="I72" s="39">
        <f t="shared" si="31"/>
        <v>0</v>
      </c>
      <c r="J72" s="61">
        <f t="shared" si="31"/>
        <v>0</v>
      </c>
      <c r="K72" s="39">
        <f t="shared" si="31"/>
        <v>0</v>
      </c>
      <c r="L72" s="61">
        <f t="shared" si="31"/>
        <v>0</v>
      </c>
      <c r="M72" s="39">
        <f t="shared" si="31"/>
        <v>0</v>
      </c>
      <c r="N72" s="61">
        <f t="shared" ref="N72:AI72" si="32">SUM(N70:N71)</f>
        <v>0</v>
      </c>
      <c r="O72" s="39">
        <f t="shared" si="32"/>
        <v>0</v>
      </c>
      <c r="P72" s="61">
        <f>SUM(P70:P71)</f>
        <v>0</v>
      </c>
      <c r="Q72" s="39">
        <f>SUM(Q70:Q71)</f>
        <v>0</v>
      </c>
      <c r="R72" s="61">
        <f t="shared" si="32"/>
        <v>0</v>
      </c>
      <c r="S72" s="39">
        <f t="shared" si="32"/>
        <v>0</v>
      </c>
      <c r="T72" s="61">
        <f t="shared" si="32"/>
        <v>0</v>
      </c>
      <c r="U72" s="39">
        <f t="shared" si="32"/>
        <v>0</v>
      </c>
      <c r="V72" s="61">
        <f>SUM(V70:V71)</f>
        <v>0</v>
      </c>
      <c r="W72" s="39">
        <f>SUM(W70:W71)</f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ref="AB72:AG72" si="33">SUM(AB70:AB71)</f>
        <v>0</v>
      </c>
      <c r="AC72" s="39">
        <f t="shared" si="33"/>
        <v>0</v>
      </c>
      <c r="AD72" s="61">
        <f t="shared" si="33"/>
        <v>0</v>
      </c>
      <c r="AE72" s="39">
        <f t="shared" si="33"/>
        <v>0</v>
      </c>
      <c r="AF72" s="61">
        <f t="shared" si="33"/>
        <v>0</v>
      </c>
      <c r="AG72" s="39">
        <f t="shared" si="33"/>
        <v>0</v>
      </c>
      <c r="AH72" s="61">
        <f t="shared" si="32"/>
        <v>0</v>
      </c>
      <c r="AI72" s="39">
        <f t="shared" si="32"/>
        <v>0</v>
      </c>
    </row>
    <row r="73" spans="1:35" x14ac:dyDescent="0.25">
      <c r="A73" s="9">
        <v>32</v>
      </c>
      <c r="B73" s="3"/>
      <c r="C73" s="10" t="s">
        <v>70</v>
      </c>
      <c r="D73" s="66">
        <f t="shared" ref="D73:D81" si="34">F73+H73+J73+L73+N73+R73+T73+X73+Z73+AH73+P73+V73+AB73+AD73</f>
        <v>0</v>
      </c>
      <c r="E73" s="66">
        <f t="shared" ref="E73:E81" si="35">G73+I73+K73+M73+O73+S73+U73+Y73+AA73+AI73+Q73+W73+AC73+AE73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</row>
    <row r="74" spans="1:35" x14ac:dyDescent="0.25">
      <c r="A74" s="9">
        <v>33</v>
      </c>
      <c r="B74" s="3"/>
      <c r="C74" s="10" t="s">
        <v>71</v>
      </c>
      <c r="D74" s="66">
        <f t="shared" si="34"/>
        <v>0</v>
      </c>
      <c r="E74" s="66">
        <f t="shared" si="35"/>
        <v>0</v>
      </c>
      <c r="F74" s="60"/>
      <c r="G74" s="38"/>
      <c r="H74" s="60"/>
      <c r="I74" s="38"/>
      <c r="J74" s="60"/>
      <c r="K74" s="38"/>
      <c r="L74" s="60"/>
      <c r="M74" s="38"/>
      <c r="N74" s="60"/>
      <c r="O74" s="38"/>
      <c r="P74" s="60"/>
      <c r="Q74" s="38"/>
      <c r="R74" s="60"/>
      <c r="S74" s="38"/>
      <c r="T74" s="60"/>
      <c r="U74" s="38">
        <v>0</v>
      </c>
      <c r="V74" s="60"/>
      <c r="W74" s="38"/>
      <c r="X74" s="60"/>
      <c r="Y74" s="38"/>
      <c r="Z74" s="60"/>
      <c r="AA74" s="38">
        <v>0</v>
      </c>
      <c r="AB74" s="60"/>
      <c r="AC74" s="38">
        <v>0</v>
      </c>
      <c r="AD74" s="60"/>
      <c r="AE74" s="38">
        <v>0</v>
      </c>
      <c r="AF74" s="60"/>
      <c r="AG74" s="38">
        <v>0</v>
      </c>
      <c r="AH74" s="60"/>
      <c r="AI74" s="38">
        <v>0</v>
      </c>
    </row>
    <row r="75" spans="1:35" x14ac:dyDescent="0.25">
      <c r="A75" s="9">
        <v>34</v>
      </c>
      <c r="B75" s="3"/>
      <c r="C75" s="10" t="s">
        <v>72</v>
      </c>
      <c r="D75" s="66">
        <f t="shared" si="34"/>
        <v>0</v>
      </c>
      <c r="E75" s="66">
        <f t="shared" si="3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</row>
    <row r="76" spans="1:35" x14ac:dyDescent="0.25">
      <c r="A76" s="9">
        <v>35</v>
      </c>
      <c r="B76" s="3"/>
      <c r="C76" s="10" t="s">
        <v>73</v>
      </c>
      <c r="D76" s="66">
        <f t="shared" si="34"/>
        <v>0</v>
      </c>
      <c r="E76" s="66">
        <f t="shared" si="3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</row>
    <row r="77" spans="1:35" x14ac:dyDescent="0.25">
      <c r="A77" s="9">
        <v>36</v>
      </c>
      <c r="B77" s="3"/>
      <c r="C77" s="10" t="s">
        <v>74</v>
      </c>
      <c r="D77" s="66">
        <f t="shared" si="34"/>
        <v>0</v>
      </c>
      <c r="E77" s="66">
        <f t="shared" si="35"/>
        <v>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  <c r="AH77" s="60"/>
      <c r="AI77" s="38"/>
    </row>
    <row r="78" spans="1:35" x14ac:dyDescent="0.25">
      <c r="A78" s="9">
        <v>37</v>
      </c>
      <c r="B78" s="3"/>
      <c r="C78" s="10" t="s">
        <v>75</v>
      </c>
      <c r="D78" s="66">
        <f t="shared" si="34"/>
        <v>0</v>
      </c>
      <c r="E78" s="66">
        <f t="shared" si="3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</row>
    <row r="79" spans="1:35" x14ac:dyDescent="0.25">
      <c r="A79" s="9">
        <v>38</v>
      </c>
      <c r="B79" s="3"/>
      <c r="C79" s="10" t="s">
        <v>76</v>
      </c>
      <c r="D79" s="66">
        <f t="shared" si="34"/>
        <v>0</v>
      </c>
      <c r="E79" s="66">
        <f t="shared" si="3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</row>
    <row r="80" spans="1:35" x14ac:dyDescent="0.25">
      <c r="A80" s="9">
        <v>39</v>
      </c>
      <c r="B80" s="3"/>
      <c r="C80" s="10" t="s">
        <v>77</v>
      </c>
      <c r="D80" s="66">
        <f t="shared" si="34"/>
        <v>0</v>
      </c>
      <c r="E80" s="66">
        <f t="shared" si="3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</row>
    <row r="81" spans="1:36" x14ac:dyDescent="0.25">
      <c r="A81" s="9">
        <v>40</v>
      </c>
      <c r="B81" s="3"/>
      <c r="C81" s="10" t="s">
        <v>78</v>
      </c>
      <c r="D81" s="66">
        <f t="shared" si="34"/>
        <v>0</v>
      </c>
      <c r="E81" s="66">
        <f t="shared" si="3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  <c r="AH81" s="60"/>
      <c r="AI81" s="38"/>
    </row>
    <row r="82" spans="1:36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6"/>
    </row>
    <row r="83" spans="1:36" ht="13.8" thickTop="1" x14ac:dyDescent="0.25">
      <c r="A83" s="4" t="s">
        <v>2</v>
      </c>
      <c r="B83" s="3"/>
    </row>
    <row r="84" spans="1:36" x14ac:dyDescent="0.25">
      <c r="A84" s="4"/>
      <c r="B84" s="3"/>
      <c r="M84" s="45"/>
    </row>
    <row r="85" spans="1:36" x14ac:dyDescent="0.25">
      <c r="A85" s="4"/>
      <c r="B85" s="3"/>
      <c r="U85" s="45"/>
      <c r="W85" s="45"/>
    </row>
    <row r="86" spans="1:36" x14ac:dyDescent="0.25">
      <c r="A86" s="4"/>
      <c r="B86" s="3"/>
    </row>
    <row r="87" spans="1:36" x14ac:dyDescent="0.25">
      <c r="A87" s="4"/>
      <c r="B87" s="3"/>
    </row>
    <row r="88" spans="1:36" x14ac:dyDescent="0.25">
      <c r="A88" s="4"/>
      <c r="B88" s="3"/>
    </row>
    <row r="89" spans="1:36" x14ac:dyDescent="0.25">
      <c r="A89" s="4"/>
      <c r="B89" s="3"/>
    </row>
    <row r="90" spans="1:36" x14ac:dyDescent="0.25">
      <c r="A90" s="4"/>
      <c r="B90" s="3"/>
    </row>
    <row r="91" spans="1:36" x14ac:dyDescent="0.25">
      <c r="A91" s="4"/>
      <c r="B91" s="3"/>
    </row>
    <row r="92" spans="1:36" x14ac:dyDescent="0.25">
      <c r="A92" s="4"/>
      <c r="B92" s="3"/>
    </row>
    <row r="93" spans="1:36" x14ac:dyDescent="0.25">
      <c r="A93" s="4"/>
      <c r="B93" s="3"/>
    </row>
    <row r="94" spans="1:36" x14ac:dyDescent="0.25">
      <c r="A94" s="4"/>
      <c r="B94" s="3"/>
    </row>
    <row r="95" spans="1:36" x14ac:dyDescent="0.25">
      <c r="A95" s="4"/>
      <c r="B95" s="3"/>
    </row>
    <row r="96" spans="1:36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J187"/>
  <sheetViews>
    <sheetView zoomScale="75" workbookViewId="0">
      <pane xSplit="3" ySplit="9" topLeftCell="O69" activePane="bottomRight" state="frozen"/>
      <selection pane="topRight"/>
      <selection pane="bottomLeft"/>
      <selection pane="bottomRight" activeCell="Z75" sqref="Z75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4" width="15" style="31" customWidth="1"/>
    <col min="5" max="5" width="16.109375" style="171" bestFit="1" customWidth="1"/>
    <col min="6" max="10" width="15" customWidth="1"/>
    <col min="11" max="11" width="16.109375" bestFit="1" customWidth="1"/>
    <col min="12" max="35" width="15" customWidth="1"/>
  </cols>
  <sheetData>
    <row r="1" spans="1:35" x14ac:dyDescent="0.25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5">
      <c r="A2" s="47" t="s">
        <v>83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5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5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5">
      <c r="A5" s="48" t="str">
        <f>Check!A5</f>
        <v>PRODUCTION MONTH: 0006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5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5" x14ac:dyDescent="0.25">
      <c r="A7" s="4"/>
      <c r="B7" s="19"/>
      <c r="C7" s="19"/>
    </row>
    <row r="8" spans="1:35" x14ac:dyDescent="0.25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185</v>
      </c>
      <c r="I8" s="27"/>
      <c r="J8" s="26" t="s">
        <v>14</v>
      </c>
      <c r="K8" s="27"/>
      <c r="L8" s="26" t="s">
        <v>15</v>
      </c>
      <c r="M8" s="27"/>
      <c r="N8" s="26" t="s">
        <v>213</v>
      </c>
      <c r="O8" s="27"/>
      <c r="P8" s="26" t="s">
        <v>17</v>
      </c>
      <c r="Q8" s="27"/>
      <c r="R8" s="26" t="s">
        <v>195</v>
      </c>
      <c r="S8" s="27"/>
      <c r="T8" s="26" t="s">
        <v>178</v>
      </c>
      <c r="U8" s="27"/>
      <c r="V8" s="26" t="s">
        <v>16</v>
      </c>
      <c r="W8" s="27"/>
      <c r="X8" s="26" t="s">
        <v>179</v>
      </c>
      <c r="Y8" s="27"/>
      <c r="Z8" s="26" t="s">
        <v>18</v>
      </c>
      <c r="AA8" s="27"/>
      <c r="AB8" s="26" t="s">
        <v>154</v>
      </c>
      <c r="AC8" s="27"/>
      <c r="AD8" s="26" t="s">
        <v>191</v>
      </c>
      <c r="AE8" s="27"/>
      <c r="AF8" s="26" t="s">
        <v>223</v>
      </c>
      <c r="AG8" s="27"/>
      <c r="AH8" s="26" t="s">
        <v>111</v>
      </c>
      <c r="AI8" s="27"/>
    </row>
    <row r="9" spans="1:35" s="80" customFormat="1" x14ac:dyDescent="0.25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5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5">
      <c r="A11" s="9">
        <v>1</v>
      </c>
      <c r="B11" s="7"/>
      <c r="C11" s="18" t="s">
        <v>25</v>
      </c>
      <c r="D11" s="60">
        <f t="shared" ref="D11:E15" si="0">F11+J11+L11+N11+P11+T11+V11+Z11+AB11+AH11+X11+H11+AD11+R11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</row>
    <row r="12" spans="1:35" x14ac:dyDescent="0.25">
      <c r="A12" s="9">
        <v>2</v>
      </c>
      <c r="B12" s="7"/>
      <c r="C12" s="18" t="s">
        <v>26</v>
      </c>
      <c r="D12" s="60">
        <f t="shared" si="0"/>
        <v>0</v>
      </c>
      <c r="E12" s="123">
        <f t="shared" si="0"/>
        <v>91037893.50999999</v>
      </c>
      <c r="F12" s="65"/>
      <c r="G12" s="38">
        <v>18211927.449999999</v>
      </c>
      <c r="H12" s="65"/>
      <c r="I12" s="38">
        <v>187937.25</v>
      </c>
      <c r="J12" s="65">
        <v>0</v>
      </c>
      <c r="K12" s="38">
        <v>20325826.789999999</v>
      </c>
      <c r="L12" s="65"/>
      <c r="M12" s="38">
        <v>-33856.559999999998</v>
      </c>
      <c r="N12" s="65"/>
      <c r="O12" s="38">
        <v>6357504.1299999999</v>
      </c>
      <c r="P12" s="65"/>
      <c r="Q12" s="38">
        <v>12008786.130000001</v>
      </c>
      <c r="R12" s="65"/>
      <c r="S12" s="38">
        <v>-29120.93</v>
      </c>
      <c r="T12" s="65"/>
      <c r="U12" s="38">
        <v>-1728</v>
      </c>
      <c r="V12" s="65"/>
      <c r="W12" s="38">
        <v>3737063.63</v>
      </c>
      <c r="X12" s="65">
        <v>0</v>
      </c>
      <c r="Y12" s="38">
        <v>2725515.13</v>
      </c>
      <c r="Z12" s="65"/>
      <c r="AA12" s="38">
        <v>0</v>
      </c>
      <c r="AB12" s="65">
        <v>0</v>
      </c>
      <c r="AC12" s="38">
        <v>28127838.59</v>
      </c>
      <c r="AD12" s="65"/>
      <c r="AE12" s="38">
        <v>-579800.1</v>
      </c>
      <c r="AF12" s="65"/>
      <c r="AG12" s="38">
        <v>0</v>
      </c>
      <c r="AH12" s="65"/>
      <c r="AI12" s="38">
        <v>0</v>
      </c>
    </row>
    <row r="13" spans="1:35" x14ac:dyDescent="0.25">
      <c r="A13" s="9">
        <v>3</v>
      </c>
      <c r="B13" s="7"/>
      <c r="C13" s="18" t="s">
        <v>214</v>
      </c>
      <c r="D13" s="60">
        <f t="shared" si="0"/>
        <v>0</v>
      </c>
      <c r="E13" s="123">
        <f t="shared" si="0"/>
        <v>1051530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>
        <f>114390314-113338784</f>
        <v>1051530</v>
      </c>
      <c r="AB13" s="60"/>
      <c r="AC13" s="38"/>
      <c r="AD13" s="60"/>
      <c r="AE13" s="38"/>
      <c r="AF13" s="60"/>
      <c r="AG13" s="38"/>
      <c r="AH13" s="60"/>
      <c r="AI13" s="38"/>
    </row>
    <row r="14" spans="1:35" x14ac:dyDescent="0.25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5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</row>
    <row r="16" spans="1:35" x14ac:dyDescent="0.25">
      <c r="A16" s="9"/>
      <c r="B16" s="7" t="s">
        <v>30</v>
      </c>
      <c r="C16" s="6"/>
      <c r="D16" s="61">
        <f t="shared" ref="D16:AI16" si="1">SUM(D11:D15)</f>
        <v>0</v>
      </c>
      <c r="E16" s="175">
        <f t="shared" si="1"/>
        <v>92089423.50999999</v>
      </c>
      <c r="F16" s="61">
        <f t="shared" si="1"/>
        <v>0</v>
      </c>
      <c r="G16" s="39">
        <f t="shared" si="1"/>
        <v>18211927.449999999</v>
      </c>
      <c r="H16" s="61">
        <f>SUM(H11:H15)</f>
        <v>0</v>
      </c>
      <c r="I16" s="39">
        <f>SUM(I11:I15)</f>
        <v>187937.25</v>
      </c>
      <c r="J16" s="61">
        <f t="shared" si="1"/>
        <v>0</v>
      </c>
      <c r="K16" s="39">
        <f t="shared" si="1"/>
        <v>20325826.789999999</v>
      </c>
      <c r="L16" s="61">
        <f t="shared" si="1"/>
        <v>0</v>
      </c>
      <c r="M16" s="39">
        <f t="shared" si="1"/>
        <v>-33856.559999999998</v>
      </c>
      <c r="N16" s="61">
        <f t="shared" si="1"/>
        <v>0</v>
      </c>
      <c r="O16" s="39">
        <f t="shared" si="1"/>
        <v>6357504.1299999999</v>
      </c>
      <c r="P16" s="61">
        <f t="shared" si="1"/>
        <v>0</v>
      </c>
      <c r="Q16" s="39">
        <f t="shared" si="1"/>
        <v>12008786.130000001</v>
      </c>
      <c r="R16" s="61">
        <f>SUM(R11:R15)</f>
        <v>0</v>
      </c>
      <c r="S16" s="39">
        <f>SUM(S11:S15)</f>
        <v>-29120.93</v>
      </c>
      <c r="T16" s="61">
        <f t="shared" si="1"/>
        <v>0</v>
      </c>
      <c r="U16" s="39">
        <f t="shared" si="1"/>
        <v>-1728</v>
      </c>
      <c r="V16" s="61">
        <f t="shared" si="1"/>
        <v>0</v>
      </c>
      <c r="W16" s="39">
        <f t="shared" si="1"/>
        <v>3737063.63</v>
      </c>
      <c r="X16" s="61">
        <f>SUM(X11:X15)</f>
        <v>0</v>
      </c>
      <c r="Y16" s="39">
        <f>SUM(Y11:Y15)</f>
        <v>2725515.13</v>
      </c>
      <c r="Z16" s="61">
        <f t="shared" si="1"/>
        <v>0</v>
      </c>
      <c r="AA16" s="39">
        <f t="shared" si="1"/>
        <v>1051530</v>
      </c>
      <c r="AB16" s="61">
        <f t="shared" si="1"/>
        <v>0</v>
      </c>
      <c r="AC16" s="39">
        <f t="shared" si="1"/>
        <v>28127838.59</v>
      </c>
      <c r="AD16" s="61">
        <f>SUM(AD11:AD15)</f>
        <v>0</v>
      </c>
      <c r="AE16" s="39">
        <f>SUM(AE11:AE15)</f>
        <v>-579800.1</v>
      </c>
      <c r="AF16" s="61">
        <f>SUM(AF11:AF15)</f>
        <v>0</v>
      </c>
      <c r="AG16" s="39">
        <f>SUM(AG11:AG15)</f>
        <v>0</v>
      </c>
      <c r="AH16" s="61">
        <f t="shared" si="1"/>
        <v>0</v>
      </c>
      <c r="AI16" s="39">
        <f t="shared" si="1"/>
        <v>0</v>
      </c>
    </row>
    <row r="17" spans="1:35" x14ac:dyDescent="0.25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5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5">
      <c r="A19" s="9">
        <v>6</v>
      </c>
      <c r="B19" s="7"/>
      <c r="C19" s="18" t="s">
        <v>25</v>
      </c>
      <c r="D19" s="60">
        <f t="shared" ref="D19:E23" si="2">F19+J19+L19+N19+P19+T19+V19+Z19+AB19+AH19+X19+H19+AD19+R19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</row>
    <row r="20" spans="1:35" x14ac:dyDescent="0.25">
      <c r="A20" s="9">
        <v>7</v>
      </c>
      <c r="B20" s="7"/>
      <c r="C20" s="18" t="s">
        <v>26</v>
      </c>
      <c r="D20" s="60">
        <f t="shared" si="2"/>
        <v>0</v>
      </c>
      <c r="E20" s="123">
        <f t="shared" si="2"/>
        <v>-112723628.88000001</v>
      </c>
      <c r="F20" s="65"/>
      <c r="G20" s="38">
        <v>-22685097.91</v>
      </c>
      <c r="H20" s="65"/>
      <c r="I20" s="38">
        <v>147145.57999999999</v>
      </c>
      <c r="J20" s="65"/>
      <c r="K20" s="38">
        <v>-31658710.870000001</v>
      </c>
      <c r="L20" s="65"/>
      <c r="M20" s="38">
        <v>0</v>
      </c>
      <c r="N20" s="65"/>
      <c r="O20" s="38">
        <v>-4717257.74</v>
      </c>
      <c r="P20" s="65"/>
      <c r="Q20" s="38">
        <v>-16419350.630000001</v>
      </c>
      <c r="R20" s="65"/>
      <c r="S20" s="38">
        <v>282068.21999999997</v>
      </c>
      <c r="T20" s="65"/>
      <c r="U20" s="38">
        <v>0</v>
      </c>
      <c r="V20" s="65">
        <v>0</v>
      </c>
      <c r="W20" s="38">
        <v>120337.63</v>
      </c>
      <c r="X20" s="65"/>
      <c r="Y20" s="38">
        <v>-9988575.4499999993</v>
      </c>
      <c r="Z20" s="65"/>
      <c r="AA20" s="38">
        <v>0</v>
      </c>
      <c r="AB20" s="65">
        <v>0</v>
      </c>
      <c r="AC20" s="38">
        <v>-27465157.539999999</v>
      </c>
      <c r="AD20" s="65"/>
      <c r="AE20" s="38">
        <v>-339030.17</v>
      </c>
      <c r="AF20" s="65"/>
      <c r="AG20" s="38">
        <v>0</v>
      </c>
      <c r="AH20" s="65"/>
      <c r="AI20" s="38">
        <v>0</v>
      </c>
    </row>
    <row r="21" spans="1:35" x14ac:dyDescent="0.25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5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5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5">
      <c r="A24" s="9"/>
      <c r="B24" s="7" t="s">
        <v>33</v>
      </c>
      <c r="C24" s="6"/>
      <c r="D24" s="61">
        <f t="shared" ref="D24:AI24" si="3">SUM(D19:D23)</f>
        <v>0</v>
      </c>
      <c r="E24" s="175">
        <f t="shared" si="3"/>
        <v>-112723628.88000001</v>
      </c>
      <c r="F24" s="61">
        <f t="shared" si="3"/>
        <v>0</v>
      </c>
      <c r="G24" s="39">
        <f t="shared" si="3"/>
        <v>-22685097.91</v>
      </c>
      <c r="H24" s="61">
        <f>SUM(H19:H23)</f>
        <v>0</v>
      </c>
      <c r="I24" s="39">
        <f>SUM(I19:I23)</f>
        <v>147145.57999999999</v>
      </c>
      <c r="J24" s="61">
        <f t="shared" si="3"/>
        <v>0</v>
      </c>
      <c r="K24" s="39">
        <f t="shared" si="3"/>
        <v>-31658710.870000001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-4717257.74</v>
      </c>
      <c r="P24" s="61">
        <f t="shared" si="3"/>
        <v>0</v>
      </c>
      <c r="Q24" s="39">
        <f t="shared" si="3"/>
        <v>-16419350.630000001</v>
      </c>
      <c r="R24" s="61">
        <f>SUM(R19:R23)</f>
        <v>0</v>
      </c>
      <c r="S24" s="39">
        <f>SUM(S19:S23)</f>
        <v>282068.21999999997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120337.63</v>
      </c>
      <c r="X24" s="61">
        <f>SUM(X19:X23)</f>
        <v>0</v>
      </c>
      <c r="Y24" s="39">
        <f>SUM(Y19:Y23)</f>
        <v>-9988575.4499999993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-27465157.539999999</v>
      </c>
      <c r="AD24" s="61">
        <f>SUM(AD19:AD23)</f>
        <v>0</v>
      </c>
      <c r="AE24" s="39">
        <f>SUM(AE19:AE23)</f>
        <v>-339030.17</v>
      </c>
      <c r="AF24" s="61">
        <f>SUM(AF19:AF23)</f>
        <v>0</v>
      </c>
      <c r="AG24" s="39">
        <f>SUM(AG19:AG23)</f>
        <v>0</v>
      </c>
      <c r="AH24" s="61">
        <f t="shared" si="3"/>
        <v>0</v>
      </c>
      <c r="AI24" s="39">
        <f t="shared" si="3"/>
        <v>0</v>
      </c>
    </row>
    <row r="25" spans="1:35" x14ac:dyDescent="0.25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5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5">
      <c r="A27" s="9">
        <v>11</v>
      </c>
      <c r="B27" s="7"/>
      <c r="C27" s="18" t="s">
        <v>35</v>
      </c>
      <c r="D27" s="60">
        <f>F27+J27+L27+N27+P27+T27+V27+Z27+AB27+AH27+X27+H27+AD27+R27</f>
        <v>0</v>
      </c>
      <c r="E27" s="123">
        <f>G27+K27+M27+O27+Q27+U27+W27+AA27+AC27+AI27+Y27+I27+AE27+S27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</row>
    <row r="28" spans="1:35" x14ac:dyDescent="0.25">
      <c r="A28" s="9">
        <v>12</v>
      </c>
      <c r="B28" s="7"/>
      <c r="C28" s="18" t="s">
        <v>36</v>
      </c>
      <c r="D28" s="60">
        <f>F28+J28+L28+N28+P28+T28+V28+Z28+AB28+AH28+X28+H28+AD28+R28</f>
        <v>0</v>
      </c>
      <c r="E28" s="123">
        <f>G28+K28+M28+O28+Q28+U28+W28+AA28+AC28+AI28+Y28+I28+AE28+S28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</row>
    <row r="29" spans="1:35" x14ac:dyDescent="0.25">
      <c r="A29" s="9"/>
      <c r="B29" s="7" t="s">
        <v>37</v>
      </c>
      <c r="C29" s="6"/>
      <c r="D29" s="61">
        <f t="shared" ref="D29:AI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>SUM(AF27:AF28)</f>
        <v>0</v>
      </c>
      <c r="AG29" s="39">
        <f>SUM(AG27:AG28)</f>
        <v>0</v>
      </c>
      <c r="AH29" s="61">
        <f t="shared" si="4"/>
        <v>0</v>
      </c>
      <c r="AI29" s="39">
        <f t="shared" si="4"/>
        <v>0</v>
      </c>
    </row>
    <row r="30" spans="1:35" x14ac:dyDescent="0.25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5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5">
      <c r="A32" s="9">
        <v>13</v>
      </c>
      <c r="B32" s="7"/>
      <c r="C32" s="18" t="s">
        <v>39</v>
      </c>
      <c r="D32" s="60">
        <f t="shared" ref="D32:E35" si="5">F32+J32+L32+N32+P32+T32+V32+Z32+AB32+AH32+X32+H32+AD32+R32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5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5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5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5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I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>SUM(AF32:AF34)</f>
        <v>0</v>
      </c>
      <c r="AG36" s="39">
        <f>SUM(AG32:AG34)</f>
        <v>0</v>
      </c>
      <c r="AH36" s="61">
        <f t="shared" si="6"/>
        <v>0</v>
      </c>
      <c r="AI36" s="39">
        <f t="shared" si="6"/>
        <v>0</v>
      </c>
    </row>
    <row r="37" spans="1:35" x14ac:dyDescent="0.25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5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5">
      <c r="A39" s="9">
        <v>17</v>
      </c>
      <c r="B39" s="7"/>
      <c r="C39" s="18" t="s">
        <v>45</v>
      </c>
      <c r="D39" s="60">
        <f t="shared" ref="D39:E41" si="7">F39+J39+L39+N39+P39+T39+V39+Z39+AB39+AH39+X39+H39+AD39+R39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5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  <c r="AH41" s="60"/>
      <c r="AI41" s="38">
        <v>0</v>
      </c>
    </row>
    <row r="42" spans="1:35" x14ac:dyDescent="0.25">
      <c r="A42" s="9"/>
      <c r="B42" s="7"/>
      <c r="C42" s="53" t="s">
        <v>48</v>
      </c>
      <c r="D42" s="61">
        <f t="shared" ref="D42:AI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>SUM(AF40:AF41)</f>
        <v>0</v>
      </c>
      <c r="AG42" s="39">
        <f>SUM(AG40:AG41)</f>
        <v>0</v>
      </c>
      <c r="AH42" s="61">
        <f t="shared" si="8"/>
        <v>0</v>
      </c>
      <c r="AI42" s="39">
        <f t="shared" si="8"/>
        <v>0</v>
      </c>
    </row>
    <row r="43" spans="1:35" ht="21" customHeight="1" x14ac:dyDescent="0.25">
      <c r="A43" s="9"/>
      <c r="B43" s="7" t="s">
        <v>49</v>
      </c>
      <c r="C43" s="6"/>
      <c r="D43" s="61">
        <f t="shared" ref="D43:AI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>AF42+AF39</f>
        <v>0</v>
      </c>
      <c r="AG43" s="39">
        <f>AG42+AG39</f>
        <v>0</v>
      </c>
      <c r="AH43" s="61">
        <f t="shared" si="9"/>
        <v>0</v>
      </c>
      <c r="AI43" s="39">
        <f t="shared" si="9"/>
        <v>0</v>
      </c>
    </row>
    <row r="44" spans="1:35" x14ac:dyDescent="0.25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5">
      <c r="A45" s="9">
        <v>20</v>
      </c>
      <c r="B45" s="11" t="s">
        <v>50</v>
      </c>
      <c r="C45" s="6"/>
      <c r="D45" s="60">
        <f>F45+J45+L45+N45+P45+T45+V45+Z45+AB45+AH45+X45+H45+AD45+R45</f>
        <v>0</v>
      </c>
      <c r="E45" s="123">
        <f>G45+K45+M45+O45+Q45+U45+W45+AA45+AC45+AI45+Y45+I45+AE45+S45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5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5">
      <c r="A47" s="9">
        <v>21</v>
      </c>
      <c r="B47" s="11" t="s">
        <v>51</v>
      </c>
      <c r="C47" s="6"/>
      <c r="D47" s="60">
        <f>F47+J47+L47+N47+P47+T47+V47+Z47+AB47+AH47+X47+H47+AD47+R47</f>
        <v>0</v>
      </c>
      <c r="E47" s="123">
        <f>G47+K47+M47+O47+Q47+U47+W47+AA47+AC47+AI47+Y47+I47+AE47+S47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5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5">
      <c r="A49" s="9">
        <v>22</v>
      </c>
      <c r="B49" s="11" t="s">
        <v>52</v>
      </c>
      <c r="C49" s="6"/>
      <c r="D49" s="60">
        <f>F49+J49+L49+N49+P49+T49+V49+Z49+AB49+AH49+X49+H49+AD49+R49</f>
        <v>0</v>
      </c>
      <c r="E49" s="123">
        <f>G49+K49+M49+O49+Q49+U49+W49+AA49+AC49+AI49+Y49+I49+AE49+S49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5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5">
      <c r="A51" s="9">
        <v>23</v>
      </c>
      <c r="B51" s="11" t="s">
        <v>53</v>
      </c>
      <c r="C51" s="6"/>
      <c r="D51" s="60">
        <f>F51+J51+L51+N51+P51+T51+V51+Z51+AB51+AH51+X51+H51+AD51+R51</f>
        <v>0</v>
      </c>
      <c r="E51" s="123">
        <f>G51+K51+M51+O51+Q51+U51+W51+AA51+AC51+AI51+Y51+I51+AE51+S51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5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5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5">
      <c r="A54" s="9">
        <v>24</v>
      </c>
      <c r="B54" s="7"/>
      <c r="C54" s="18" t="s">
        <v>55</v>
      </c>
      <c r="D54" s="60">
        <f>F54+J54+L54+N54+P54+T54+V54+Z54+AB54+AH54+X54+H54+AD54+R54</f>
        <v>0</v>
      </c>
      <c r="E54" s="123">
        <f>G54+K54+M54+O54+Q54+U54+W54+AA54+AC54+AI54+Y54+I54+AE54+S54</f>
        <v>-1526566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-1526566</v>
      </c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5">
      <c r="A55" s="9">
        <v>25</v>
      </c>
      <c r="B55" s="7"/>
      <c r="C55" s="18" t="s">
        <v>56</v>
      </c>
      <c r="D55" s="60">
        <f>F55+J55+L55+N55+P55+T55+V55+Z55+AB55+AH55+X55+H55+AD55+R55</f>
        <v>0</v>
      </c>
      <c r="E55" s="123">
        <f>G55+K55+M55+O55+Q55+U55+W55+AA55+AC55+AI55+Y55+I55+AE55+S55</f>
        <v>-321410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-321410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  <c r="AH55" s="60"/>
      <c r="AI55" s="66">
        <v>0</v>
      </c>
    </row>
    <row r="56" spans="1:35" x14ac:dyDescent="0.25">
      <c r="A56" s="9"/>
      <c r="B56" s="7" t="s">
        <v>57</v>
      </c>
      <c r="C56" s="6"/>
      <c r="D56" s="61">
        <f t="shared" ref="D56:AI56" si="10">SUM(D54:D55)</f>
        <v>0</v>
      </c>
      <c r="E56" s="175">
        <f t="shared" si="10"/>
        <v>-1847976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-321410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-1526566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>SUM(AF54:AF55)</f>
        <v>0</v>
      </c>
      <c r="AG56" s="39">
        <f>SUM(AG54:AG55)</f>
        <v>0</v>
      </c>
      <c r="AH56" s="61">
        <f t="shared" si="10"/>
        <v>0</v>
      </c>
      <c r="AI56" s="39">
        <f t="shared" si="10"/>
        <v>0</v>
      </c>
    </row>
    <row r="57" spans="1:35" x14ac:dyDescent="0.25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5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5">
      <c r="A59" s="9">
        <v>26</v>
      </c>
      <c r="B59" s="11"/>
      <c r="C59" s="18" t="s">
        <v>59</v>
      </c>
      <c r="D59" s="60">
        <f>F59+J59+L59+N59+P59+T59+V59+Z59+AB59+AH59+X59+H59+AD59+R59</f>
        <v>0</v>
      </c>
      <c r="E59" s="123">
        <f>G59+K59+M59+O59+Q59+U59+W59+AA59+AC59+AI59+Y59+I59+AE59+S59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  <c r="AH59" s="60"/>
      <c r="AI59" s="38">
        <v>0</v>
      </c>
    </row>
    <row r="60" spans="1:35" x14ac:dyDescent="0.25">
      <c r="A60" s="9">
        <v>27</v>
      </c>
      <c r="B60" s="11"/>
      <c r="C60" s="18" t="s">
        <v>60</v>
      </c>
      <c r="D60" s="60">
        <f>F60+J60+L60+N60+P60+T60+V60+Z60+AB60+AH60+X60+H60+AD60+R60</f>
        <v>0</v>
      </c>
      <c r="E60" s="123">
        <f>G60+K60+M60+O60+Q60+U60+W60+AA60+AC60+AI60+Y60+I60+AE60+S60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  <c r="AH60" s="60"/>
      <c r="AI60" s="38"/>
    </row>
    <row r="61" spans="1:35" x14ac:dyDescent="0.25">
      <c r="A61" s="9"/>
      <c r="B61" s="62" t="s">
        <v>61</v>
      </c>
      <c r="C61" s="6"/>
      <c r="D61" s="61">
        <f t="shared" ref="D61:AI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>SUM(AF59:AF60)</f>
        <v>0</v>
      </c>
      <c r="AG61" s="39">
        <f>SUM(AG59:AG60)</f>
        <v>0</v>
      </c>
      <c r="AH61" s="61">
        <f t="shared" si="11"/>
        <v>0</v>
      </c>
      <c r="AI61" s="39">
        <f t="shared" si="11"/>
        <v>0</v>
      </c>
    </row>
    <row r="62" spans="1:35" x14ac:dyDescent="0.25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5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5">
      <c r="A64" s="9">
        <v>28</v>
      </c>
      <c r="B64" s="7"/>
      <c r="C64" s="18" t="s">
        <v>62</v>
      </c>
      <c r="D64" s="60">
        <f>F64+J64+L64+N64+P64+T64+V64+Z64+AB64+AH64+X64+H64+AD64+R64</f>
        <v>0</v>
      </c>
      <c r="E64" s="123">
        <f>G64+K64+M64+O64+Q64+U64+W64+AA64+AC64+AI64+Y64+I64+AE64+S64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5">
      <c r="A65" s="9">
        <v>29</v>
      </c>
      <c r="B65" s="11"/>
      <c r="C65" s="18" t="s">
        <v>63</v>
      </c>
      <c r="D65" s="60">
        <f>F65+J65+L65+N65+P65+T65+V65+Z65+AB65+AH65+X65+H65+AD65+R65</f>
        <v>0</v>
      </c>
      <c r="E65" s="123">
        <f>G65+K65+M65+O65+Q65+U65+W65+AA65+AC65+AI65+Y65+I65+AE65+S65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  <c r="AH65" s="60"/>
      <c r="AI65" s="38"/>
    </row>
    <row r="66" spans="1:35" x14ac:dyDescent="0.25">
      <c r="A66" s="9"/>
      <c r="B66" s="7" t="s">
        <v>64</v>
      </c>
      <c r="C66" s="6"/>
      <c r="D66" s="61">
        <f t="shared" ref="D66:AI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>SUM(AF64:AF65)</f>
        <v>0</v>
      </c>
      <c r="AG66" s="39">
        <f>SUM(AG64:AG65)</f>
        <v>0</v>
      </c>
      <c r="AH66" s="61">
        <f t="shared" si="12"/>
        <v>0</v>
      </c>
      <c r="AI66" s="39">
        <f t="shared" si="12"/>
        <v>0</v>
      </c>
    </row>
    <row r="67" spans="1:35" x14ac:dyDescent="0.25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5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5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5">
      <c r="A70" s="9">
        <v>30</v>
      </c>
      <c r="B70" s="3"/>
      <c r="C70" s="10" t="s">
        <v>67</v>
      </c>
      <c r="D70" s="60">
        <f>F70+J70+L70+N70+P70+T70+V70+Z70+AB70+AH70+X70+H70+AD70+R70</f>
        <v>0</v>
      </c>
      <c r="E70" s="123">
        <f>G70+K70+M70+O70+Q70+U70+W70+AA70+AC70+AI70+Y70+I70+AE70+S70</f>
        <v>190341568.61000001</v>
      </c>
      <c r="F70" s="60"/>
      <c r="G70" s="38">
        <v>11822013.16</v>
      </c>
      <c r="H70" s="60"/>
      <c r="I70" s="38">
        <f>10336992.18-217362</f>
        <v>10119630.18</v>
      </c>
      <c r="J70" s="60"/>
      <c r="K70" s="38">
        <v>-5134326.63</v>
      </c>
      <c r="L70" s="60"/>
      <c r="M70" s="38">
        <v>0</v>
      </c>
      <c r="N70" s="60"/>
      <c r="O70" s="38">
        <v>1198403.77</v>
      </c>
      <c r="P70" s="60">
        <v>0</v>
      </c>
      <c r="Q70" s="38">
        <v>22698435.850000001</v>
      </c>
      <c r="R70" s="60"/>
      <c r="S70" s="38">
        <v>999999.96</v>
      </c>
      <c r="T70" s="60"/>
      <c r="U70" s="38">
        <v>0</v>
      </c>
      <c r="V70" s="60">
        <v>0</v>
      </c>
      <c r="W70" s="38">
        <v>519130.8</v>
      </c>
      <c r="X70" s="60">
        <v>0</v>
      </c>
      <c r="Y70" s="38">
        <v>0</v>
      </c>
      <c r="Z70" s="60">
        <v>0</v>
      </c>
      <c r="AA70" s="38">
        <v>137450609</v>
      </c>
      <c r="AB70" s="60"/>
      <c r="AC70" s="38">
        <v>8346121.5199999996</v>
      </c>
      <c r="AD70" s="60"/>
      <c r="AE70" s="38">
        <v>2321551</v>
      </c>
      <c r="AF70" s="60"/>
      <c r="AG70" s="38">
        <v>0</v>
      </c>
      <c r="AH70" s="60"/>
      <c r="AI70" s="38">
        <v>0</v>
      </c>
    </row>
    <row r="71" spans="1:35" x14ac:dyDescent="0.25">
      <c r="A71" s="9">
        <v>31</v>
      </c>
      <c r="B71" s="3"/>
      <c r="C71" s="10" t="s">
        <v>68</v>
      </c>
      <c r="D71" s="60">
        <f>F71+J71+L71+N71+P71+T71+V71+Z71+AB71+AH71+X71+H71+AD71+R71</f>
        <v>0</v>
      </c>
      <c r="E71" s="123">
        <f>G71+K71+M71+O71+Q71+U71+W71+AA71+AC71+AI71+Y71+I71+AE71+S71</f>
        <v>-247428593</v>
      </c>
      <c r="F71" s="60"/>
      <c r="G71" s="38">
        <v>-15976611</v>
      </c>
      <c r="H71" s="60"/>
      <c r="I71" s="38">
        <v>-8648310</v>
      </c>
      <c r="J71" s="60"/>
      <c r="K71" s="38">
        <v>-14964909</v>
      </c>
      <c r="L71" s="60"/>
      <c r="M71" s="38">
        <v>0</v>
      </c>
      <c r="N71" s="60"/>
      <c r="O71" s="38">
        <v>-6919990</v>
      </c>
      <c r="P71" s="60"/>
      <c r="Q71" s="38">
        <v>-35422068</v>
      </c>
      <c r="R71" s="60"/>
      <c r="S71" s="38">
        <v>-1096737</v>
      </c>
      <c r="T71" s="60"/>
      <c r="U71" s="38">
        <v>0</v>
      </c>
      <c r="V71" s="60"/>
      <c r="W71" s="38">
        <v>-6550905</v>
      </c>
      <c r="X71" s="60"/>
      <c r="Y71" s="38">
        <v>0</v>
      </c>
      <c r="Z71" s="60"/>
      <c r="AA71" s="38">
        <v>-146729180</v>
      </c>
      <c r="AB71" s="60"/>
      <c r="AC71" s="38">
        <v>-9378953</v>
      </c>
      <c r="AD71" s="60"/>
      <c r="AE71" s="38">
        <v>-1740930</v>
      </c>
      <c r="AF71" s="60"/>
      <c r="AG71" s="38">
        <v>0</v>
      </c>
      <c r="AH71" s="60"/>
      <c r="AI71" s="38">
        <v>0</v>
      </c>
    </row>
    <row r="72" spans="1:35" x14ac:dyDescent="0.25">
      <c r="A72" s="9"/>
      <c r="B72" s="3"/>
      <c r="C72" s="55" t="s">
        <v>69</v>
      </c>
      <c r="D72" s="61">
        <f t="shared" ref="D72:AI72" si="13">SUM(D70:D71)</f>
        <v>0</v>
      </c>
      <c r="E72" s="229">
        <f t="shared" si="13"/>
        <v>-57087024.389999986</v>
      </c>
      <c r="F72" s="61">
        <f t="shared" si="13"/>
        <v>0</v>
      </c>
      <c r="G72" s="183">
        <f t="shared" si="13"/>
        <v>-4154597.84</v>
      </c>
      <c r="H72" s="61">
        <f>SUM(H70:H71)</f>
        <v>0</v>
      </c>
      <c r="I72" s="183">
        <f>SUM(I70:I71)</f>
        <v>1471320.1799999997</v>
      </c>
      <c r="J72" s="61">
        <f t="shared" si="13"/>
        <v>0</v>
      </c>
      <c r="K72" s="183">
        <f t="shared" si="13"/>
        <v>-20099235.629999999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-5721586.2300000004</v>
      </c>
      <c r="P72" s="61">
        <f t="shared" si="13"/>
        <v>0</v>
      </c>
      <c r="Q72" s="39">
        <f t="shared" si="13"/>
        <v>-12723632.149999999</v>
      </c>
      <c r="R72" s="61">
        <f>SUM(R70:R71)</f>
        <v>0</v>
      </c>
      <c r="S72" s="39">
        <f>SUM(S70:S71)</f>
        <v>-96737.040000000037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-6031774.2000000002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-9278571</v>
      </c>
      <c r="AB72" s="61">
        <f t="shared" si="13"/>
        <v>0</v>
      </c>
      <c r="AC72" s="39">
        <f t="shared" si="13"/>
        <v>-1032831.4800000004</v>
      </c>
      <c r="AD72" s="61">
        <f>SUM(AD70:AD71)</f>
        <v>0</v>
      </c>
      <c r="AE72" s="183">
        <f>SUM(AE70:AE71)</f>
        <v>580621</v>
      </c>
      <c r="AF72" s="61">
        <f>SUM(AF70:AF71)</f>
        <v>0</v>
      </c>
      <c r="AG72" s="183">
        <f>SUM(AG70:AG71)</f>
        <v>0</v>
      </c>
      <c r="AH72" s="61">
        <f t="shared" si="13"/>
        <v>0</v>
      </c>
      <c r="AI72" s="183">
        <f t="shared" si="13"/>
        <v>0</v>
      </c>
    </row>
    <row r="73" spans="1:35" x14ac:dyDescent="0.25">
      <c r="A73" s="9">
        <v>32</v>
      </c>
      <c r="B73" s="3"/>
      <c r="C73" s="10" t="s">
        <v>70</v>
      </c>
      <c r="D73" s="60">
        <f t="shared" ref="D73:D81" si="14">F73+J73+L73+N73+P73+T73+V73+Z73+AB73+AH73+X73+H73+AD73+R73</f>
        <v>0</v>
      </c>
      <c r="E73" s="123">
        <f t="shared" ref="E73:E81" si="15">G73+K73+M73+O73+Q73+U73+W73+AA73+AC73+AI73+Y73+I73+AE73+S73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>
        <v>0</v>
      </c>
      <c r="AB73" s="60"/>
      <c r="AC73" s="38"/>
      <c r="AD73" s="60"/>
      <c r="AE73" s="38"/>
      <c r="AF73" s="60"/>
      <c r="AG73" s="38"/>
      <c r="AH73" s="60"/>
      <c r="AI73" s="38"/>
    </row>
    <row r="74" spans="1:35" x14ac:dyDescent="0.25">
      <c r="A74" s="9">
        <v>33</v>
      </c>
      <c r="B74" s="3"/>
      <c r="C74" s="10" t="s">
        <v>71</v>
      </c>
      <c r="D74" s="60">
        <f t="shared" si="14"/>
        <v>0</v>
      </c>
      <c r="E74" s="123">
        <f t="shared" si="15"/>
        <v>54809371.489999995</v>
      </c>
      <c r="F74" s="65"/>
      <c r="G74" s="66">
        <v>545813.82999999996</v>
      </c>
      <c r="H74" s="65"/>
      <c r="I74" s="66">
        <v>-1560477.85</v>
      </c>
      <c r="J74" s="65"/>
      <c r="K74" s="66">
        <f>14592884.18+1438890.24</f>
        <v>16031774.42</v>
      </c>
      <c r="L74" s="65"/>
      <c r="M74" s="66">
        <v>0</v>
      </c>
      <c r="N74" s="65"/>
      <c r="O74" s="66">
        <v>8945116.2100000009</v>
      </c>
      <c r="P74" s="65"/>
      <c r="Q74" s="66">
        <v>19510989.699999999</v>
      </c>
      <c r="R74" s="65"/>
      <c r="S74" s="66">
        <v>-232872.15</v>
      </c>
      <c r="T74" s="65"/>
      <c r="U74" s="66">
        <v>0</v>
      </c>
      <c r="V74" s="65"/>
      <c r="W74" s="66">
        <v>-70463.97</v>
      </c>
      <c r="X74" s="65"/>
      <c r="Y74" s="66">
        <v>3407406.01</v>
      </c>
      <c r="Z74" s="65"/>
      <c r="AA74" s="180">
        <v>3012381.87</v>
      </c>
      <c r="AB74" s="65"/>
      <c r="AC74" s="180">
        <v>5155016.66</v>
      </c>
      <c r="AD74" s="65"/>
      <c r="AE74" s="66">
        <v>3450</v>
      </c>
      <c r="AF74" s="65"/>
      <c r="AG74" s="180">
        <v>0</v>
      </c>
      <c r="AH74" s="65"/>
      <c r="AI74" s="180">
        <v>61236.76</v>
      </c>
    </row>
    <row r="75" spans="1:35" x14ac:dyDescent="0.25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-1375726</v>
      </c>
      <c r="F75" s="65"/>
      <c r="G75" s="38">
        <v>172538</v>
      </c>
      <c r="H75" s="65"/>
      <c r="I75" s="38">
        <v>0</v>
      </c>
      <c r="J75" s="65"/>
      <c r="K75" s="38">
        <v>228732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308</v>
      </c>
      <c r="X75" s="65"/>
      <c r="Y75" s="38">
        <v>0</v>
      </c>
      <c r="Z75" s="65"/>
      <c r="AA75" s="38">
        <v>-1777304</v>
      </c>
      <c r="AB75" s="65"/>
      <c r="AC75" s="38">
        <v>0</v>
      </c>
      <c r="AD75" s="65"/>
      <c r="AE75" s="38">
        <v>0</v>
      </c>
      <c r="AF75" s="65"/>
      <c r="AG75" s="38">
        <v>0</v>
      </c>
      <c r="AH75" s="65"/>
      <c r="AI75" s="38">
        <v>0</v>
      </c>
    </row>
    <row r="76" spans="1:35" x14ac:dyDescent="0.25">
      <c r="A76" s="9">
        <v>35</v>
      </c>
      <c r="B76" s="3"/>
      <c r="C76" s="10" t="s">
        <v>73</v>
      </c>
      <c r="D76" s="60">
        <f t="shared" si="14"/>
        <v>0</v>
      </c>
      <c r="E76" s="182">
        <f t="shared" si="15"/>
        <v>-18621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>
        <v>0</v>
      </c>
      <c r="R76" s="60"/>
      <c r="S76" s="38">
        <v>-534</v>
      </c>
      <c r="T76" s="60"/>
      <c r="U76" s="38"/>
      <c r="V76" s="60"/>
      <c r="W76" s="38"/>
      <c r="X76" s="60"/>
      <c r="Y76" s="38">
        <v>-39</v>
      </c>
      <c r="Z76" s="60"/>
      <c r="AA76" s="38">
        <v>-5196</v>
      </c>
      <c r="AB76" s="60"/>
      <c r="AC76" s="38">
        <v>-12852</v>
      </c>
      <c r="AD76" s="60"/>
      <c r="AE76" s="38"/>
      <c r="AF76" s="60"/>
      <c r="AG76" s="38"/>
      <c r="AH76" s="60"/>
      <c r="AI76" s="38"/>
    </row>
    <row r="77" spans="1:35" x14ac:dyDescent="0.25">
      <c r="A77" s="9">
        <v>36</v>
      </c>
      <c r="B77" s="3"/>
      <c r="C77" s="10" t="s">
        <v>74</v>
      </c>
      <c r="D77" s="60">
        <f t="shared" si="14"/>
        <v>0</v>
      </c>
      <c r="E77" s="123">
        <f t="shared" si="15"/>
        <v>0</v>
      </c>
      <c r="F77" s="65"/>
      <c r="G77" s="38"/>
      <c r="H77" s="65"/>
      <c r="I77" s="38"/>
      <c r="J77" s="65"/>
      <c r="K77" s="38">
        <v>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  <c r="AH77" s="65"/>
      <c r="AI77" s="38"/>
    </row>
    <row r="78" spans="1:35" x14ac:dyDescent="0.25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</row>
    <row r="79" spans="1:35" x14ac:dyDescent="0.25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>
        <v>0</v>
      </c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</row>
    <row r="80" spans="1:35" x14ac:dyDescent="0.25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0</v>
      </c>
      <c r="Z80" s="60"/>
      <c r="AA80" s="38"/>
      <c r="AB80" s="60"/>
      <c r="AC80" s="38"/>
      <c r="AD80" s="60"/>
      <c r="AE80" s="38"/>
      <c r="AF80" s="60"/>
      <c r="AG80" s="38"/>
      <c r="AH80" s="60"/>
      <c r="AI80" s="38"/>
    </row>
    <row r="81" spans="1:36" x14ac:dyDescent="0.25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-90000</v>
      </c>
      <c r="F81" s="60"/>
      <c r="G81" s="38">
        <v>-22500</v>
      </c>
      <c r="H81" s="60"/>
      <c r="I81" s="38"/>
      <c r="J81" s="60"/>
      <c r="K81" s="38">
        <v>-67500</v>
      </c>
      <c r="L81" s="60"/>
      <c r="M81" s="38"/>
      <c r="N81" s="60"/>
      <c r="O81" s="38"/>
      <c r="P81" s="60"/>
      <c r="Q81" s="38"/>
      <c r="R81" s="60"/>
      <c r="S81" s="38">
        <v>0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  <c r="AH81" s="60"/>
      <c r="AI81" s="38"/>
    </row>
    <row r="82" spans="1:36" s="49" customFormat="1" ht="20.25" customHeight="1" thickBot="1" x14ac:dyDescent="0.3">
      <c r="A82" s="88"/>
      <c r="B82" s="89"/>
      <c r="C82" s="90" t="s">
        <v>164</v>
      </c>
      <c r="D82" s="91">
        <f>D16+D24+D29+D36+D43+D45+D47+D49</f>
        <v>0</v>
      </c>
      <c r="E82" s="177">
        <f>SUM(E72:E81)+E16+E24+E29+E36+E43+E45+E47+E49+E51+E56+E61+E66</f>
        <v>-26244181.270000011</v>
      </c>
      <c r="F82" s="91">
        <f>F16+F24+F29+F36+F43+F45+F47+F49</f>
        <v>0</v>
      </c>
      <c r="G82" s="92">
        <f>SUM(G72:G81)+G16+G24+G29+G36+G43+G45+G47+G49+G51+G56+G61+G66</f>
        <v>-7931916.4700000007</v>
      </c>
      <c r="H82" s="91">
        <f>H16+H24+H29+H36+H43+H45+H47+H49</f>
        <v>0</v>
      </c>
      <c r="I82" s="92">
        <f>SUM(I72:I81)+I16+I24+I29+I36+I43+I45+I47+I49+I51+I56+I61+I66</f>
        <v>245925.1599999996</v>
      </c>
      <c r="J82" s="91">
        <f>J16+J24+J29+J36+J43+J45+J47+J49</f>
        <v>0</v>
      </c>
      <c r="K82" s="92">
        <f>SUM(K72:K81)+K16+K24+K29+K36+K43+K45+K47+K49+K51+K56+K61+K66</f>
        <v>-15239113.290000001</v>
      </c>
      <c r="L82" s="91">
        <f>L16+L24+L29+L36+L43+L45+L47+L49</f>
        <v>0</v>
      </c>
      <c r="M82" s="92">
        <f>SUM(M72:M81)+M16+M24+M29+M36+M43+M45+M47+M49+M51+M56+M61+M66</f>
        <v>-33856.559999999998</v>
      </c>
      <c r="N82" s="91">
        <f>N16+N24+N29+N36+N43+N45+N47+N49</f>
        <v>0</v>
      </c>
      <c r="O82" s="92">
        <f>SUM(O72:O81)+O16+O24+O29+O36+O43+O45+O47+O49+O51+O56+O61+O66</f>
        <v>4863776.3699999992</v>
      </c>
      <c r="P82" s="91">
        <f>P16+P24+P29+P36+P43+P45+P47+P49</f>
        <v>0</v>
      </c>
      <c r="Q82" s="92">
        <f>SUM(Q72:Q81)+Q16+Q24+Q29+Q36+Q43+Q45+Q47+Q49+Q51+Q56+Q61+Q66</f>
        <v>2376793.0499999989</v>
      </c>
      <c r="R82" s="91">
        <f>R16+R24+R29+R36+R43+R45+R47+R49</f>
        <v>0</v>
      </c>
      <c r="S82" s="92">
        <f>SUM(S72:S81)+S16+S24+S29+S36+S43+S45+S47+S49+S51+S56+S61+S66</f>
        <v>-398605.90000000008</v>
      </c>
      <c r="T82" s="91">
        <f>T16+T24+T29+T36+T43+T45+T47+T49</f>
        <v>0</v>
      </c>
      <c r="U82" s="92">
        <f>SUM(U72:U81)+U16+U24+U29+U36+U43+U45+U47+U49+U51+U56+U61+U66</f>
        <v>-1728</v>
      </c>
      <c r="V82" s="91">
        <f>V16+V24+V29+V36+V43+V45+V47+V49</f>
        <v>0</v>
      </c>
      <c r="W82" s="92">
        <f>SUM(W72:W81)+W16+W24+W29+W36+W43+W45+W47+W49+W51+W56+W61+W66</f>
        <v>-2244528.91</v>
      </c>
      <c r="X82" s="91">
        <f>X16+X24+X29+X36+X43+X45+X47+X49</f>
        <v>0</v>
      </c>
      <c r="Y82" s="92">
        <f>SUM(Y72:Y81)+Y16+Y24+Y29+Y36+Y43+Y45+Y47+Y49+Y51+Y56+Y61+Y66</f>
        <v>-5382259.3099999996</v>
      </c>
      <c r="Z82" s="91">
        <f>Z16+Z24+Z29+Z36+Z43+Z45+Z47+Z49</f>
        <v>0</v>
      </c>
      <c r="AA82" s="92">
        <f>SUM(AA72:AA81)+AA16+AA24+AA29+AA36+AA43+AA45+AA47+AA49+AA51+AA56+AA61+AA66</f>
        <v>-6997159.1299999999</v>
      </c>
      <c r="AB82" s="91">
        <f>AB16+AB24+AB29+AB36+AB43+AB45+AB47+AB49</f>
        <v>0</v>
      </c>
      <c r="AC82" s="92">
        <f>SUM(AC72:AC81)+AC16+AC24+AC29+AC36+AC43+AC45+AC47+AC49+AC51+AC56+AC61+AC66</f>
        <v>4772014.2300000004</v>
      </c>
      <c r="AD82" s="91">
        <f>AD16+AD24+AD29+AD36+AD43+AD45+AD47+AD49</f>
        <v>0</v>
      </c>
      <c r="AE82" s="92">
        <f>SUM(AE72:AE81)+AE16+AE24+AE29+AE36+AE43+AE45+AE47+AE49+AE51+AE56+AE61+AE66</f>
        <v>-334759.26999999996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61236.76</v>
      </c>
      <c r="AJ82" s="93"/>
    </row>
    <row r="83" spans="1:36" ht="13.8" thickTop="1" x14ac:dyDescent="0.25">
      <c r="A83" s="4" t="s">
        <v>2</v>
      </c>
      <c r="B83" s="3"/>
    </row>
    <row r="84" spans="1:36" x14ac:dyDescent="0.25">
      <c r="A84" s="4"/>
      <c r="B84" s="3"/>
      <c r="C84">
        <v>103489836</v>
      </c>
      <c r="O84" s="45"/>
    </row>
    <row r="85" spans="1:36" x14ac:dyDescent="0.25">
      <c r="A85" s="4" t="s">
        <v>180</v>
      </c>
      <c r="B85" s="3"/>
      <c r="F85" s="31"/>
      <c r="G85" s="31"/>
      <c r="H85" s="31"/>
      <c r="I85" s="31"/>
      <c r="J85" s="31"/>
      <c r="K85" s="31"/>
      <c r="N85" s="45"/>
    </row>
    <row r="86" spans="1:36" s="3" customFormat="1" x14ac:dyDescent="0.25">
      <c r="A86" s="144"/>
      <c r="C86" s="10" t="s">
        <v>162</v>
      </c>
      <c r="D86" s="60">
        <f t="shared" ref="D86:E88" si="16">F86+J86+L86+N86+P86+T86+V86+Z86+AB86+AH86+X86+H86+AD86+R86</f>
        <v>0</v>
      </c>
      <c r="E86" s="182">
        <f t="shared" si="16"/>
        <v>1222437</v>
      </c>
      <c r="F86" s="145"/>
      <c r="G86" s="145">
        <v>0</v>
      </c>
      <c r="H86" s="145"/>
      <c r="I86" s="145">
        <v>0</v>
      </c>
      <c r="J86" s="145"/>
      <c r="K86" s="184">
        <v>-42632</v>
      </c>
      <c r="L86" s="145"/>
      <c r="M86" s="145"/>
      <c r="N86" s="145"/>
      <c r="O86" s="145"/>
      <c r="P86" s="145"/>
      <c r="Q86" s="145"/>
      <c r="R86" s="145"/>
      <c r="S86" s="145">
        <v>55426</v>
      </c>
      <c r="T86" s="145"/>
      <c r="U86" s="145"/>
      <c r="V86" s="145"/>
      <c r="W86" s="145">
        <v>0</v>
      </c>
      <c r="X86" s="145"/>
      <c r="Y86" s="145">
        <v>1522312</v>
      </c>
      <c r="Z86" s="145"/>
      <c r="AA86" s="145"/>
      <c r="AB86" s="145"/>
      <c r="AC86" s="145">
        <f>-432669+120000</f>
        <v>-312669</v>
      </c>
      <c r="AD86" s="145"/>
      <c r="AE86" s="145"/>
      <c r="AF86" s="145"/>
      <c r="AG86" s="145"/>
      <c r="AH86" s="145"/>
      <c r="AI86" s="145"/>
    </row>
    <row r="87" spans="1:36" s="3" customFormat="1" x14ac:dyDescent="0.25">
      <c r="A87" s="144"/>
      <c r="C87" s="10" t="s">
        <v>71</v>
      </c>
      <c r="D87" s="60">
        <f t="shared" si="16"/>
        <v>0</v>
      </c>
      <c r="E87" s="182">
        <f t="shared" si="16"/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AB87+AH87+AJ87+AL87+AN87+AP87+AR87+AT87+AV87+AX87</f>
        <v>0</v>
      </c>
      <c r="AA87" s="146"/>
      <c r="AB87" s="146"/>
      <c r="AC87" s="146">
        <v>0</v>
      </c>
      <c r="AD87" s="146"/>
      <c r="AE87" s="146"/>
      <c r="AF87" s="146"/>
      <c r="AG87" s="146"/>
      <c r="AH87" s="146"/>
      <c r="AI87" s="146"/>
    </row>
    <row r="88" spans="1:36" s="3" customFormat="1" x14ac:dyDescent="0.25">
      <c r="A88" s="144"/>
      <c r="C88" s="10" t="s">
        <v>72</v>
      </c>
      <c r="D88" s="60">
        <f t="shared" si="16"/>
        <v>0</v>
      </c>
      <c r="E88" s="182">
        <f t="shared" si="16"/>
        <v>-646169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-646169</v>
      </c>
      <c r="Z88" s="147">
        <f>AB88+AH88+AJ88+AL88+AN88+AP88+AR88+AT88+AV88+AX88</f>
        <v>0</v>
      </c>
      <c r="AA88" s="147"/>
      <c r="AB88" s="147"/>
      <c r="AC88" s="147">
        <v>0</v>
      </c>
      <c r="AD88" s="147"/>
      <c r="AE88" s="147"/>
      <c r="AF88" s="147"/>
      <c r="AG88" s="147"/>
      <c r="AH88" s="147"/>
      <c r="AI88" s="147"/>
    </row>
    <row r="89" spans="1:36" s="127" customFormat="1" ht="20.25" customHeight="1" x14ac:dyDescent="0.25">
      <c r="A89" s="158"/>
      <c r="B89" s="159"/>
      <c r="C89" s="161" t="s">
        <v>170</v>
      </c>
      <c r="D89" s="160">
        <f>SUM(D86:D88)</f>
        <v>0</v>
      </c>
      <c r="E89" s="178">
        <f t="shared" ref="E89:O89" si="17">SUM(E86:E88)</f>
        <v>576268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-42632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I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55426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876143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-312669</v>
      </c>
      <c r="AD89" s="160">
        <f>SUM(AD86:AD88)</f>
        <v>0</v>
      </c>
      <c r="AE89" s="160">
        <f>SUM(AE86:AE88)</f>
        <v>0</v>
      </c>
      <c r="AF89" s="160">
        <f>SUM(AF86:AF88)</f>
        <v>0</v>
      </c>
      <c r="AG89" s="160">
        <f>SUM(AG86:AG88)</f>
        <v>0</v>
      </c>
      <c r="AH89" s="160">
        <f t="shared" si="18"/>
        <v>0</v>
      </c>
      <c r="AI89" s="160">
        <f t="shared" si="18"/>
        <v>0</v>
      </c>
    </row>
    <row r="90" spans="1:36" x14ac:dyDescent="0.25">
      <c r="A90" s="4"/>
      <c r="B90" s="3"/>
      <c r="F90" s="31"/>
      <c r="G90" s="31"/>
      <c r="H90" s="31"/>
      <c r="I90" s="31"/>
      <c r="J90" s="31"/>
      <c r="K90" s="31"/>
    </row>
    <row r="91" spans="1:36" s="127" customFormat="1" ht="20.25" customHeight="1" x14ac:dyDescent="0.25">
      <c r="A91" s="158"/>
      <c r="B91" s="159"/>
      <c r="C91" s="157" t="s">
        <v>171</v>
      </c>
      <c r="D91" s="160">
        <f>+D82+D89</f>
        <v>0</v>
      </c>
      <c r="E91" s="178">
        <f t="shared" ref="E91:O91" si="19">+E82+E89</f>
        <v>-25667913.270000011</v>
      </c>
      <c r="F91" s="160">
        <f t="shared" si="19"/>
        <v>0</v>
      </c>
      <c r="G91" s="160">
        <f t="shared" si="19"/>
        <v>-7931916.4700000007</v>
      </c>
      <c r="H91" s="160">
        <f>+H82+H89</f>
        <v>0</v>
      </c>
      <c r="I91" s="160">
        <f>+I82+I89</f>
        <v>245925.1599999996</v>
      </c>
      <c r="J91" s="160">
        <f t="shared" si="19"/>
        <v>0</v>
      </c>
      <c r="K91" s="160">
        <f t="shared" si="19"/>
        <v>-15281745.290000001</v>
      </c>
      <c r="L91" s="160">
        <f t="shared" si="19"/>
        <v>0</v>
      </c>
      <c r="M91" s="160">
        <f t="shared" si="19"/>
        <v>-33856.559999999998</v>
      </c>
      <c r="N91" s="160">
        <f t="shared" si="19"/>
        <v>0</v>
      </c>
      <c r="O91" s="160">
        <f t="shared" si="19"/>
        <v>4863776.3699999992</v>
      </c>
      <c r="P91" s="160">
        <f t="shared" ref="P91:AI91" si="20">+P82+P89</f>
        <v>0</v>
      </c>
      <c r="Q91" s="160">
        <f t="shared" si="20"/>
        <v>2376793.0499999989</v>
      </c>
      <c r="R91" s="160">
        <f>+R82+R89</f>
        <v>0</v>
      </c>
      <c r="S91" s="160">
        <f>+S82+S89</f>
        <v>-343179.90000000008</v>
      </c>
      <c r="T91" s="160">
        <f t="shared" si="20"/>
        <v>0</v>
      </c>
      <c r="U91" s="160">
        <f t="shared" si="20"/>
        <v>-1728</v>
      </c>
      <c r="V91" s="160">
        <f t="shared" si="20"/>
        <v>0</v>
      </c>
      <c r="W91" s="160">
        <f t="shared" si="20"/>
        <v>-2244528.91</v>
      </c>
      <c r="X91" s="160">
        <f>+X82+X89</f>
        <v>0</v>
      </c>
      <c r="Y91" s="160">
        <f>+Y82+Y89</f>
        <v>-4506116.3099999996</v>
      </c>
      <c r="Z91" s="160">
        <f t="shared" si="20"/>
        <v>0</v>
      </c>
      <c r="AA91" s="160">
        <f t="shared" si="20"/>
        <v>-6997159.1299999999</v>
      </c>
      <c r="AB91" s="160">
        <f t="shared" si="20"/>
        <v>0</v>
      </c>
      <c r="AC91" s="160">
        <f t="shared" si="20"/>
        <v>4459345.2300000004</v>
      </c>
      <c r="AD91" s="160">
        <f>+AD82+AD89</f>
        <v>0</v>
      </c>
      <c r="AE91" s="160">
        <f>+AE82+AE89</f>
        <v>-334759.26999999996</v>
      </c>
      <c r="AF91" s="160">
        <f>+AF82+AF89</f>
        <v>0</v>
      </c>
      <c r="AG91" s="160">
        <f>+AG82+AG89</f>
        <v>0</v>
      </c>
      <c r="AH91" s="160">
        <f t="shared" si="20"/>
        <v>0</v>
      </c>
      <c r="AI91" s="160">
        <f t="shared" si="20"/>
        <v>61236.76</v>
      </c>
    </row>
    <row r="92" spans="1:36" x14ac:dyDescent="0.25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  <c r="AH92">
        <v>0</v>
      </c>
      <c r="AI92">
        <v>17891407.899999999</v>
      </c>
    </row>
    <row r="93" spans="1:36" x14ac:dyDescent="0.25">
      <c r="A93" s="4"/>
      <c r="B93" s="3"/>
    </row>
    <row r="94" spans="1:36" x14ac:dyDescent="0.25">
      <c r="A94" s="4"/>
      <c r="B94" s="3"/>
      <c r="E94" s="171">
        <f>+E74+E12+E20</f>
        <v>33123636.11999999</v>
      </c>
      <c r="G94" s="163">
        <f>+G12+G20+G74</f>
        <v>-3927356.6300000008</v>
      </c>
      <c r="I94" s="163">
        <f>+I12+I20+I74</f>
        <v>-1225395.02</v>
      </c>
      <c r="K94" s="163">
        <f>+K12+K20+K74</f>
        <v>4698890.339999998</v>
      </c>
      <c r="M94" s="163">
        <f>+M12+M20+M74</f>
        <v>-33856.559999999998</v>
      </c>
      <c r="O94" s="163">
        <f>+O12+O20+O74</f>
        <v>10585362.600000001</v>
      </c>
      <c r="Q94" s="163">
        <f>+Q12+Q20+Q74</f>
        <v>15100425.199999999</v>
      </c>
      <c r="S94" s="163">
        <f>+S12+S20+S74</f>
        <v>20075.139999999985</v>
      </c>
      <c r="U94" s="163">
        <f>+U12+U20+U74</f>
        <v>-1728</v>
      </c>
      <c r="W94" s="163">
        <f>+W12+W20+W74</f>
        <v>3786937.2899999996</v>
      </c>
      <c r="Y94" s="163">
        <f>+Y12+Y20+Y74</f>
        <v>-3855654.3099999996</v>
      </c>
      <c r="AA94" s="163">
        <f>+AA12+AA20+AA74</f>
        <v>3012381.87</v>
      </c>
      <c r="AC94" s="163">
        <f>+AC12+AC20+AC74</f>
        <v>5817697.7100000009</v>
      </c>
      <c r="AE94" s="163">
        <f>+AE12+AE20+AE74</f>
        <v>-915380.27</v>
      </c>
      <c r="AG94" s="163">
        <f>+AG12+AG20+AG74</f>
        <v>0</v>
      </c>
      <c r="AI94" s="163">
        <f>+AI12+AI20+AI74</f>
        <v>61236.76</v>
      </c>
    </row>
    <row r="95" spans="1:36" x14ac:dyDescent="0.25">
      <c r="A95" s="4"/>
      <c r="B95" s="3"/>
      <c r="E95" s="171">
        <v>33123636</v>
      </c>
      <c r="K95">
        <v>739321</v>
      </c>
    </row>
    <row r="96" spans="1:36" x14ac:dyDescent="0.25">
      <c r="A96" s="4"/>
      <c r="B96" s="3"/>
      <c r="E96" s="171">
        <f>+E94-E95</f>
        <v>0.11999998986721039</v>
      </c>
      <c r="K96" s="45">
        <f>+K94-K95</f>
        <v>3959569.339999998</v>
      </c>
    </row>
    <row r="97" spans="1:6" x14ac:dyDescent="0.25">
      <c r="A97" s="4"/>
      <c r="B97" s="3"/>
      <c r="E97" s="171">
        <v>0</v>
      </c>
      <c r="F97" t="s">
        <v>231</v>
      </c>
    </row>
    <row r="98" spans="1:6" x14ac:dyDescent="0.25">
      <c r="A98" s="4"/>
      <c r="B98" s="3"/>
      <c r="E98" s="171">
        <f>+E97-E96</f>
        <v>-0.11999998986721039</v>
      </c>
    </row>
    <row r="99" spans="1:6" x14ac:dyDescent="0.25">
      <c r="A99" s="4"/>
      <c r="B99" s="3"/>
      <c r="E99" s="171">
        <v>0</v>
      </c>
    </row>
    <row r="100" spans="1:6" x14ac:dyDescent="0.25">
      <c r="A100" s="4"/>
      <c r="B100" s="3"/>
      <c r="E100" s="171">
        <f>+E98+E99</f>
        <v>-0.11999998986721039</v>
      </c>
    </row>
    <row r="101" spans="1:6" x14ac:dyDescent="0.25">
      <c r="A101" s="4"/>
      <c r="B101" s="3"/>
    </row>
    <row r="102" spans="1:6" x14ac:dyDescent="0.25">
      <c r="A102" s="4"/>
      <c r="B102" s="3"/>
    </row>
    <row r="103" spans="1:6" x14ac:dyDescent="0.25">
      <c r="A103" s="4"/>
      <c r="B103" s="3"/>
    </row>
    <row r="104" spans="1:6" x14ac:dyDescent="0.25">
      <c r="A104" s="4"/>
      <c r="B104" s="3"/>
    </row>
    <row r="105" spans="1:6" x14ac:dyDescent="0.25">
      <c r="A105" s="4"/>
      <c r="B105" s="3"/>
    </row>
    <row r="106" spans="1:6" x14ac:dyDescent="0.25">
      <c r="A106" s="4"/>
      <c r="B106" s="3"/>
    </row>
    <row r="107" spans="1:6" x14ac:dyDescent="0.25">
      <c r="A107" s="4"/>
      <c r="B107" s="3"/>
    </row>
    <row r="108" spans="1:6" x14ac:dyDescent="0.25">
      <c r="A108" s="4"/>
      <c r="B108" s="3"/>
    </row>
    <row r="109" spans="1:6" x14ac:dyDescent="0.25">
      <c r="A109" s="4"/>
      <c r="B109" s="3"/>
    </row>
    <row r="110" spans="1:6" x14ac:dyDescent="0.25">
      <c r="A110" s="4"/>
      <c r="B110" s="3"/>
    </row>
    <row r="111" spans="1:6" x14ac:dyDescent="0.25">
      <c r="A111" s="4"/>
      <c r="B111" s="3"/>
    </row>
    <row r="112" spans="1:6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D20" sqref="D2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118310530</v>
      </c>
      <c r="E11" s="146">
        <v>506294564</v>
      </c>
      <c r="F11" s="60">
        <f>H11-D11</f>
        <v>0</v>
      </c>
      <c r="G11" s="37">
        <f>I11-E11</f>
        <v>0</v>
      </c>
      <c r="H11" s="65">
        <f t="shared" ref="H11:I15" si="0">D11</f>
        <v>118310530</v>
      </c>
      <c r="I11" s="66">
        <f t="shared" si="0"/>
        <v>506294564</v>
      </c>
      <c r="J11" s="37"/>
      <c r="K11" s="38"/>
      <c r="L11" s="60">
        <f t="shared" ref="L11:M15" si="1">H11+J11</f>
        <v>118310530</v>
      </c>
      <c r="M11" s="38">
        <f t="shared" si="1"/>
        <v>506294564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50611404</v>
      </c>
      <c r="E13" s="146">
        <v>217669162</v>
      </c>
      <c r="F13" s="60">
        <f t="shared" si="2"/>
        <v>0</v>
      </c>
      <c r="G13" s="37">
        <f t="shared" si="2"/>
        <v>0</v>
      </c>
      <c r="H13" s="65">
        <f t="shared" si="0"/>
        <v>50611404</v>
      </c>
      <c r="I13" s="66">
        <f t="shared" si="0"/>
        <v>217669162</v>
      </c>
      <c r="J13" s="37"/>
      <c r="K13" s="38"/>
      <c r="L13" s="60">
        <f t="shared" si="1"/>
        <v>50611404</v>
      </c>
      <c r="M13" s="38">
        <f t="shared" si="1"/>
        <v>217669162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168921934</v>
      </c>
      <c r="E16" s="166">
        <v>723963726</v>
      </c>
      <c r="F16" s="61">
        <f t="shared" ref="F16:M16" si="3">SUM(F11:F15)</f>
        <v>0</v>
      </c>
      <c r="G16" s="39">
        <f t="shared" si="3"/>
        <v>0</v>
      </c>
      <c r="H16" s="61">
        <f>SUM(H11:H15)</f>
        <v>168921934</v>
      </c>
      <c r="I16" s="39">
        <f>SUM(I11:I15)</f>
        <v>723963726</v>
      </c>
      <c r="J16" s="133">
        <f t="shared" si="3"/>
        <v>0</v>
      </c>
      <c r="K16" s="39">
        <f t="shared" si="3"/>
        <v>0</v>
      </c>
      <c r="L16" s="61">
        <f t="shared" si="3"/>
        <v>168921934</v>
      </c>
      <c r="M16" s="39">
        <f t="shared" si="3"/>
        <v>723963726</v>
      </c>
    </row>
    <row r="17" spans="1:13" x14ac:dyDescent="0.25">
      <c r="A17" s="9"/>
      <c r="B17" s="7"/>
      <c r="C17" s="6"/>
      <c r="D17" s="149"/>
      <c r="E17" s="149"/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/>
      <c r="E18" s="149"/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-125740421</v>
      </c>
      <c r="E19" s="146">
        <v>-536704709</v>
      </c>
      <c r="F19" s="60">
        <f>H19-D19</f>
        <v>0</v>
      </c>
      <c r="G19" s="37">
        <f>I19-E19</f>
        <v>0</v>
      </c>
      <c r="H19" s="65">
        <f t="shared" si="4"/>
        <v>-125740421</v>
      </c>
      <c r="I19" s="66">
        <f t="shared" si="4"/>
        <v>-536704709</v>
      </c>
      <c r="J19" s="37">
        <v>0</v>
      </c>
      <c r="K19" s="38">
        <v>0</v>
      </c>
      <c r="L19" s="60">
        <f t="shared" ref="L19:M23" si="5">H19+J19</f>
        <v>-125740421</v>
      </c>
      <c r="M19" s="38">
        <f t="shared" si="5"/>
        <v>-536704709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-43573513</v>
      </c>
      <c r="E21" s="146">
        <v>-186858667</v>
      </c>
      <c r="F21" s="60">
        <f t="shared" si="6"/>
        <v>0</v>
      </c>
      <c r="G21" s="37">
        <f t="shared" si="6"/>
        <v>0</v>
      </c>
      <c r="H21" s="65">
        <f t="shared" si="4"/>
        <v>-43573513</v>
      </c>
      <c r="I21" s="66">
        <f t="shared" si="4"/>
        <v>-186858667</v>
      </c>
      <c r="J21" s="37"/>
      <c r="K21" s="38"/>
      <c r="L21" s="60">
        <f t="shared" si="5"/>
        <v>-43573513</v>
      </c>
      <c r="M21" s="38">
        <f t="shared" si="5"/>
        <v>-186858667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178409</v>
      </c>
      <c r="E23" s="146">
        <v>718499</v>
      </c>
      <c r="F23" s="60">
        <f t="shared" si="6"/>
        <v>0</v>
      </c>
      <c r="G23" s="37">
        <f t="shared" si="6"/>
        <v>0</v>
      </c>
      <c r="H23" s="65">
        <f t="shared" si="4"/>
        <v>178409</v>
      </c>
      <c r="I23" s="66">
        <f t="shared" si="4"/>
        <v>718499</v>
      </c>
      <c r="J23" s="37"/>
      <c r="K23" s="38"/>
      <c r="L23" s="60">
        <f t="shared" si="5"/>
        <v>178409</v>
      </c>
      <c r="M23" s="38">
        <f t="shared" si="5"/>
        <v>718499</v>
      </c>
    </row>
    <row r="24" spans="1:13" x14ac:dyDescent="0.25">
      <c r="A24" s="9"/>
      <c r="B24" s="7" t="s">
        <v>33</v>
      </c>
      <c r="C24" s="6"/>
      <c r="D24" s="166">
        <v>-169135525</v>
      </c>
      <c r="E24" s="166">
        <v>-722844877</v>
      </c>
      <c r="F24" s="61">
        <f t="shared" ref="F24:M24" si="7">SUM(F19:F23)</f>
        <v>0</v>
      </c>
      <c r="G24" s="39">
        <f t="shared" si="7"/>
        <v>0</v>
      </c>
      <c r="H24" s="61">
        <f>SUM(H19:H23)</f>
        <v>-169135525</v>
      </c>
      <c r="I24" s="39">
        <f>SUM(I19:I23)</f>
        <v>-722844877</v>
      </c>
      <c r="J24" s="133">
        <f t="shared" si="7"/>
        <v>0</v>
      </c>
      <c r="K24" s="39">
        <f t="shared" si="7"/>
        <v>0</v>
      </c>
      <c r="L24" s="61">
        <f t="shared" si="7"/>
        <v>-169135525</v>
      </c>
      <c r="M24" s="39">
        <f t="shared" si="7"/>
        <v>-722844877</v>
      </c>
    </row>
    <row r="25" spans="1:13" x14ac:dyDescent="0.25">
      <c r="A25" s="9"/>
      <c r="B25" s="7"/>
      <c r="C25" s="6"/>
      <c r="D25" s="149"/>
      <c r="E25" s="149"/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/>
      <c r="E26" s="149"/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/>
      <c r="E27" s="146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/>
      <c r="E28" s="146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/>
      <c r="E30" s="149"/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/>
      <c r="E31" s="149"/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92584</v>
      </c>
      <c r="E32" s="146">
        <v>401217</v>
      </c>
      <c r="F32" s="60">
        <f>H32-D32</f>
        <v>0</v>
      </c>
      <c r="G32" s="37">
        <f>I32-E32</f>
        <v>0</v>
      </c>
      <c r="H32" s="65">
        <f t="shared" ref="H32:I35" si="9">D32</f>
        <v>92584</v>
      </c>
      <c r="I32" s="66">
        <f t="shared" si="9"/>
        <v>401217</v>
      </c>
      <c r="J32" s="37"/>
      <c r="K32" s="38"/>
      <c r="L32" s="60">
        <f t="shared" ref="L32:M35" si="10">H32+J32</f>
        <v>92584</v>
      </c>
      <c r="M32" s="38">
        <f t="shared" si="10"/>
        <v>401217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-35514</v>
      </c>
      <c r="E35" s="146">
        <v>-119517</v>
      </c>
      <c r="F35" s="60">
        <f t="shared" si="11"/>
        <v>0</v>
      </c>
      <c r="G35" s="37">
        <f t="shared" si="11"/>
        <v>0</v>
      </c>
      <c r="H35" s="65">
        <f t="shared" si="9"/>
        <v>-35514</v>
      </c>
      <c r="I35" s="66">
        <f t="shared" si="9"/>
        <v>-119517</v>
      </c>
      <c r="J35" s="37">
        <v>0</v>
      </c>
      <c r="K35" s="38">
        <v>0</v>
      </c>
      <c r="L35" s="60">
        <f t="shared" si="10"/>
        <v>-35514</v>
      </c>
      <c r="M35" s="38">
        <f t="shared" si="10"/>
        <v>-119517</v>
      </c>
    </row>
    <row r="36" spans="1:13" x14ac:dyDescent="0.25">
      <c r="A36" s="9"/>
      <c r="B36" s="7" t="s">
        <v>43</v>
      </c>
      <c r="C36" s="6"/>
      <c r="D36" s="166">
        <v>57070</v>
      </c>
      <c r="E36" s="166">
        <v>281700</v>
      </c>
      <c r="F36" s="61">
        <f>SUM(F32:F35)</f>
        <v>0</v>
      </c>
      <c r="G36" s="39">
        <f>SUM(G32:G35)</f>
        <v>0</v>
      </c>
      <c r="H36" s="61">
        <f>SUM(H32:H35)</f>
        <v>57070</v>
      </c>
      <c r="I36" s="39">
        <f>SUM(I32:I35)</f>
        <v>281700</v>
      </c>
      <c r="J36" s="133">
        <f>SUM(J32:J34)</f>
        <v>0</v>
      </c>
      <c r="K36" s="39">
        <f>SUM(K32:K34)</f>
        <v>0</v>
      </c>
      <c r="L36" s="61">
        <f>SUM(L32:L35)</f>
        <v>57070</v>
      </c>
      <c r="M36" s="39">
        <f>SUM(M32:M35)</f>
        <v>281700</v>
      </c>
    </row>
    <row r="37" spans="1:13" x14ac:dyDescent="0.25">
      <c r="A37" s="9"/>
      <c r="B37" s="7"/>
      <c r="C37" s="6"/>
      <c r="D37" s="149"/>
      <c r="E37" s="149"/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/>
      <c r="E38" s="149"/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/>
      <c r="E44" s="149"/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/>
      <c r="E45" s="146"/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/>
      <c r="E46" s="149"/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/>
      <c r="E47" s="146"/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/>
      <c r="E48" s="149"/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156521</v>
      </c>
      <c r="E49" s="146">
        <v>-663649.04</v>
      </c>
      <c r="F49" s="60">
        <f>H49-D49</f>
        <v>0</v>
      </c>
      <c r="G49" s="37">
        <f>I49-E49</f>
        <v>0</v>
      </c>
      <c r="H49" s="65">
        <f>D49</f>
        <v>156521</v>
      </c>
      <c r="I49" s="66">
        <f>E49</f>
        <v>-663649.04</v>
      </c>
      <c r="J49" s="37"/>
      <c r="K49" s="38"/>
      <c r="L49" s="60">
        <f>H49+J49</f>
        <v>156521</v>
      </c>
      <c r="M49" s="38">
        <f>I49+K49</f>
        <v>-663649.04</v>
      </c>
    </row>
    <row r="50" spans="1:15" x14ac:dyDescent="0.25">
      <c r="A50" s="9"/>
      <c r="B50" s="7"/>
      <c r="C50" s="6"/>
      <c r="D50" s="149"/>
      <c r="E50" s="149"/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-178409</v>
      </c>
      <c r="E51" s="146">
        <v>-718499</v>
      </c>
      <c r="F51" s="60">
        <f>H51-D51</f>
        <v>0</v>
      </c>
      <c r="G51" s="37">
        <f>I51-E51</f>
        <v>0</v>
      </c>
      <c r="H51" s="65">
        <f>D51</f>
        <v>-178409</v>
      </c>
      <c r="I51" s="66">
        <f>E51</f>
        <v>-718499</v>
      </c>
      <c r="J51" s="37"/>
      <c r="K51" s="38"/>
      <c r="L51" s="60">
        <f>H51+J51</f>
        <v>-178409</v>
      </c>
      <c r="M51" s="38">
        <f>I51+K51</f>
        <v>-718499</v>
      </c>
    </row>
    <row r="52" spans="1:15" x14ac:dyDescent="0.25">
      <c r="A52" s="9"/>
      <c r="B52" s="7"/>
      <c r="C52" s="6"/>
      <c r="D52" s="149"/>
      <c r="E52" s="149"/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/>
      <c r="E53" s="149"/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/>
      <c r="E54" s="146">
        <v>-212416.14660000009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-212416.14660000009</v>
      </c>
      <c r="J54" s="37"/>
      <c r="K54" s="38"/>
      <c r="L54" s="60">
        <f>H54+J54</f>
        <v>0</v>
      </c>
      <c r="M54" s="38">
        <f>I54+K54</f>
        <v>-212416.14660000009</v>
      </c>
    </row>
    <row r="55" spans="1:15" x14ac:dyDescent="0.25">
      <c r="A55" s="9">
        <v>25</v>
      </c>
      <c r="B55" s="7"/>
      <c r="C55" s="18" t="s">
        <v>56</v>
      </c>
      <c r="D55" s="146"/>
      <c r="E55" s="146">
        <v>-1777260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-1777260</v>
      </c>
      <c r="J55" s="37"/>
      <c r="K55" s="38"/>
      <c r="L55" s="60">
        <f>H55+J55</f>
        <v>0</v>
      </c>
      <c r="M55" s="38">
        <f>I55+K55</f>
        <v>-1777260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-1989676.1466000001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-1989676.1466000001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-1989676.1466000001</v>
      </c>
    </row>
    <row r="57" spans="1:15" x14ac:dyDescent="0.25">
      <c r="A57" s="9"/>
      <c r="B57" s="7"/>
      <c r="C57" s="6"/>
      <c r="D57" s="149"/>
      <c r="E57" s="149"/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/>
      <c r="E58" s="149"/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/>
      <c r="E59" s="146"/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/>
      <c r="E60" s="146"/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/>
      <c r="E62" s="149"/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/>
      <c r="E63" s="149"/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/>
      <c r="E64" s="146"/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/>
      <c r="E65" s="146"/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/>
      <c r="E67" s="149"/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/>
      <c r="E68" s="149"/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/>
      <c r="E69" s="149"/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/>
      <c r="E70" s="146">
        <v>11822013.162300002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11822013.162300002</v>
      </c>
      <c r="J70" s="37"/>
      <c r="K70" s="38"/>
      <c r="L70" s="60">
        <f t="shared" si="20"/>
        <v>0</v>
      </c>
      <c r="M70" s="38">
        <f t="shared" si="20"/>
        <v>11822013.162300002</v>
      </c>
    </row>
    <row r="71" spans="1:13" x14ac:dyDescent="0.25">
      <c r="A71" s="9">
        <v>31</v>
      </c>
      <c r="B71" s="3"/>
      <c r="C71" s="10" t="s">
        <v>68</v>
      </c>
      <c r="D71" s="146"/>
      <c r="E71" s="146">
        <v>-15976612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-15976612</v>
      </c>
      <c r="J71" s="37"/>
      <c r="K71" s="38"/>
      <c r="L71" s="60">
        <f t="shared" si="20"/>
        <v>0</v>
      </c>
      <c r="M71" s="38">
        <f t="shared" si="20"/>
        <v>-15976612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-4154598.8376999982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-4154598.8376999982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-4154598.8376999982</v>
      </c>
    </row>
    <row r="73" spans="1:13" x14ac:dyDescent="0.25">
      <c r="A73" s="9">
        <v>32</v>
      </c>
      <c r="B73" s="3"/>
      <c r="C73" s="10" t="s">
        <v>70</v>
      </c>
      <c r="D73" s="146"/>
      <c r="E73" s="146"/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5">
      <c r="A74" s="9">
        <v>33</v>
      </c>
      <c r="B74" s="3"/>
      <c r="C74" s="10" t="s">
        <v>71</v>
      </c>
      <c r="D74" s="146"/>
      <c r="E74" s="146">
        <v>7700994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7700994</v>
      </c>
      <c r="J74" s="37"/>
      <c r="K74" s="38"/>
      <c r="L74" s="60">
        <f t="shared" si="24"/>
        <v>0</v>
      </c>
      <c r="M74" s="38">
        <f t="shared" si="24"/>
        <v>7700994</v>
      </c>
    </row>
    <row r="75" spans="1:13" x14ac:dyDescent="0.25">
      <c r="A75" s="9">
        <v>34</v>
      </c>
      <c r="B75" s="3"/>
      <c r="C75" s="10" t="s">
        <v>72</v>
      </c>
      <c r="D75" s="146"/>
      <c r="E75" s="146">
        <v>172538.1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172538.1</v>
      </c>
      <c r="J75" s="37"/>
      <c r="K75" s="38"/>
      <c r="L75" s="60">
        <f t="shared" si="24"/>
        <v>0</v>
      </c>
      <c r="M75" s="38">
        <f t="shared" si="24"/>
        <v>172538.1</v>
      </c>
    </row>
    <row r="76" spans="1:13" x14ac:dyDescent="0.25">
      <c r="A76" s="9">
        <v>35</v>
      </c>
      <c r="B76" s="3"/>
      <c r="C76" s="10" t="s">
        <v>73</v>
      </c>
      <c r="D76" s="146"/>
      <c r="E76" s="146">
        <v>0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0</v>
      </c>
      <c r="J76" s="37"/>
      <c r="K76" s="38"/>
      <c r="L76" s="60">
        <f t="shared" si="24"/>
        <v>0</v>
      </c>
      <c r="M76" s="38">
        <f t="shared" si="24"/>
        <v>0</v>
      </c>
    </row>
    <row r="77" spans="1:13" x14ac:dyDescent="0.25">
      <c r="A77" s="9">
        <v>36</v>
      </c>
      <c r="B77" s="3"/>
      <c r="C77" s="10" t="s">
        <v>74</v>
      </c>
      <c r="D77" s="146"/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5">
      <c r="A78" s="9">
        <v>37</v>
      </c>
      <c r="B78" s="3"/>
      <c r="C78" s="10" t="s">
        <v>75</v>
      </c>
      <c r="D78" s="146"/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5">
      <c r="A79" s="9">
        <v>38</v>
      </c>
      <c r="B79" s="3"/>
      <c r="C79" s="10" t="s">
        <v>76</v>
      </c>
      <c r="D79" s="146"/>
      <c r="E79" s="146">
        <v>1016486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1016486</v>
      </c>
      <c r="J79" s="37"/>
      <c r="K79" s="38"/>
      <c r="L79" s="60">
        <f t="shared" si="24"/>
        <v>0</v>
      </c>
      <c r="M79" s="38">
        <f t="shared" si="24"/>
        <v>1016486</v>
      </c>
    </row>
    <row r="80" spans="1:13" x14ac:dyDescent="0.25">
      <c r="A80" s="9">
        <v>39</v>
      </c>
      <c r="B80" s="3"/>
      <c r="C80" s="10" t="s">
        <v>77</v>
      </c>
      <c r="D80" s="146"/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5">
      <c r="A81" s="9">
        <v>40</v>
      </c>
      <c r="B81" s="3"/>
      <c r="C81" s="10" t="s">
        <v>78</v>
      </c>
      <c r="D81" s="146"/>
      <c r="E81" s="146">
        <v>333398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333398</v>
      </c>
      <c r="J81" s="37"/>
      <c r="K81" s="38"/>
      <c r="L81" s="60">
        <f t="shared" si="24"/>
        <v>0</v>
      </c>
      <c r="M81" s="38">
        <f t="shared" si="24"/>
        <v>333398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/>
      <c r="E82" s="141"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3097542.0757000144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3097542.0757000144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8" sqref="D1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4331184</v>
      </c>
      <c r="E11" s="146">
        <v>18664400</v>
      </c>
      <c r="F11" s="60">
        <f>H11-D11</f>
        <v>0</v>
      </c>
      <c r="G11" s="37">
        <f>I11-E11</f>
        <v>0</v>
      </c>
      <c r="H11" s="65">
        <f t="shared" ref="H11:I15" si="0">D11</f>
        <v>4331184</v>
      </c>
      <c r="I11" s="66">
        <f t="shared" si="0"/>
        <v>18664400</v>
      </c>
      <c r="J11" s="37"/>
      <c r="K11" s="38"/>
      <c r="L11" s="60">
        <f t="shared" ref="L11:M15" si="1">H11+J11</f>
        <v>4331184</v>
      </c>
      <c r="M11" s="38">
        <f t="shared" si="1"/>
        <v>18664400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6364383</v>
      </c>
      <c r="E13" s="146">
        <v>27355816</v>
      </c>
      <c r="F13" s="60">
        <f t="shared" si="2"/>
        <v>0</v>
      </c>
      <c r="G13" s="37">
        <f t="shared" si="2"/>
        <v>0</v>
      </c>
      <c r="H13" s="65">
        <f t="shared" si="0"/>
        <v>6364383</v>
      </c>
      <c r="I13" s="66">
        <f t="shared" si="0"/>
        <v>27355816</v>
      </c>
      <c r="J13" s="37"/>
      <c r="K13" s="38"/>
      <c r="L13" s="60">
        <f t="shared" si="1"/>
        <v>6364383</v>
      </c>
      <c r="M13" s="38">
        <f t="shared" si="1"/>
        <v>27355816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10695567</v>
      </c>
      <c r="E16" s="166">
        <v>46020216</v>
      </c>
      <c r="F16" s="61">
        <f t="shared" ref="F16:M16" si="3">SUM(F11:F15)</f>
        <v>0</v>
      </c>
      <c r="G16" s="39">
        <f t="shared" si="3"/>
        <v>0</v>
      </c>
      <c r="H16" s="61">
        <f>SUM(H11:H15)</f>
        <v>10695567</v>
      </c>
      <c r="I16" s="39">
        <f>SUM(I11:I15)</f>
        <v>46020216</v>
      </c>
      <c r="J16" s="133">
        <f t="shared" si="3"/>
        <v>0</v>
      </c>
      <c r="K16" s="39">
        <f t="shared" si="3"/>
        <v>0</v>
      </c>
      <c r="L16" s="61">
        <f t="shared" si="3"/>
        <v>10695567</v>
      </c>
      <c r="M16" s="39">
        <f t="shared" si="3"/>
        <v>46020216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0</v>
      </c>
      <c r="E19" s="146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37">
        <v>0</v>
      </c>
      <c r="K19" s="38">
        <v>0</v>
      </c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-10735001</v>
      </c>
      <c r="E21" s="146">
        <v>-46636512</v>
      </c>
      <c r="F21" s="60">
        <f t="shared" si="6"/>
        <v>0</v>
      </c>
      <c r="G21" s="37">
        <f t="shared" si="6"/>
        <v>0</v>
      </c>
      <c r="H21" s="65">
        <f t="shared" si="4"/>
        <v>-10735001</v>
      </c>
      <c r="I21" s="66">
        <f t="shared" si="4"/>
        <v>-46636512</v>
      </c>
      <c r="J21" s="37"/>
      <c r="K21" s="38"/>
      <c r="L21" s="60">
        <f t="shared" si="5"/>
        <v>-10735001</v>
      </c>
      <c r="M21" s="38">
        <f t="shared" si="5"/>
        <v>-46636512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3069</v>
      </c>
      <c r="E23" s="146">
        <v>12843</v>
      </c>
      <c r="F23" s="60">
        <f t="shared" si="6"/>
        <v>0</v>
      </c>
      <c r="G23" s="37">
        <f t="shared" si="6"/>
        <v>0</v>
      </c>
      <c r="H23" s="65">
        <f t="shared" si="4"/>
        <v>3069</v>
      </c>
      <c r="I23" s="66">
        <f t="shared" si="4"/>
        <v>12843</v>
      </c>
      <c r="J23" s="37"/>
      <c r="K23" s="38"/>
      <c r="L23" s="60">
        <f t="shared" si="5"/>
        <v>3069</v>
      </c>
      <c r="M23" s="38">
        <f t="shared" si="5"/>
        <v>12843</v>
      </c>
    </row>
    <row r="24" spans="1:13" x14ac:dyDescent="0.25">
      <c r="A24" s="9"/>
      <c r="B24" s="7" t="s">
        <v>33</v>
      </c>
      <c r="C24" s="6"/>
      <c r="D24" s="166">
        <v>-10731932</v>
      </c>
      <c r="E24" s="166">
        <v>-46623669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-10731932</v>
      </c>
      <c r="I24" s="39">
        <f>SUM(I19:I23)</f>
        <v>-46623669</v>
      </c>
      <c r="J24" s="133">
        <f t="shared" si="7"/>
        <v>0</v>
      </c>
      <c r="K24" s="39">
        <f t="shared" si="7"/>
        <v>0</v>
      </c>
      <c r="L24" s="61">
        <f t="shared" si="7"/>
        <v>-10731932</v>
      </c>
      <c r="M24" s="39">
        <f t="shared" si="7"/>
        <v>-46623669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51919</v>
      </c>
      <c r="E32" s="146">
        <v>539590</v>
      </c>
      <c r="F32" s="60">
        <f>H32-D32</f>
        <v>0</v>
      </c>
      <c r="G32" s="37">
        <f>I32-E32</f>
        <v>0</v>
      </c>
      <c r="H32" s="65">
        <f t="shared" ref="H32:I35" si="9">D32</f>
        <v>51919</v>
      </c>
      <c r="I32" s="66">
        <f t="shared" si="9"/>
        <v>539590</v>
      </c>
      <c r="J32" s="37"/>
      <c r="K32" s="38"/>
      <c r="L32" s="60">
        <f t="shared" ref="L32:M35" si="10">H32+J32</f>
        <v>51919</v>
      </c>
      <c r="M32" s="38">
        <f t="shared" si="10"/>
        <v>539590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51919</v>
      </c>
      <c r="E36" s="166">
        <v>539590</v>
      </c>
      <c r="F36" s="61">
        <f>SUM(F32:F35)</f>
        <v>0</v>
      </c>
      <c r="G36" s="39">
        <f>SUM(G32:G35)</f>
        <v>0</v>
      </c>
      <c r="H36" s="61">
        <f>SUM(H32:H35)</f>
        <v>51919</v>
      </c>
      <c r="I36" s="39">
        <f>SUM(I32:I35)</f>
        <v>539590</v>
      </c>
      <c r="J36" s="133">
        <f>SUM(J32:J34)</f>
        <v>0</v>
      </c>
      <c r="K36" s="39">
        <f>SUM(K32:K34)</f>
        <v>0</v>
      </c>
      <c r="L36" s="61">
        <f>SUM(L32:L35)</f>
        <v>51919</v>
      </c>
      <c r="M36" s="39">
        <f>SUM(M32:M35)</f>
        <v>539590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-15554</v>
      </c>
      <c r="E49" s="146">
        <v>-66882.2</v>
      </c>
      <c r="F49" s="60">
        <f>H49-D49</f>
        <v>0</v>
      </c>
      <c r="G49" s="37">
        <f>I49-E49</f>
        <v>0</v>
      </c>
      <c r="H49" s="65">
        <f>D49</f>
        <v>-15554</v>
      </c>
      <c r="I49" s="66">
        <f>E49</f>
        <v>-66882.2</v>
      </c>
      <c r="J49" s="37"/>
      <c r="K49" s="38"/>
      <c r="L49" s="60">
        <f>H49+J49</f>
        <v>-15554</v>
      </c>
      <c r="M49" s="38">
        <f>I49+K49</f>
        <v>-66882.2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-3069</v>
      </c>
      <c r="E51" s="146">
        <v>-12843</v>
      </c>
      <c r="F51" s="60">
        <f>H51-D51</f>
        <v>0</v>
      </c>
      <c r="G51" s="37">
        <f>I51-E51</f>
        <v>0</v>
      </c>
      <c r="H51" s="65">
        <f>D51</f>
        <v>-3069</v>
      </c>
      <c r="I51" s="66">
        <f>E51</f>
        <v>-12843</v>
      </c>
      <c r="J51" s="37"/>
      <c r="K51" s="38"/>
      <c r="L51" s="60">
        <f>H51+J51</f>
        <v>-3069</v>
      </c>
      <c r="M51" s="38">
        <f>I51+K51</f>
        <v>-12843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-2163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-2163</v>
      </c>
      <c r="J54" s="37"/>
      <c r="K54" s="38"/>
      <c r="L54" s="60">
        <f>H54+J54</f>
        <v>0</v>
      </c>
      <c r="M54" s="38">
        <f>I54+K54</f>
        <v>-2163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-7370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-7370</v>
      </c>
      <c r="J55" s="37"/>
      <c r="K55" s="38"/>
      <c r="L55" s="60">
        <f>H55+J55</f>
        <v>0</v>
      </c>
      <c r="M55" s="38">
        <f>I55+K55</f>
        <v>-7370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-9533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-9533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-9533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2321550.9972000001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2321550.9972000001</v>
      </c>
      <c r="J70" s="37"/>
      <c r="K70" s="38"/>
      <c r="L70" s="60">
        <f t="shared" si="20"/>
        <v>0</v>
      </c>
      <c r="M70" s="38">
        <f t="shared" si="20"/>
        <v>2321550.9972000001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-1741430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-1741430</v>
      </c>
      <c r="J71" s="37"/>
      <c r="K71" s="38"/>
      <c r="L71" s="60">
        <f t="shared" si="20"/>
        <v>0</v>
      </c>
      <c r="M71" s="38">
        <f t="shared" si="20"/>
        <v>-1741430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580120.9972000001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580120.9972000001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580120.9972000001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-527435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-527435</v>
      </c>
      <c r="J74" s="37"/>
      <c r="K74" s="38"/>
      <c r="L74" s="60">
        <f t="shared" si="23"/>
        <v>0</v>
      </c>
      <c r="M74" s="38">
        <f t="shared" si="23"/>
        <v>-527435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62347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62347</v>
      </c>
      <c r="J81" s="37"/>
      <c r="K81" s="38"/>
      <c r="L81" s="60">
        <f t="shared" si="23"/>
        <v>0</v>
      </c>
      <c r="M81" s="38">
        <f t="shared" si="23"/>
        <v>62347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-38088.202800002691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-38088.202800002691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-38088.202800002691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8" sqref="D1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9877555</v>
      </c>
      <c r="E11" s="146">
        <v>43767603</v>
      </c>
      <c r="F11" s="60">
        <f>H11-D11</f>
        <v>0</v>
      </c>
      <c r="G11" s="37">
        <f>I11-E11</f>
        <v>0</v>
      </c>
      <c r="H11" s="65">
        <f t="shared" ref="H11:I15" si="0">D11</f>
        <v>9877555</v>
      </c>
      <c r="I11" s="66">
        <f t="shared" si="0"/>
        <v>43767603</v>
      </c>
      <c r="J11" s="37"/>
      <c r="K11" s="38"/>
      <c r="L11" s="60">
        <f t="shared" ref="L11:M15" si="1">H11+J11</f>
        <v>9877555</v>
      </c>
      <c r="M11" s="38">
        <f t="shared" si="1"/>
        <v>43767603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23219168</v>
      </c>
      <c r="E13" s="146">
        <v>102136858</v>
      </c>
      <c r="F13" s="60">
        <f t="shared" si="2"/>
        <v>0</v>
      </c>
      <c r="G13" s="37">
        <f t="shared" si="2"/>
        <v>0</v>
      </c>
      <c r="H13" s="65">
        <f t="shared" si="0"/>
        <v>23219168</v>
      </c>
      <c r="I13" s="66">
        <f t="shared" si="0"/>
        <v>102136858</v>
      </c>
      <c r="J13" s="37"/>
      <c r="K13" s="38"/>
      <c r="L13" s="60">
        <f t="shared" si="1"/>
        <v>23219168</v>
      </c>
      <c r="M13" s="38">
        <f t="shared" si="1"/>
        <v>102136858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1502272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1502272</v>
      </c>
      <c r="J15" s="37"/>
      <c r="K15" s="38"/>
      <c r="L15" s="60">
        <f t="shared" si="1"/>
        <v>0</v>
      </c>
      <c r="M15" s="38">
        <f t="shared" si="1"/>
        <v>1502272</v>
      </c>
    </row>
    <row r="16" spans="1:26" x14ac:dyDescent="0.25">
      <c r="A16" s="9"/>
      <c r="B16" s="7" t="s">
        <v>30</v>
      </c>
      <c r="C16" s="6"/>
      <c r="D16" s="166">
        <v>33096723</v>
      </c>
      <c r="E16" s="166">
        <v>147406733</v>
      </c>
      <c r="F16" s="61">
        <f t="shared" ref="F16:M16" si="3">SUM(F11:F15)</f>
        <v>0</v>
      </c>
      <c r="G16" s="39">
        <f t="shared" si="3"/>
        <v>0</v>
      </c>
      <c r="H16" s="61">
        <f>SUM(H11:H15)</f>
        <v>33096723</v>
      </c>
      <c r="I16" s="39">
        <f>SUM(I11:I15)</f>
        <v>147406733</v>
      </c>
      <c r="J16" s="133">
        <f t="shared" si="3"/>
        <v>0</v>
      </c>
      <c r="K16" s="39">
        <f t="shared" si="3"/>
        <v>0</v>
      </c>
      <c r="L16" s="61">
        <f t="shared" si="3"/>
        <v>33096723</v>
      </c>
      <c r="M16" s="39">
        <f t="shared" si="3"/>
        <v>147406733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-3521108</v>
      </c>
      <c r="E19" s="146">
        <v>-14969052</v>
      </c>
      <c r="F19" s="60">
        <f>H19-D19</f>
        <v>0</v>
      </c>
      <c r="G19" s="37">
        <f>I19-E19</f>
        <v>0</v>
      </c>
      <c r="H19" s="65">
        <f t="shared" si="4"/>
        <v>-3521108</v>
      </c>
      <c r="I19" s="66">
        <f t="shared" si="4"/>
        <v>-14969052</v>
      </c>
      <c r="J19" s="37">
        <v>0</v>
      </c>
      <c r="K19" s="38">
        <v>0</v>
      </c>
      <c r="L19" s="60">
        <f t="shared" ref="L19:M23" si="5">H19+J19</f>
        <v>-3521108</v>
      </c>
      <c r="M19" s="38">
        <f t="shared" si="5"/>
        <v>-14969052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-29734470</v>
      </c>
      <c r="E21" s="146">
        <v>-129522006</v>
      </c>
      <c r="F21" s="60">
        <f t="shared" si="6"/>
        <v>0</v>
      </c>
      <c r="G21" s="37">
        <f t="shared" si="6"/>
        <v>0</v>
      </c>
      <c r="H21" s="65">
        <f t="shared" si="4"/>
        <v>-29734470</v>
      </c>
      <c r="I21" s="66">
        <f t="shared" si="4"/>
        <v>-129522006</v>
      </c>
      <c r="J21" s="37"/>
      <c r="K21" s="38"/>
      <c r="L21" s="60">
        <f t="shared" si="5"/>
        <v>-29734470</v>
      </c>
      <c r="M21" s="38">
        <f t="shared" si="5"/>
        <v>-129522006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151464</v>
      </c>
      <c r="E23" s="146">
        <v>634061</v>
      </c>
      <c r="F23" s="60">
        <f t="shared" si="6"/>
        <v>0</v>
      </c>
      <c r="G23" s="37">
        <f t="shared" si="6"/>
        <v>0</v>
      </c>
      <c r="H23" s="65">
        <f t="shared" si="4"/>
        <v>151464</v>
      </c>
      <c r="I23" s="66">
        <f t="shared" si="4"/>
        <v>634061</v>
      </c>
      <c r="J23" s="37"/>
      <c r="K23" s="38"/>
      <c r="L23" s="60">
        <f t="shared" si="5"/>
        <v>151464</v>
      </c>
      <c r="M23" s="38">
        <f t="shared" si="5"/>
        <v>634061</v>
      </c>
    </row>
    <row r="24" spans="1:13" x14ac:dyDescent="0.25">
      <c r="A24" s="9"/>
      <c r="B24" s="7" t="s">
        <v>33</v>
      </c>
      <c r="C24" s="6"/>
      <c r="D24" s="166">
        <v>-33104114</v>
      </c>
      <c r="E24" s="166">
        <v>-143856997</v>
      </c>
      <c r="F24" s="61">
        <f t="shared" ref="F24:M24" si="7">SUM(F19:F23)</f>
        <v>0</v>
      </c>
      <c r="G24" s="39">
        <f t="shared" si="7"/>
        <v>0</v>
      </c>
      <c r="H24" s="61">
        <f>SUM(H19:H23)</f>
        <v>-33104114</v>
      </c>
      <c r="I24" s="39">
        <f>SUM(I19:I23)</f>
        <v>-143856997</v>
      </c>
      <c r="J24" s="133">
        <f t="shared" si="7"/>
        <v>0</v>
      </c>
      <c r="K24" s="39">
        <f t="shared" si="7"/>
        <v>0</v>
      </c>
      <c r="L24" s="61">
        <f t="shared" si="7"/>
        <v>-33104114</v>
      </c>
      <c r="M24" s="39">
        <f t="shared" si="7"/>
        <v>-143856997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7391</v>
      </c>
      <c r="E49" s="146">
        <v>31411.75</v>
      </c>
      <c r="F49" s="60">
        <f>H49-D49</f>
        <v>0</v>
      </c>
      <c r="G49" s="37">
        <f>I49-E49</f>
        <v>0</v>
      </c>
      <c r="H49" s="65">
        <f>D49</f>
        <v>7391</v>
      </c>
      <c r="I49" s="66">
        <f>E49</f>
        <v>31411.75</v>
      </c>
      <c r="J49" s="37"/>
      <c r="K49" s="38"/>
      <c r="L49" s="60">
        <f>H49+J49</f>
        <v>7391</v>
      </c>
      <c r="M49" s="38">
        <f>I49+K49</f>
        <v>31411.75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-151464</v>
      </c>
      <c r="E51" s="146">
        <v>-634061</v>
      </c>
      <c r="F51" s="60">
        <f>H51-D51</f>
        <v>0</v>
      </c>
      <c r="G51" s="37">
        <f>I51-E51</f>
        <v>0</v>
      </c>
      <c r="H51" s="65">
        <f>D51</f>
        <v>-151464</v>
      </c>
      <c r="I51" s="66">
        <f>E51</f>
        <v>-634061</v>
      </c>
      <c r="J51" s="37"/>
      <c r="K51" s="38"/>
      <c r="L51" s="60">
        <f>H51+J51</f>
        <v>-151464</v>
      </c>
      <c r="M51" s="38">
        <f>I51+K51</f>
        <v>-634061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-43511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-43511</v>
      </c>
      <c r="J54" s="37"/>
      <c r="K54" s="38"/>
      <c r="L54" s="60">
        <f>H54+J54</f>
        <v>0</v>
      </c>
      <c r="M54" s="38">
        <f>I54+K54</f>
        <v>-43511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-1502272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-1502272</v>
      </c>
      <c r="J55" s="37"/>
      <c r="K55" s="38"/>
      <c r="L55" s="60">
        <f>H55+J55</f>
        <v>0</v>
      </c>
      <c r="M55" s="38">
        <f>I55+K55</f>
        <v>-1502272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-1545783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-1545783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-1545783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10336992.175900005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10336992.175900005</v>
      </c>
      <c r="J70" s="37"/>
      <c r="K70" s="38"/>
      <c r="L70" s="60">
        <f t="shared" si="20"/>
        <v>0</v>
      </c>
      <c r="M70" s="38">
        <f t="shared" si="20"/>
        <v>10336992.175900005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-8677221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-8677221</v>
      </c>
      <c r="J71" s="37"/>
      <c r="K71" s="38"/>
      <c r="L71" s="60">
        <f t="shared" si="20"/>
        <v>0</v>
      </c>
      <c r="M71" s="38">
        <f t="shared" si="20"/>
        <v>-8677221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1659771.1759000048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1659771.1759000048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1659771.1759000048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-467646.63550000021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-467646.63550000021</v>
      </c>
      <c r="J74" s="37"/>
      <c r="K74" s="38"/>
      <c r="L74" s="60">
        <f t="shared" si="23"/>
        <v>0</v>
      </c>
      <c r="M74" s="38">
        <f t="shared" si="23"/>
        <v>-467646.63550000021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-998728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-998728</v>
      </c>
      <c r="J81" s="37"/>
      <c r="K81" s="38"/>
      <c r="L81" s="60">
        <f t="shared" si="23"/>
        <v>0</v>
      </c>
      <c r="M81" s="38">
        <f t="shared" si="23"/>
        <v>-998728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1594700.2903999984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1594700.2903999984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1594700.2903999984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/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'MidMarket-VAR'!A4</f>
        <v>REGION: MidMarket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1377361</v>
      </c>
      <c r="E11" s="146">
        <v>5802033</v>
      </c>
      <c r="F11" s="60">
        <f>H11-D11</f>
        <v>0</v>
      </c>
      <c r="G11" s="37">
        <f>I11-E11</f>
        <v>0</v>
      </c>
      <c r="H11" s="65">
        <f t="shared" ref="H11:I15" si="0">D11</f>
        <v>1377361</v>
      </c>
      <c r="I11" s="66">
        <f t="shared" si="0"/>
        <v>5802033</v>
      </c>
      <c r="J11" s="37"/>
      <c r="K11" s="38"/>
      <c r="L11" s="60">
        <f t="shared" ref="L11:M15" si="1">H11+J11</f>
        <v>1377361</v>
      </c>
      <c r="M11" s="38">
        <f t="shared" si="1"/>
        <v>5802033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0</v>
      </c>
      <c r="E13" s="146">
        <v>0</v>
      </c>
      <c r="F13" s="60">
        <f t="shared" si="2"/>
        <v>0</v>
      </c>
      <c r="G13" s="37">
        <f t="shared" si="2"/>
        <v>0</v>
      </c>
      <c r="H13" s="65">
        <f t="shared" si="0"/>
        <v>0</v>
      </c>
      <c r="I13" s="66">
        <f t="shared" si="0"/>
        <v>0</v>
      </c>
      <c r="J13" s="37"/>
      <c r="K13" s="38"/>
      <c r="L13" s="60">
        <f t="shared" si="1"/>
        <v>0</v>
      </c>
      <c r="M13" s="38">
        <f t="shared" si="1"/>
        <v>0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1377361</v>
      </c>
      <c r="E16" s="166">
        <v>5802033</v>
      </c>
      <c r="F16" s="61">
        <f t="shared" ref="F16:M16" si="3">SUM(F11:F15)</f>
        <v>0</v>
      </c>
      <c r="G16" s="39">
        <f t="shared" si="3"/>
        <v>0</v>
      </c>
      <c r="H16" s="61">
        <f>SUM(H11:H15)</f>
        <v>1377361</v>
      </c>
      <c r="I16" s="39">
        <f>SUM(I11:I15)</f>
        <v>5802033</v>
      </c>
      <c r="J16" s="133">
        <f t="shared" si="3"/>
        <v>0</v>
      </c>
      <c r="K16" s="39">
        <f t="shared" si="3"/>
        <v>0</v>
      </c>
      <c r="L16" s="61">
        <f t="shared" si="3"/>
        <v>1377361</v>
      </c>
      <c r="M16" s="39">
        <f t="shared" si="3"/>
        <v>5802033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-1395244</v>
      </c>
      <c r="E19" s="146">
        <v>-5739334</v>
      </c>
      <c r="F19" s="60">
        <f>H19-D19</f>
        <v>0</v>
      </c>
      <c r="G19" s="37">
        <f>I19-E19</f>
        <v>0</v>
      </c>
      <c r="H19" s="65">
        <f t="shared" si="4"/>
        <v>-1395244</v>
      </c>
      <c r="I19" s="66">
        <f t="shared" si="4"/>
        <v>-5739334</v>
      </c>
      <c r="J19" s="37">
        <v>0</v>
      </c>
      <c r="K19" s="38">
        <v>0</v>
      </c>
      <c r="L19" s="60">
        <f t="shared" ref="L19:M23" si="5">H19+J19</f>
        <v>-1395244</v>
      </c>
      <c r="M19" s="38">
        <f t="shared" si="5"/>
        <v>-5739334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0</v>
      </c>
      <c r="E21" s="146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37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37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166">
        <v>-1395244</v>
      </c>
      <c r="E24" s="166">
        <v>-5739334</v>
      </c>
      <c r="F24" s="61">
        <f t="shared" ref="F24:M24" si="7">SUM(F19:F23)</f>
        <v>0</v>
      </c>
      <c r="G24" s="39">
        <f t="shared" si="7"/>
        <v>0</v>
      </c>
      <c r="H24" s="61">
        <f>SUM(H19:H23)</f>
        <v>-1395244</v>
      </c>
      <c r="I24" s="39">
        <f>SUM(I19:I23)</f>
        <v>-5739334</v>
      </c>
      <c r="J24" s="133">
        <f t="shared" si="7"/>
        <v>0</v>
      </c>
      <c r="K24" s="39">
        <f t="shared" si="7"/>
        <v>0</v>
      </c>
      <c r="L24" s="61">
        <f t="shared" si="7"/>
        <v>-1395244</v>
      </c>
      <c r="M24" s="39">
        <f t="shared" si="7"/>
        <v>-5739334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17883</v>
      </c>
      <c r="E49" s="146">
        <v>79130.603274660549</v>
      </c>
      <c r="F49" s="60">
        <f>H49-D49</f>
        <v>0</v>
      </c>
      <c r="G49" s="37">
        <f>I49-E49</f>
        <v>0</v>
      </c>
      <c r="H49" s="65">
        <f>D49</f>
        <v>17883</v>
      </c>
      <c r="I49" s="66">
        <f>E49</f>
        <v>79130.603274660549</v>
      </c>
      <c r="J49" s="37"/>
      <c r="K49" s="38"/>
      <c r="L49" s="60">
        <f>H49+J49</f>
        <v>17883</v>
      </c>
      <c r="M49" s="38">
        <f>I49+K49</f>
        <v>79130.603274660549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37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37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16443493.423999999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16443493.423999999</v>
      </c>
      <c r="J70" s="37"/>
      <c r="K70" s="38"/>
      <c r="L70" s="60">
        <f t="shared" si="20"/>
        <v>0</v>
      </c>
      <c r="M70" s="38">
        <f t="shared" si="20"/>
        <v>16443493.423999999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37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16443493.423999999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16443493.423999999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16443493.423999999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-6607767.8269999996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-6607767.8269999996</v>
      </c>
      <c r="J74" s="37"/>
      <c r="K74" s="38"/>
      <c r="L74" s="60">
        <f t="shared" si="23"/>
        <v>0</v>
      </c>
      <c r="M74" s="38">
        <f t="shared" si="23"/>
        <v>-6607767.8269999996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-9289031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-9289031</v>
      </c>
      <c r="J81" s="37"/>
      <c r="K81" s="38"/>
      <c r="L81" s="60">
        <f t="shared" si="23"/>
        <v>0</v>
      </c>
      <c r="M81" s="38">
        <f t="shared" si="23"/>
        <v>-9289031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688524.20027465967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688524.20027465967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688524.20027465967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E87" sqref="E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216">
        <v>153756420</v>
      </c>
      <c r="E11" s="216">
        <v>663373729</v>
      </c>
      <c r="F11" s="60">
        <f>H11-D11</f>
        <v>0</v>
      </c>
      <c r="G11" s="37">
        <f>I11-E11</f>
        <v>0</v>
      </c>
      <c r="H11" s="65">
        <f>D11</f>
        <v>153756420</v>
      </c>
      <c r="I11" s="66">
        <f>E11</f>
        <v>663373729</v>
      </c>
      <c r="J11" s="60"/>
      <c r="K11" s="38"/>
      <c r="L11" s="60">
        <f t="shared" ref="L11:M15" si="0">H11+J11</f>
        <v>153756420</v>
      </c>
      <c r="M11" s="38">
        <f t="shared" si="0"/>
        <v>663373729</v>
      </c>
    </row>
    <row r="12" spans="1:26" x14ac:dyDescent="0.25">
      <c r="A12" s="9">
        <v>2</v>
      </c>
      <c r="B12" s="7"/>
      <c r="C12" s="18" t="s">
        <v>26</v>
      </c>
      <c r="D12" s="216"/>
      <c r="E12" s="216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216">
        <v>98199788</v>
      </c>
      <c r="E13" s="216">
        <v>425874002</v>
      </c>
      <c r="F13" s="60">
        <f t="shared" si="1"/>
        <v>0</v>
      </c>
      <c r="G13" s="37">
        <f t="shared" si="1"/>
        <v>0</v>
      </c>
      <c r="H13" s="65">
        <f t="shared" si="2"/>
        <v>98199788</v>
      </c>
      <c r="I13" s="66">
        <f t="shared" si="2"/>
        <v>425874002</v>
      </c>
      <c r="J13" s="60"/>
      <c r="K13" s="38"/>
      <c r="L13" s="60">
        <f t="shared" si="0"/>
        <v>98199788</v>
      </c>
      <c r="M13" s="38">
        <f t="shared" si="0"/>
        <v>425874002</v>
      </c>
    </row>
    <row r="14" spans="1:26" x14ac:dyDescent="0.25">
      <c r="A14" s="9">
        <v>4</v>
      </c>
      <c r="B14" s="7"/>
      <c r="C14" s="18" t="s">
        <v>28</v>
      </c>
      <c r="D14" s="216">
        <v>0</v>
      </c>
      <c r="E14" s="216">
        <v>30520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30520</v>
      </c>
      <c r="J14" s="60"/>
      <c r="K14" s="38"/>
      <c r="L14" s="60">
        <f t="shared" si="0"/>
        <v>0</v>
      </c>
      <c r="M14" s="38">
        <f t="shared" si="0"/>
        <v>30520</v>
      </c>
    </row>
    <row r="15" spans="1:26" x14ac:dyDescent="0.25">
      <c r="A15" s="9">
        <v>5</v>
      </c>
      <c r="B15" s="7"/>
      <c r="C15" s="18" t="s">
        <v>29</v>
      </c>
      <c r="D15" s="216">
        <v>0</v>
      </c>
      <c r="E15" s="21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217">
        <v>251956208</v>
      </c>
      <c r="E16" s="217">
        <v>1089278251</v>
      </c>
      <c r="F16" s="61">
        <f t="shared" ref="F16:M16" si="3">SUM(F11:F15)</f>
        <v>0</v>
      </c>
      <c r="G16" s="39">
        <f t="shared" si="3"/>
        <v>0</v>
      </c>
      <c r="H16" s="61">
        <f>SUM(H11:H15)</f>
        <v>251956208</v>
      </c>
      <c r="I16" s="39">
        <f>SUM(I11:I15)</f>
        <v>1089278251</v>
      </c>
      <c r="J16" s="61">
        <f t="shared" si="3"/>
        <v>0</v>
      </c>
      <c r="K16" s="39">
        <f t="shared" si="3"/>
        <v>0</v>
      </c>
      <c r="L16" s="61">
        <f t="shared" si="3"/>
        <v>251956208</v>
      </c>
      <c r="M16" s="39">
        <f t="shared" si="3"/>
        <v>1089278251</v>
      </c>
    </row>
    <row r="17" spans="1:13" x14ac:dyDescent="0.25">
      <c r="A17" s="9"/>
      <c r="B17" s="7"/>
      <c r="C17" s="6"/>
      <c r="D17" s="218"/>
      <c r="E17" s="21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218"/>
      <c r="E18" s="21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216">
        <v>-160335517</v>
      </c>
      <c r="E19" s="216">
        <v>-690300032</v>
      </c>
      <c r="F19" s="60">
        <f>H19-D19</f>
        <v>0</v>
      </c>
      <c r="G19" s="37">
        <f>I19-E19</f>
        <v>0</v>
      </c>
      <c r="H19" s="65">
        <f t="shared" si="4"/>
        <v>-160335517</v>
      </c>
      <c r="I19" s="66">
        <f t="shared" si="4"/>
        <v>-690300032</v>
      </c>
      <c r="J19" s="60"/>
      <c r="K19" s="38"/>
      <c r="L19" s="60">
        <f t="shared" ref="L19:M23" si="5">H19+J19</f>
        <v>-160335517</v>
      </c>
      <c r="M19" s="38">
        <f t="shared" si="5"/>
        <v>-690300032</v>
      </c>
    </row>
    <row r="20" spans="1:13" x14ac:dyDescent="0.25">
      <c r="A20" s="9">
        <v>7</v>
      </c>
      <c r="B20" s="7"/>
      <c r="C20" s="18" t="s">
        <v>26</v>
      </c>
      <c r="D20" s="216"/>
      <c r="E20" s="216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216">
        <v>-92207938</v>
      </c>
      <c r="E21" s="216">
        <v>-398424782</v>
      </c>
      <c r="F21" s="60">
        <f t="shared" si="6"/>
        <v>0</v>
      </c>
      <c r="G21" s="37">
        <f t="shared" si="6"/>
        <v>0</v>
      </c>
      <c r="H21" s="65">
        <f t="shared" si="4"/>
        <v>-92207938</v>
      </c>
      <c r="I21" s="66">
        <f t="shared" si="4"/>
        <v>-398424782</v>
      </c>
      <c r="J21" s="60"/>
      <c r="K21" s="38"/>
      <c r="L21" s="60">
        <f t="shared" si="5"/>
        <v>-92207938</v>
      </c>
      <c r="M21" s="38">
        <f t="shared" si="5"/>
        <v>-398424782</v>
      </c>
    </row>
    <row r="22" spans="1:13" x14ac:dyDescent="0.25">
      <c r="A22" s="9">
        <v>9</v>
      </c>
      <c r="B22" s="7"/>
      <c r="C22" s="18" t="s">
        <v>28</v>
      </c>
      <c r="D22" s="216"/>
      <c r="E22" s="216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216">
        <v>574829</v>
      </c>
      <c r="E23" s="216">
        <v>2438737</v>
      </c>
      <c r="F23" s="60">
        <f t="shared" si="6"/>
        <v>0</v>
      </c>
      <c r="G23" s="37">
        <f t="shared" si="6"/>
        <v>0</v>
      </c>
      <c r="H23" s="65">
        <f t="shared" si="4"/>
        <v>574829</v>
      </c>
      <c r="I23" s="66">
        <f t="shared" si="4"/>
        <v>2438737</v>
      </c>
      <c r="J23" s="60"/>
      <c r="K23" s="38"/>
      <c r="L23" s="60">
        <f t="shared" si="5"/>
        <v>574829</v>
      </c>
      <c r="M23" s="38">
        <f t="shared" si="5"/>
        <v>2438737</v>
      </c>
    </row>
    <row r="24" spans="1:13" x14ac:dyDescent="0.25">
      <c r="A24" s="9"/>
      <c r="B24" s="7" t="s">
        <v>33</v>
      </c>
      <c r="C24" s="6"/>
      <c r="D24" s="217">
        <v>-251968626</v>
      </c>
      <c r="E24" s="217">
        <v>-1086286077</v>
      </c>
      <c r="F24" s="61">
        <f t="shared" ref="F24:M24" si="7">SUM(F19:F23)</f>
        <v>0</v>
      </c>
      <c r="G24" s="39">
        <f t="shared" si="7"/>
        <v>0</v>
      </c>
      <c r="H24" s="61">
        <f>SUM(H19:H23)</f>
        <v>-251968626</v>
      </c>
      <c r="I24" s="39">
        <f>SUM(I19:I23)</f>
        <v>-1086286077</v>
      </c>
      <c r="J24" s="61">
        <f t="shared" si="7"/>
        <v>0</v>
      </c>
      <c r="K24" s="39">
        <f t="shared" si="7"/>
        <v>0</v>
      </c>
      <c r="L24" s="61">
        <f t="shared" si="7"/>
        <v>-251968626</v>
      </c>
      <c r="M24" s="39">
        <f t="shared" si="7"/>
        <v>-1086286077</v>
      </c>
    </row>
    <row r="25" spans="1:13" x14ac:dyDescent="0.25">
      <c r="A25" s="9"/>
      <c r="B25" s="7"/>
      <c r="C25" s="6"/>
      <c r="D25" s="218"/>
      <c r="E25" s="21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218"/>
      <c r="E26" s="21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216"/>
      <c r="E27" s="216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216"/>
      <c r="E28" s="216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217">
        <v>0</v>
      </c>
      <c r="E29" s="217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218"/>
      <c r="E30" s="21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218"/>
      <c r="E31" s="21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216">
        <v>-15987</v>
      </c>
      <c r="E32" s="216">
        <v>-68946</v>
      </c>
      <c r="F32" s="60">
        <f>H32-D32</f>
        <v>0</v>
      </c>
      <c r="G32" s="37">
        <f>I32-E32</f>
        <v>0</v>
      </c>
      <c r="H32" s="65">
        <f t="shared" ref="H32:I35" si="9">D32</f>
        <v>-15987</v>
      </c>
      <c r="I32" s="66">
        <f t="shared" si="9"/>
        <v>-68946</v>
      </c>
      <c r="J32" s="60"/>
      <c r="K32" s="38"/>
      <c r="L32" s="60">
        <f t="shared" ref="L32:M35" si="10">H32+J32</f>
        <v>-15987</v>
      </c>
      <c r="M32" s="38">
        <f t="shared" si="10"/>
        <v>-68946</v>
      </c>
    </row>
    <row r="33" spans="1:13" x14ac:dyDescent="0.25">
      <c r="A33" s="9">
        <v>14</v>
      </c>
      <c r="B33" s="7"/>
      <c r="C33" s="18" t="s">
        <v>40</v>
      </c>
      <c r="D33" s="216">
        <v>678108</v>
      </c>
      <c r="E33" s="216">
        <v>2882796</v>
      </c>
      <c r="F33" s="60">
        <f t="shared" ref="F33:G35" si="11">H33-D33</f>
        <v>0</v>
      </c>
      <c r="G33" s="37">
        <f t="shared" si="11"/>
        <v>0</v>
      </c>
      <c r="H33" s="65">
        <f t="shared" si="9"/>
        <v>678108</v>
      </c>
      <c r="I33" s="66">
        <f t="shared" si="9"/>
        <v>2882796</v>
      </c>
      <c r="J33" s="60"/>
      <c r="K33" s="38"/>
      <c r="L33" s="60">
        <f t="shared" si="10"/>
        <v>678108</v>
      </c>
      <c r="M33" s="38">
        <f t="shared" si="10"/>
        <v>2882796</v>
      </c>
    </row>
    <row r="34" spans="1:13" x14ac:dyDescent="0.25">
      <c r="A34" s="9">
        <v>15</v>
      </c>
      <c r="B34" s="7"/>
      <c r="C34" s="18" t="s">
        <v>41</v>
      </c>
      <c r="D34" s="216">
        <v>-624629</v>
      </c>
      <c r="E34" s="216">
        <v>-2675858</v>
      </c>
      <c r="F34" s="60">
        <f t="shared" si="11"/>
        <v>0</v>
      </c>
      <c r="G34" s="37">
        <f t="shared" si="11"/>
        <v>0</v>
      </c>
      <c r="H34" s="65">
        <f t="shared" si="9"/>
        <v>-624629</v>
      </c>
      <c r="I34" s="66">
        <f t="shared" si="9"/>
        <v>-2675858</v>
      </c>
      <c r="J34" s="60"/>
      <c r="K34" s="38"/>
      <c r="L34" s="60">
        <f t="shared" si="10"/>
        <v>-624629</v>
      </c>
      <c r="M34" s="38">
        <f t="shared" si="10"/>
        <v>-2675858</v>
      </c>
    </row>
    <row r="35" spans="1:13" x14ac:dyDescent="0.25">
      <c r="A35" s="9">
        <v>16</v>
      </c>
      <c r="B35" s="7"/>
      <c r="C35" s="18" t="s">
        <v>42</v>
      </c>
      <c r="D35" s="216">
        <v>530010</v>
      </c>
      <c r="E35" s="216">
        <v>2113994</v>
      </c>
      <c r="F35" s="60">
        <f t="shared" si="11"/>
        <v>0</v>
      </c>
      <c r="G35" s="37">
        <f t="shared" si="11"/>
        <v>0</v>
      </c>
      <c r="H35" s="65">
        <f t="shared" si="9"/>
        <v>530010</v>
      </c>
      <c r="I35" s="66">
        <f t="shared" si="9"/>
        <v>2113994</v>
      </c>
      <c r="J35" s="60"/>
      <c r="K35" s="38"/>
      <c r="L35" s="60">
        <f t="shared" si="10"/>
        <v>530010</v>
      </c>
      <c r="M35" s="38">
        <f t="shared" si="10"/>
        <v>2113994</v>
      </c>
    </row>
    <row r="36" spans="1:13" x14ac:dyDescent="0.25">
      <c r="A36" s="9"/>
      <c r="B36" s="7" t="s">
        <v>43</v>
      </c>
      <c r="C36" s="6"/>
      <c r="D36" s="217">
        <v>567502</v>
      </c>
      <c r="E36" s="217">
        <v>2251986</v>
      </c>
      <c r="F36" s="61">
        <f>SUM(F32:F35)</f>
        <v>0</v>
      </c>
      <c r="G36" s="39">
        <f>SUM(G32:G35)</f>
        <v>0</v>
      </c>
      <c r="H36" s="61">
        <f>SUM(H32:H35)</f>
        <v>567502</v>
      </c>
      <c r="I36" s="39">
        <f>SUM(I32:I35)</f>
        <v>2251986</v>
      </c>
      <c r="J36" s="61">
        <f>SUM(J32:J34)</f>
        <v>0</v>
      </c>
      <c r="K36" s="39">
        <f>SUM(K32:K34)</f>
        <v>0</v>
      </c>
      <c r="L36" s="61">
        <f>SUM(L32:L35)</f>
        <v>567502</v>
      </c>
      <c r="M36" s="39">
        <f>SUM(M32:M35)</f>
        <v>2251986</v>
      </c>
    </row>
    <row r="37" spans="1:13" x14ac:dyDescent="0.25">
      <c r="A37" s="9"/>
      <c r="B37" s="7"/>
      <c r="C37" s="6"/>
      <c r="D37" s="218"/>
      <c r="E37" s="218"/>
      <c r="F37" s="60"/>
      <c r="G37" s="38"/>
      <c r="H37" s="60"/>
      <c r="I37" s="38"/>
      <c r="J37" s="60"/>
      <c r="K37" s="38"/>
      <c r="L37" s="60"/>
      <c r="M37" s="38"/>
    </row>
    <row r="38" spans="1:13" x14ac:dyDescent="0.25">
      <c r="A38" s="9"/>
      <c r="B38" s="11" t="s">
        <v>44</v>
      </c>
      <c r="C38" s="6"/>
      <c r="D38" s="218"/>
      <c r="E38" s="21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216">
        <v>1423689</v>
      </c>
      <c r="E39" s="216">
        <v>6198360</v>
      </c>
      <c r="F39" s="60">
        <f t="shared" ref="F39:G41" si="13">H39-D39</f>
        <v>0</v>
      </c>
      <c r="G39" s="37">
        <f t="shared" si="13"/>
        <v>0</v>
      </c>
      <c r="H39" s="65">
        <f t="shared" si="12"/>
        <v>1423689</v>
      </c>
      <c r="I39" s="66">
        <f t="shared" si="12"/>
        <v>6198360</v>
      </c>
      <c r="J39" s="60"/>
      <c r="K39" s="38"/>
      <c r="L39" s="60">
        <f t="shared" ref="L39:M41" si="14">H39+J39</f>
        <v>1423689</v>
      </c>
      <c r="M39" s="38">
        <f t="shared" si="14"/>
        <v>6198360</v>
      </c>
    </row>
    <row r="40" spans="1:13" ht="22.5" customHeight="1" x14ac:dyDescent="0.25">
      <c r="A40" s="9">
        <v>18</v>
      </c>
      <c r="B40" s="7"/>
      <c r="C40" s="18" t="s">
        <v>46</v>
      </c>
      <c r="D40" s="216">
        <v>-1006097</v>
      </c>
      <c r="E40" s="216">
        <v>-4370253</v>
      </c>
      <c r="F40" s="60">
        <f t="shared" si="13"/>
        <v>0</v>
      </c>
      <c r="G40" s="37">
        <f t="shared" si="13"/>
        <v>0</v>
      </c>
      <c r="H40" s="65">
        <f t="shared" si="12"/>
        <v>-1006097</v>
      </c>
      <c r="I40" s="66">
        <f t="shared" si="12"/>
        <v>-4370253</v>
      </c>
      <c r="J40" s="60"/>
      <c r="K40" s="38"/>
      <c r="L40" s="60">
        <f t="shared" si="14"/>
        <v>-1006097</v>
      </c>
      <c r="M40" s="38">
        <f t="shared" si="14"/>
        <v>-4370253</v>
      </c>
    </row>
    <row r="41" spans="1:13" x14ac:dyDescent="0.25">
      <c r="A41" s="9">
        <v>19</v>
      </c>
      <c r="B41" s="7"/>
      <c r="C41" s="18" t="s">
        <v>47</v>
      </c>
      <c r="D41" s="216">
        <v>0</v>
      </c>
      <c r="E41" s="21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217">
        <v>-1006097</v>
      </c>
      <c r="E42" s="217">
        <v>-4370253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-1006097</v>
      </c>
      <c r="I42" s="39">
        <f>SUM(I40:I41)</f>
        <v>-4370253</v>
      </c>
      <c r="J42" s="61">
        <f t="shared" si="15"/>
        <v>0</v>
      </c>
      <c r="K42" s="39">
        <f t="shared" si="15"/>
        <v>0</v>
      </c>
      <c r="L42" s="61">
        <f t="shared" si="15"/>
        <v>-1006097</v>
      </c>
      <c r="M42" s="39">
        <f t="shared" si="15"/>
        <v>-4370253</v>
      </c>
    </row>
    <row r="43" spans="1:13" ht="21" customHeight="1" x14ac:dyDescent="0.25">
      <c r="A43" s="9"/>
      <c r="B43" s="7" t="s">
        <v>49</v>
      </c>
      <c r="C43" s="6"/>
      <c r="D43" s="217">
        <v>417592</v>
      </c>
      <c r="E43" s="217">
        <v>1828107</v>
      </c>
      <c r="F43" s="61">
        <f t="shared" ref="F43:M43" si="16">F42+F39</f>
        <v>0</v>
      </c>
      <c r="G43" s="39">
        <f t="shared" si="16"/>
        <v>0</v>
      </c>
      <c r="H43" s="61">
        <f>H42+H39</f>
        <v>417592</v>
      </c>
      <c r="I43" s="39">
        <f>I42+I39</f>
        <v>1828107</v>
      </c>
      <c r="J43" s="61">
        <f t="shared" si="16"/>
        <v>0</v>
      </c>
      <c r="K43" s="39">
        <f t="shared" si="16"/>
        <v>0</v>
      </c>
      <c r="L43" s="61">
        <f t="shared" si="16"/>
        <v>417592</v>
      </c>
      <c r="M43" s="39">
        <f t="shared" si="16"/>
        <v>1828107</v>
      </c>
    </row>
    <row r="44" spans="1:13" x14ac:dyDescent="0.25">
      <c r="A44" s="9"/>
      <c r="B44" s="7"/>
      <c r="C44" s="6"/>
      <c r="D44" s="218"/>
      <c r="E44" s="21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216">
        <v>0</v>
      </c>
      <c r="E45" s="21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218"/>
      <c r="E46" s="21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216">
        <v>0</v>
      </c>
      <c r="E47" s="21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218"/>
      <c r="E48" s="21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216">
        <v>-972676</v>
      </c>
      <c r="E49" s="216">
        <v>-4175600.8004000005</v>
      </c>
      <c r="F49" s="60">
        <f>H49-D49</f>
        <v>0</v>
      </c>
      <c r="G49" s="37">
        <f>I49-E49</f>
        <v>0</v>
      </c>
      <c r="H49" s="65">
        <f>D49</f>
        <v>-972676</v>
      </c>
      <c r="I49" s="66">
        <f>E49</f>
        <v>-4175600.8004000005</v>
      </c>
      <c r="J49" s="60"/>
      <c r="K49" s="38"/>
      <c r="L49" s="60">
        <f>H49+J49</f>
        <v>-972676</v>
      </c>
      <c r="M49" s="38">
        <f>I49+K49</f>
        <v>-4175600.8004000005</v>
      </c>
    </row>
    <row r="50" spans="1:15" x14ac:dyDescent="0.25">
      <c r="A50" s="9"/>
      <c r="B50" s="7"/>
      <c r="C50" s="6"/>
      <c r="D50" s="218"/>
      <c r="E50" s="21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216">
        <v>-574829</v>
      </c>
      <c r="E51" s="216">
        <v>-2438737</v>
      </c>
      <c r="F51" s="60">
        <f>H51-D51</f>
        <v>0</v>
      </c>
      <c r="G51" s="37">
        <f>I51-E51</f>
        <v>0</v>
      </c>
      <c r="H51" s="65">
        <f>D51</f>
        <v>-574829</v>
      </c>
      <c r="I51" s="66">
        <f>E51</f>
        <v>-2438737</v>
      </c>
      <c r="J51" s="60"/>
      <c r="K51" s="38"/>
      <c r="L51" s="60">
        <f>H51+J51</f>
        <v>-574829</v>
      </c>
      <c r="M51" s="38">
        <f>I51+K51</f>
        <v>-2438737</v>
      </c>
    </row>
    <row r="52" spans="1:15" x14ac:dyDescent="0.25">
      <c r="A52" s="9"/>
      <c r="B52" s="7"/>
      <c r="C52" s="6"/>
      <c r="D52" s="218"/>
      <c r="E52" s="21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218"/>
      <c r="E53" s="218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216">
        <v>0</v>
      </c>
      <c r="E54" s="216">
        <v>-2048301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-2048301</v>
      </c>
      <c r="J54" s="60"/>
      <c r="K54" s="38"/>
      <c r="L54" s="60">
        <f>H54+J54</f>
        <v>0</v>
      </c>
      <c r="M54" s="38">
        <f>I54+K54</f>
        <v>-2048301</v>
      </c>
    </row>
    <row r="55" spans="1:15" x14ac:dyDescent="0.25">
      <c r="A55" s="9">
        <v>25</v>
      </c>
      <c r="B55" s="7"/>
      <c r="C55" s="18" t="s">
        <v>56</v>
      </c>
      <c r="D55" s="216">
        <v>0</v>
      </c>
      <c r="E55" s="216">
        <v>-2220811.5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-2220811.5</v>
      </c>
      <c r="J55" s="60"/>
      <c r="K55" s="38"/>
      <c r="L55" s="60">
        <f>H55+J55</f>
        <v>0</v>
      </c>
      <c r="M55" s="38">
        <f>I55+K55</f>
        <v>-2220811.5</v>
      </c>
    </row>
    <row r="56" spans="1:15" x14ac:dyDescent="0.25">
      <c r="A56" s="9"/>
      <c r="B56" s="7" t="s">
        <v>57</v>
      </c>
      <c r="C56" s="6"/>
      <c r="D56" s="217">
        <v>0</v>
      </c>
      <c r="E56" s="217">
        <v>-4269112.5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-4269112.5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-4269112.5</v>
      </c>
    </row>
    <row r="57" spans="1:15" x14ac:dyDescent="0.25">
      <c r="A57" s="9"/>
      <c r="B57" s="7"/>
      <c r="C57" s="6"/>
      <c r="D57" s="218"/>
      <c r="E57" s="21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218"/>
      <c r="E58" s="21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216">
        <v>0</v>
      </c>
      <c r="E59" s="21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216">
        <v>0</v>
      </c>
      <c r="E60" s="21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217">
        <v>0</v>
      </c>
      <c r="E61" s="217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218"/>
      <c r="E62" s="21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218"/>
      <c r="E63" s="21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216">
        <v>0</v>
      </c>
      <c r="E64" s="21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216">
        <v>0</v>
      </c>
      <c r="E65" s="21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217">
        <v>0</v>
      </c>
      <c r="E66" s="217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218"/>
      <c r="E67" s="21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218"/>
      <c r="E68" s="21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218"/>
      <c r="E69" s="21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216">
        <v>0</v>
      </c>
      <c r="E70" s="216">
        <v>-5134326.6295999996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-5134326.6295999996</v>
      </c>
      <c r="J70" s="60"/>
      <c r="K70" s="38"/>
      <c r="L70" s="60">
        <f>H70+J70</f>
        <v>0</v>
      </c>
      <c r="M70" s="38">
        <f>I70+K70</f>
        <v>-5134326.6295999996</v>
      </c>
    </row>
    <row r="71" spans="1:13" x14ac:dyDescent="0.25">
      <c r="A71" s="9">
        <v>31</v>
      </c>
      <c r="B71" s="3"/>
      <c r="C71" s="10" t="s">
        <v>68</v>
      </c>
      <c r="D71" s="216">
        <v>0</v>
      </c>
      <c r="E71" s="216">
        <v>-14964909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-14964909</v>
      </c>
      <c r="J71" s="60"/>
      <c r="K71" s="38"/>
      <c r="L71" s="60">
        <f>H71+J71</f>
        <v>0</v>
      </c>
      <c r="M71" s="38">
        <f>I71+K71</f>
        <v>-14964909</v>
      </c>
    </row>
    <row r="72" spans="1:13" x14ac:dyDescent="0.25">
      <c r="A72" s="9"/>
      <c r="B72" s="3"/>
      <c r="C72" s="55" t="s">
        <v>69</v>
      </c>
      <c r="D72" s="217">
        <v>0</v>
      </c>
      <c r="E72" s="217">
        <v>-20099235.6296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-20099235.6296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-20099235.6296</v>
      </c>
    </row>
    <row r="73" spans="1:13" x14ac:dyDescent="0.25">
      <c r="A73" s="9">
        <v>32</v>
      </c>
      <c r="B73" s="3"/>
      <c r="C73" s="10" t="s">
        <v>70</v>
      </c>
      <c r="D73" s="216">
        <v>0</v>
      </c>
      <c r="E73" s="216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216">
        <v>0</v>
      </c>
      <c r="E74" s="216">
        <v>13849134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13849134</v>
      </c>
      <c r="J74" s="60"/>
      <c r="K74" s="38"/>
      <c r="L74" s="60">
        <f t="shared" si="22"/>
        <v>0</v>
      </c>
      <c r="M74" s="38">
        <f t="shared" si="22"/>
        <v>13849134</v>
      </c>
    </row>
    <row r="75" spans="1:13" x14ac:dyDescent="0.25">
      <c r="A75" s="9">
        <v>34</v>
      </c>
      <c r="B75" s="3"/>
      <c r="C75" s="10" t="s">
        <v>72</v>
      </c>
      <c r="D75" s="216">
        <v>0</v>
      </c>
      <c r="E75" s="216">
        <v>210386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210386</v>
      </c>
      <c r="J75" s="60"/>
      <c r="K75" s="38"/>
      <c r="L75" s="60">
        <f t="shared" si="22"/>
        <v>0</v>
      </c>
      <c r="M75" s="38">
        <f t="shared" si="22"/>
        <v>210386</v>
      </c>
    </row>
    <row r="76" spans="1:13" x14ac:dyDescent="0.25">
      <c r="A76" s="9">
        <v>35</v>
      </c>
      <c r="B76" s="3"/>
      <c r="C76" s="10" t="s">
        <v>73</v>
      </c>
      <c r="D76" s="216">
        <v>0</v>
      </c>
      <c r="E76" s="216">
        <v>-867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-867</v>
      </c>
      <c r="J76" s="60"/>
      <c r="K76" s="38"/>
      <c r="L76" s="60">
        <f t="shared" si="22"/>
        <v>0</v>
      </c>
      <c r="M76" s="38">
        <f t="shared" si="22"/>
        <v>-867</v>
      </c>
    </row>
    <row r="77" spans="1:13" x14ac:dyDescent="0.25">
      <c r="A77" s="9">
        <v>36</v>
      </c>
      <c r="B77" s="3"/>
      <c r="C77" s="10" t="s">
        <v>74</v>
      </c>
      <c r="D77" s="216">
        <v>0</v>
      </c>
      <c r="E77" s="216">
        <v>20000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20000</v>
      </c>
      <c r="J77" s="60"/>
      <c r="K77" s="38"/>
      <c r="L77" s="60">
        <f t="shared" si="22"/>
        <v>0</v>
      </c>
      <c r="M77" s="38">
        <f t="shared" si="22"/>
        <v>20000</v>
      </c>
    </row>
    <row r="78" spans="1:13" x14ac:dyDescent="0.25">
      <c r="A78" s="9">
        <v>37</v>
      </c>
      <c r="B78" s="3"/>
      <c r="C78" s="10" t="s">
        <v>75</v>
      </c>
      <c r="D78" s="216">
        <v>0</v>
      </c>
      <c r="E78" s="216">
        <v>23733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23733</v>
      </c>
      <c r="J78" s="60"/>
      <c r="K78" s="38"/>
      <c r="L78" s="60">
        <f t="shared" si="22"/>
        <v>0</v>
      </c>
      <c r="M78" s="38">
        <f t="shared" si="22"/>
        <v>23733</v>
      </c>
    </row>
    <row r="79" spans="1:13" x14ac:dyDescent="0.25">
      <c r="A79" s="9">
        <v>38</v>
      </c>
      <c r="B79" s="3"/>
      <c r="C79" s="10" t="s">
        <v>76</v>
      </c>
      <c r="D79" s="216">
        <v>0</v>
      </c>
      <c r="E79" s="216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216">
        <v>0</v>
      </c>
      <c r="E80" s="216">
        <v>-66750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-66750</v>
      </c>
      <c r="J80" s="60"/>
      <c r="K80" s="38"/>
      <c r="L80" s="60">
        <f t="shared" si="22"/>
        <v>0</v>
      </c>
      <c r="M80" s="38">
        <f t="shared" si="22"/>
        <v>-66750</v>
      </c>
    </row>
    <row r="81" spans="1:67" x14ac:dyDescent="0.25">
      <c r="A81" s="9">
        <v>40</v>
      </c>
      <c r="B81" s="3"/>
      <c r="C81" s="10" t="s">
        <v>78</v>
      </c>
      <c r="D81" s="216">
        <v>0</v>
      </c>
      <c r="E81" s="216">
        <v>963669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963669</v>
      </c>
      <c r="J81" s="60"/>
      <c r="K81" s="38"/>
      <c r="L81" s="60">
        <f t="shared" si="22"/>
        <v>0</v>
      </c>
      <c r="M81" s="38">
        <f t="shared" si="22"/>
        <v>963669</v>
      </c>
    </row>
    <row r="82" spans="1:67" s="44" customFormat="1" ht="20.25" customHeight="1" thickBot="1" x14ac:dyDescent="0.3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-8911113.9300000481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-8911113.9300000481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-8911113.9300000481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160</v>
      </c>
      <c r="B85" s="3"/>
      <c r="K85" s="45"/>
    </row>
    <row r="86" spans="1:67" s="3" customFormat="1" x14ac:dyDescent="0.25">
      <c r="A86" s="144"/>
      <c r="C86" s="10" t="s">
        <v>162</v>
      </c>
      <c r="D86" s="148">
        <v>0</v>
      </c>
      <c r="E86" s="148">
        <v>-42632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-42632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-42632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6">
        <f>SUM(D86:D88)</f>
        <v>0</v>
      </c>
      <c r="E89" s="156">
        <f t="shared" ref="E89:M89" si="26">SUM(E86:E88)</f>
        <v>-42632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-42632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-42632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6">
        <f>+D82+D89</f>
        <v>0</v>
      </c>
      <c r="E91" s="156">
        <f t="shared" ref="E91:M91" si="27">+E82+E89</f>
        <v>-8953745.9300000481</v>
      </c>
      <c r="F91" s="156">
        <f t="shared" si="27"/>
        <v>0</v>
      </c>
      <c r="G91" s="156">
        <f t="shared" si="27"/>
        <v>0</v>
      </c>
      <c r="H91" s="156">
        <f t="shared" si="27"/>
        <v>0</v>
      </c>
      <c r="I91" s="156">
        <f t="shared" si="27"/>
        <v>-8953745.9300000481</v>
      </c>
      <c r="J91" s="156">
        <f t="shared" si="27"/>
        <v>0</v>
      </c>
      <c r="K91" s="156">
        <f t="shared" si="27"/>
        <v>0</v>
      </c>
      <c r="L91" s="156">
        <f t="shared" si="27"/>
        <v>0</v>
      </c>
      <c r="M91" s="156">
        <f t="shared" si="27"/>
        <v>-8953745.9300000481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5"/>
  <sheetViews>
    <sheetView topLeftCell="E52" zoomScale="75" workbookViewId="0">
      <selection activeCell="M82" sqref="M8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65293826</v>
      </c>
      <c r="E11" s="146">
        <v>295459076</v>
      </c>
      <c r="F11" s="65">
        <f>H11-D11</f>
        <v>0</v>
      </c>
      <c r="G11" s="63">
        <f>I11-E11</f>
        <v>0</v>
      </c>
      <c r="H11" s="65">
        <f>D11</f>
        <v>65293826</v>
      </c>
      <c r="I11" s="66">
        <f>E11</f>
        <v>295459076</v>
      </c>
      <c r="J11" s="60"/>
      <c r="K11" s="38"/>
      <c r="L11" s="60">
        <f t="shared" ref="L11:M15" si="0">H11+J11</f>
        <v>65293826</v>
      </c>
      <c r="M11" s="38">
        <f t="shared" si="0"/>
        <v>295459076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6">
        <v>8679509</v>
      </c>
      <c r="E13" s="146">
        <v>39511966</v>
      </c>
      <c r="F13" s="65">
        <f t="shared" si="1"/>
        <v>0</v>
      </c>
      <c r="G13" s="63">
        <f t="shared" si="1"/>
        <v>0</v>
      </c>
      <c r="H13" s="65">
        <f t="shared" si="2"/>
        <v>8679509</v>
      </c>
      <c r="I13" s="66">
        <f t="shared" si="2"/>
        <v>39511966</v>
      </c>
      <c r="J13" s="60"/>
      <c r="K13" s="38"/>
      <c r="L13" s="60">
        <f t="shared" si="0"/>
        <v>8679509</v>
      </c>
      <c r="M13" s="38">
        <f t="shared" si="0"/>
        <v>39511966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6">
        <v>73973335</v>
      </c>
      <c r="E16" s="166">
        <v>334971042</v>
      </c>
      <c r="F16" s="61">
        <f t="shared" ref="F16:M16" si="3">SUM(F11:F15)</f>
        <v>0</v>
      </c>
      <c r="G16" s="39">
        <f t="shared" si="3"/>
        <v>0</v>
      </c>
      <c r="H16" s="61">
        <f>SUM(H11:H15)</f>
        <v>73973335</v>
      </c>
      <c r="I16" s="39">
        <f>SUM(I11:I15)</f>
        <v>334971042</v>
      </c>
      <c r="J16" s="61">
        <f t="shared" si="3"/>
        <v>0</v>
      </c>
      <c r="K16" s="39">
        <f t="shared" si="3"/>
        <v>0</v>
      </c>
      <c r="L16" s="61">
        <f t="shared" si="3"/>
        <v>73973335</v>
      </c>
      <c r="M16" s="39">
        <f t="shared" si="3"/>
        <v>334971042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-60041053</v>
      </c>
      <c r="E19" s="146">
        <v>-271749316</v>
      </c>
      <c r="F19" s="65">
        <f>H19-D19</f>
        <v>0</v>
      </c>
      <c r="G19" s="63">
        <f>I19-E19</f>
        <v>0</v>
      </c>
      <c r="H19" s="65">
        <f t="shared" si="4"/>
        <v>-60041053</v>
      </c>
      <c r="I19" s="66">
        <f t="shared" si="4"/>
        <v>-271749316</v>
      </c>
      <c r="J19" s="60"/>
      <c r="K19" s="38"/>
      <c r="L19" s="60">
        <f t="shared" ref="L19:M23" si="5">H19+J19</f>
        <v>-60041053</v>
      </c>
      <c r="M19" s="38">
        <f t="shared" si="5"/>
        <v>-271749316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-15310495</v>
      </c>
      <c r="E21" s="146">
        <v>-69724975</v>
      </c>
      <c r="F21" s="65">
        <f t="shared" si="6"/>
        <v>0</v>
      </c>
      <c r="G21" s="63">
        <f t="shared" si="6"/>
        <v>0</v>
      </c>
      <c r="H21" s="65">
        <f t="shared" si="4"/>
        <v>-15310495</v>
      </c>
      <c r="I21" s="66">
        <f t="shared" si="4"/>
        <v>-69724975</v>
      </c>
      <c r="J21" s="60"/>
      <c r="K21" s="38"/>
      <c r="L21" s="60">
        <f t="shared" si="5"/>
        <v>-15310495</v>
      </c>
      <c r="M21" s="38">
        <f t="shared" si="5"/>
        <v>-69724975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113651</v>
      </c>
      <c r="E23" s="146">
        <v>503435</v>
      </c>
      <c r="F23" s="65">
        <f t="shared" si="6"/>
        <v>0</v>
      </c>
      <c r="G23" s="63">
        <f t="shared" si="6"/>
        <v>0</v>
      </c>
      <c r="H23" s="65">
        <f t="shared" si="4"/>
        <v>113651</v>
      </c>
      <c r="I23" s="66">
        <f t="shared" si="4"/>
        <v>503435</v>
      </c>
      <c r="J23" s="60"/>
      <c r="K23" s="38"/>
      <c r="L23" s="60">
        <f t="shared" si="5"/>
        <v>113651</v>
      </c>
      <c r="M23" s="38">
        <f t="shared" si="5"/>
        <v>503435</v>
      </c>
    </row>
    <row r="24" spans="1:13" x14ac:dyDescent="0.25">
      <c r="A24" s="9"/>
      <c r="B24" s="7" t="s">
        <v>33</v>
      </c>
      <c r="C24" s="6"/>
      <c r="D24" s="166">
        <v>-75237897</v>
      </c>
      <c r="E24" s="166">
        <v>-340970856</v>
      </c>
      <c r="F24" s="61">
        <f t="shared" ref="F24:M24" si="7">SUM(F19:F23)</f>
        <v>0</v>
      </c>
      <c r="G24" s="39">
        <f t="shared" si="7"/>
        <v>0</v>
      </c>
      <c r="H24" s="61">
        <f>SUM(H19:H23)</f>
        <v>-75237897</v>
      </c>
      <c r="I24" s="39">
        <f>SUM(I19:I23)</f>
        <v>-340970856</v>
      </c>
      <c r="J24" s="61">
        <f t="shared" si="7"/>
        <v>0</v>
      </c>
      <c r="K24" s="39">
        <f t="shared" si="7"/>
        <v>0</v>
      </c>
      <c r="L24" s="61">
        <f t="shared" si="7"/>
        <v>-75237897</v>
      </c>
      <c r="M24" s="39">
        <f t="shared" si="7"/>
        <v>-340970856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62465</v>
      </c>
      <c r="E32" s="146">
        <v>282829</v>
      </c>
      <c r="F32" s="65">
        <f>H32-D32</f>
        <v>0</v>
      </c>
      <c r="G32" s="63">
        <f>I32-E32</f>
        <v>0</v>
      </c>
      <c r="H32" s="65">
        <f t="shared" ref="H32:I35" si="9">D32</f>
        <v>62465</v>
      </c>
      <c r="I32" s="66">
        <f t="shared" si="9"/>
        <v>282829</v>
      </c>
      <c r="J32" s="60"/>
      <c r="K32" s="38"/>
      <c r="L32" s="60">
        <f t="shared" ref="L32:M35" si="10">H32+J32</f>
        <v>62465</v>
      </c>
      <c r="M32" s="38">
        <f t="shared" si="10"/>
        <v>282829</v>
      </c>
    </row>
    <row r="33" spans="1:13" x14ac:dyDescent="0.25">
      <c r="A33" s="9">
        <v>14</v>
      </c>
      <c r="B33" s="7"/>
      <c r="C33" s="18" t="s">
        <v>40</v>
      </c>
      <c r="D33" s="146">
        <v>208</v>
      </c>
      <c r="E33" s="146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208</v>
      </c>
      <c r="I33" s="66">
        <f t="shared" si="9"/>
        <v>0</v>
      </c>
      <c r="J33" s="60"/>
      <c r="K33" s="38"/>
      <c r="L33" s="60">
        <f t="shared" si="10"/>
        <v>208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248589</v>
      </c>
      <c r="E35" s="146">
        <v>1404828</v>
      </c>
      <c r="F35" s="65">
        <f t="shared" si="11"/>
        <v>0</v>
      </c>
      <c r="G35" s="63">
        <f t="shared" si="11"/>
        <v>0</v>
      </c>
      <c r="H35" s="65">
        <f t="shared" si="9"/>
        <v>248589</v>
      </c>
      <c r="I35" s="66">
        <f t="shared" si="9"/>
        <v>1404828</v>
      </c>
      <c r="J35" s="60"/>
      <c r="K35" s="38"/>
      <c r="L35" s="60">
        <f t="shared" si="10"/>
        <v>248589</v>
      </c>
      <c r="M35" s="38">
        <f t="shared" si="10"/>
        <v>1404828</v>
      </c>
    </row>
    <row r="36" spans="1:13" x14ac:dyDescent="0.25">
      <c r="A36" s="9"/>
      <c r="B36" s="7" t="s">
        <v>43</v>
      </c>
      <c r="C36" s="6"/>
      <c r="D36" s="166">
        <v>311262</v>
      </c>
      <c r="E36" s="166">
        <v>1687657</v>
      </c>
      <c r="F36" s="61">
        <f>SUM(F32:F35)</f>
        <v>0</v>
      </c>
      <c r="G36" s="39">
        <f>SUM(G32:G35)</f>
        <v>0</v>
      </c>
      <c r="H36" s="61">
        <f>SUM(H32:H35)</f>
        <v>311262</v>
      </c>
      <c r="I36" s="39">
        <f>SUM(I32:I35)</f>
        <v>1687657</v>
      </c>
      <c r="J36" s="61">
        <f>SUM(J32:J34)</f>
        <v>0</v>
      </c>
      <c r="K36" s="39">
        <f>SUM(K32:K34)</f>
        <v>0</v>
      </c>
      <c r="L36" s="61">
        <f>SUM(L32:L35)</f>
        <v>311262</v>
      </c>
      <c r="M36" s="39">
        <f>SUM(M32:M35)</f>
        <v>1687657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1058782</v>
      </c>
      <c r="E39" s="146">
        <v>220712</v>
      </c>
      <c r="F39" s="65">
        <f t="shared" ref="F39:G41" si="13">H39-D39</f>
        <v>0</v>
      </c>
      <c r="G39" s="63">
        <f t="shared" si="13"/>
        <v>0</v>
      </c>
      <c r="H39" s="65">
        <f t="shared" si="12"/>
        <v>1058782</v>
      </c>
      <c r="I39" s="66">
        <f t="shared" si="12"/>
        <v>220712</v>
      </c>
      <c r="J39" s="60"/>
      <c r="K39" s="38"/>
      <c r="L39" s="60">
        <f t="shared" ref="L39:M41" si="14">H39+J39</f>
        <v>1058782</v>
      </c>
      <c r="M39" s="38">
        <f t="shared" si="14"/>
        <v>220712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-1000000</v>
      </c>
      <c r="E40" s="146">
        <v>-10</v>
      </c>
      <c r="F40" s="65">
        <f t="shared" si="13"/>
        <v>0</v>
      </c>
      <c r="G40" s="63">
        <f t="shared" si="13"/>
        <v>0</v>
      </c>
      <c r="H40" s="65">
        <f t="shared" si="12"/>
        <v>-1000000</v>
      </c>
      <c r="I40" s="66">
        <f t="shared" si="12"/>
        <v>-10</v>
      </c>
      <c r="J40" s="60"/>
      <c r="K40" s="38"/>
      <c r="L40" s="60">
        <f t="shared" si="14"/>
        <v>-1000000</v>
      </c>
      <c r="M40" s="38">
        <f t="shared" si="14"/>
        <v>-10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-1000000</v>
      </c>
      <c r="E42" s="166">
        <v>-10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-1000000</v>
      </c>
      <c r="I42" s="39">
        <f>SUM(I40:I41)</f>
        <v>-10</v>
      </c>
      <c r="J42" s="61">
        <f t="shared" si="15"/>
        <v>0</v>
      </c>
      <c r="K42" s="39">
        <f t="shared" si="15"/>
        <v>0</v>
      </c>
      <c r="L42" s="61">
        <f t="shared" si="15"/>
        <v>-1000000</v>
      </c>
      <c r="M42" s="39">
        <f t="shared" si="15"/>
        <v>-10</v>
      </c>
    </row>
    <row r="43" spans="1:13" ht="21" customHeight="1" x14ac:dyDescent="0.25">
      <c r="A43" s="9"/>
      <c r="B43" s="7" t="s">
        <v>49</v>
      </c>
      <c r="C43" s="6"/>
      <c r="D43" s="166">
        <v>58782</v>
      </c>
      <c r="E43" s="166">
        <v>220702</v>
      </c>
      <c r="F43" s="61">
        <f t="shared" ref="F43:M43" si="16">F42+F39</f>
        <v>0</v>
      </c>
      <c r="G43" s="39">
        <f t="shared" si="16"/>
        <v>0</v>
      </c>
      <c r="H43" s="61">
        <f>H42+H39</f>
        <v>58782</v>
      </c>
      <c r="I43" s="39">
        <f>I42+I39</f>
        <v>220702</v>
      </c>
      <c r="J43" s="61">
        <f t="shared" si="16"/>
        <v>0</v>
      </c>
      <c r="K43" s="39">
        <f t="shared" si="16"/>
        <v>0</v>
      </c>
      <c r="L43" s="61">
        <f t="shared" si="16"/>
        <v>58782</v>
      </c>
      <c r="M43" s="39">
        <f t="shared" si="16"/>
        <v>220702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894518</v>
      </c>
      <c r="E49" s="146">
        <v>4034276.18</v>
      </c>
      <c r="F49" s="65">
        <f>H49-D49</f>
        <v>0</v>
      </c>
      <c r="G49" s="63">
        <f>I49-E49</f>
        <v>0</v>
      </c>
      <c r="H49" s="65">
        <f>D49</f>
        <v>894518</v>
      </c>
      <c r="I49" s="66">
        <f>E49</f>
        <v>4034276.18</v>
      </c>
      <c r="J49" s="60"/>
      <c r="K49" s="38"/>
      <c r="L49" s="60">
        <f>H49+J49</f>
        <v>894518</v>
      </c>
      <c r="M49" s="38">
        <f>I49+K49</f>
        <v>4034276.18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-113651</v>
      </c>
      <c r="E51" s="146">
        <v>-503435</v>
      </c>
      <c r="F51" s="65">
        <f>H51-D51</f>
        <v>0</v>
      </c>
      <c r="G51" s="63">
        <f>I51-E51</f>
        <v>0</v>
      </c>
      <c r="H51" s="65">
        <f>D51</f>
        <v>-113651</v>
      </c>
      <c r="I51" s="66">
        <f>E51</f>
        <v>-503435</v>
      </c>
      <c r="J51" s="60"/>
      <c r="K51" s="38"/>
      <c r="L51" s="60">
        <f>H51+J51</f>
        <v>-113651</v>
      </c>
      <c r="M51" s="38">
        <f>I51+K51</f>
        <v>-503435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-341659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-341659</v>
      </c>
      <c r="J54" s="60"/>
      <c r="K54" s="38"/>
      <c r="L54" s="60">
        <f>H54+J54</f>
        <v>0</v>
      </c>
      <c r="M54" s="38">
        <f>I54+K54</f>
        <v>-341659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-320894.12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-320894.12</v>
      </c>
      <c r="J55" s="60"/>
      <c r="K55" s="38"/>
      <c r="L55" s="60">
        <f>H55+J55</f>
        <v>0</v>
      </c>
      <c r="M55" s="38">
        <f>I55+K55</f>
        <v>-320894.12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-662553.12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-662553.12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-662553.12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1198403.767599999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1198403.767599999</v>
      </c>
      <c r="J70" s="60"/>
      <c r="K70" s="38"/>
      <c r="L70" s="60">
        <f>H70+J70</f>
        <v>0</v>
      </c>
      <c r="M70" s="38">
        <f>I70+K70</f>
        <v>1198403.767599999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-6919988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-6919988</v>
      </c>
      <c r="J71" s="60"/>
      <c r="K71" s="38"/>
      <c r="L71" s="60">
        <f>H71+J71</f>
        <v>0</v>
      </c>
      <c r="M71" s="38">
        <f>I71+K71</f>
        <v>-6919988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-5721584.232400001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-5721584.232400001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-5721584.232400001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6805714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6805714</v>
      </c>
      <c r="J74" s="60"/>
      <c r="K74" s="38"/>
      <c r="L74" s="60">
        <f t="shared" si="22"/>
        <v>0</v>
      </c>
      <c r="M74" s="38">
        <f t="shared" si="22"/>
        <v>6805714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18346.419999999998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18346.419999999998</v>
      </c>
      <c r="J75" s="60"/>
      <c r="K75" s="38"/>
      <c r="L75" s="60">
        <f t="shared" si="22"/>
        <v>0</v>
      </c>
      <c r="M75" s="38">
        <f t="shared" si="22"/>
        <v>18346.419999999998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-504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-504</v>
      </c>
      <c r="J76" s="60"/>
      <c r="K76" s="38"/>
      <c r="L76" s="60">
        <f t="shared" si="22"/>
        <v>0</v>
      </c>
      <c r="M76" s="38">
        <f t="shared" si="22"/>
        <v>-504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5">
      <c r="A81" s="56">
        <v>40</v>
      </c>
      <c r="B81" s="57"/>
      <c r="C81" s="10" t="s">
        <v>78</v>
      </c>
      <c r="D81" s="146">
        <v>0</v>
      </c>
      <c r="E81" s="146">
        <v>-38551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-38551</v>
      </c>
      <c r="J81" s="65"/>
      <c r="K81" s="66"/>
      <c r="L81" s="60">
        <f t="shared" si="22"/>
        <v>0</v>
      </c>
      <c r="M81" s="38">
        <f t="shared" si="22"/>
        <v>-38551</v>
      </c>
    </row>
    <row r="82" spans="1:67" s="44" customFormat="1" ht="20.25" customHeight="1" thickBot="1" x14ac:dyDescent="0.3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-159745.75239998323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-159745.75239998323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-159745.75239998323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75" right="0.75" top="1" bottom="1" header="0.5" footer="0.5"/>
  <pageSetup paperSize="5" scale="42" orientation="landscape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/>
      <c r="E11" s="65"/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5"/>
      <c r="E12" s="65"/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/>
      <c r="E13" s="65"/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/>
      <c r="E14" s="65"/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/>
      <c r="E15" s="65"/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/>
      <c r="E19" s="65"/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5"/>
      <c r="E20" s="65"/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/>
      <c r="E21" s="65"/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/>
      <c r="E22" s="65"/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/>
      <c r="E23" s="65"/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/>
      <c r="E27" s="65"/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/>
      <c r="E28" s="65"/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/>
      <c r="E32" s="65"/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/>
      <c r="E33" s="65"/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/>
      <c r="E34" s="65"/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/>
      <c r="E35" s="65"/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/>
      <c r="E39" s="65"/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/>
      <c r="E40" s="65"/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/>
      <c r="E41" s="65"/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/>
      <c r="E45" s="65"/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/>
      <c r="E47" s="65"/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/>
      <c r="E49" s="65"/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/>
      <c r="E51" s="65"/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/>
      <c r="E54" s="65"/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5"/>
      <c r="E55" s="65"/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/>
      <c r="E59" s="65"/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/>
      <c r="E60" s="65"/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/>
      <c r="E64" s="65"/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/>
      <c r="E65" s="65"/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/>
      <c r="E70" s="65"/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5"/>
      <c r="E71" s="65"/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5"/>
      <c r="E73" s="65"/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/>
      <c r="E74" s="65"/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5"/>
      <c r="E75" s="65"/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/>
      <c r="E76" s="65"/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/>
      <c r="E77" s="65"/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/>
      <c r="E78" s="65"/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/>
      <c r="E79" s="65"/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/>
      <c r="E80" s="65"/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5">
      <c r="A81" s="56">
        <v>40</v>
      </c>
      <c r="B81" s="57"/>
      <c r="C81" s="10" t="s">
        <v>78</v>
      </c>
      <c r="D81" s="65"/>
      <c r="E81" s="65"/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153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f>'EAST-EGM-FLSH'!D11+'EAST-LRC-FLSH'!D11</f>
        <v>153756420</v>
      </c>
      <c r="E11" s="66">
        <f>'EAST-EGM-FLSH'!E11+'EAST-LRC-FLSH'!E11</f>
        <v>663373729</v>
      </c>
      <c r="F11" s="37">
        <f>H11-D11</f>
        <v>0</v>
      </c>
      <c r="G11" s="37">
        <f>I11-E11</f>
        <v>0</v>
      </c>
      <c r="H11" s="60">
        <f>'EAST-EGM-FLSH'!H11+'EAST-LRC-FLSH'!H11</f>
        <v>153756420</v>
      </c>
      <c r="I11" s="38">
        <f>'EAST-EGM-FLSH'!I11+'EAST-LRC-FLSH'!I11</f>
        <v>663373729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153756420</v>
      </c>
      <c r="M11" s="38">
        <f t="shared" si="0"/>
        <v>663373729</v>
      </c>
    </row>
    <row r="12" spans="1:26" x14ac:dyDescent="0.25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f>'EAST-EGM-FLSH'!D13+'EAST-LRC-FLSH'!D13</f>
        <v>98199788</v>
      </c>
      <c r="E13" s="66">
        <f>'EAST-EGM-FLSH'!E13+'EAST-LRC-FLSH'!E13</f>
        <v>425874002</v>
      </c>
      <c r="F13" s="60">
        <f t="shared" si="1"/>
        <v>0</v>
      </c>
      <c r="G13" s="37">
        <f t="shared" si="1"/>
        <v>0</v>
      </c>
      <c r="H13" s="60">
        <f>'EAST-EGM-FLSH'!H13+'EAST-LRC-FLSH'!H13</f>
        <v>98199788</v>
      </c>
      <c r="I13" s="38">
        <f>'EAST-EGM-FLSH'!I13+'EAST-LRC-FLSH'!I13</f>
        <v>425874002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98199788</v>
      </c>
      <c r="M13" s="38">
        <f t="shared" si="0"/>
        <v>425874002</v>
      </c>
    </row>
    <row r="14" spans="1:26" x14ac:dyDescent="0.25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30520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30520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30520</v>
      </c>
    </row>
    <row r="15" spans="1:26" x14ac:dyDescent="0.25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251956208</v>
      </c>
      <c r="E16" s="39">
        <f>SUM(E11:E15)</f>
        <v>1089278251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251956208</v>
      </c>
      <c r="I16" s="39">
        <f t="shared" si="2"/>
        <v>1089278251</v>
      </c>
      <c r="J16" s="61">
        <f t="shared" si="2"/>
        <v>0</v>
      </c>
      <c r="K16" s="39">
        <f t="shared" si="2"/>
        <v>0</v>
      </c>
      <c r="L16" s="61">
        <f t="shared" si="2"/>
        <v>251956208</v>
      </c>
      <c r="M16" s="39">
        <f t="shared" si="2"/>
        <v>1089278251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f>'EAST-EGM-FLSH'!D19+'EAST-LRC-FLSH'!D19</f>
        <v>-160335517</v>
      </c>
      <c r="E19" s="66">
        <f>'EAST-EGM-FLSH'!E19+'EAST-LRC-FLSH'!E19</f>
        <v>-690300032</v>
      </c>
      <c r="F19" s="60">
        <f>H19-D19</f>
        <v>0</v>
      </c>
      <c r="G19" s="37">
        <f>I19-E19</f>
        <v>0</v>
      </c>
      <c r="H19" s="60">
        <f>'EAST-EGM-FLSH'!H19+'EAST-LRC-FLSH'!H19</f>
        <v>-160335517</v>
      </c>
      <c r="I19" s="38">
        <f>'EAST-EGM-FLSH'!I19+'EAST-LRC-FLSH'!I19</f>
        <v>-690300032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-160335517</v>
      </c>
      <c r="M19" s="38">
        <f t="shared" si="3"/>
        <v>-690300032</v>
      </c>
    </row>
    <row r="20" spans="1:13" x14ac:dyDescent="0.25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5">
        <f>'EAST-EGM-FLSH'!D21+'EAST-LRC-FLSH'!D21</f>
        <v>-92207938</v>
      </c>
      <c r="E21" s="66">
        <f>'EAST-EGM-FLSH'!E21+'EAST-LRC-FLSH'!E21</f>
        <v>-398424782</v>
      </c>
      <c r="F21" s="60">
        <f t="shared" si="4"/>
        <v>0</v>
      </c>
      <c r="G21" s="37">
        <f t="shared" si="4"/>
        <v>0</v>
      </c>
      <c r="H21" s="60">
        <f>'EAST-EGM-FLSH'!H21+'EAST-LRC-FLSH'!H21</f>
        <v>-92207938</v>
      </c>
      <c r="I21" s="38">
        <f>'EAST-EGM-FLSH'!I21+'EAST-LRC-FLSH'!I21</f>
        <v>-398424782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-92207938</v>
      </c>
      <c r="M21" s="38">
        <f t="shared" si="3"/>
        <v>-398424782</v>
      </c>
    </row>
    <row r="22" spans="1:13" x14ac:dyDescent="0.25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5">
        <f>'EAST-EGM-FLSH'!D23+'EAST-LRC-FLSH'!D23</f>
        <v>574829</v>
      </c>
      <c r="E23" s="66">
        <f>'EAST-EGM-FLSH'!E23+'EAST-LRC-FLSH'!E23</f>
        <v>2438737</v>
      </c>
      <c r="F23" s="60">
        <f t="shared" si="4"/>
        <v>0</v>
      </c>
      <c r="G23" s="37">
        <f t="shared" si="4"/>
        <v>0</v>
      </c>
      <c r="H23" s="60">
        <f>'EAST-EGM-FLSH'!H23+'EAST-LRC-FLSH'!H23</f>
        <v>574829</v>
      </c>
      <c r="I23" s="38">
        <f>'EAST-EGM-FLSH'!I23+'EAST-LRC-FLSH'!I23</f>
        <v>2438737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574829</v>
      </c>
      <c r="M23" s="38">
        <f t="shared" si="3"/>
        <v>2438737</v>
      </c>
    </row>
    <row r="24" spans="1:13" x14ac:dyDescent="0.25">
      <c r="A24" s="9"/>
      <c r="B24" s="7" t="s">
        <v>33</v>
      </c>
      <c r="C24" s="6"/>
      <c r="D24" s="61">
        <f>SUM(D19:D23)</f>
        <v>-251968626</v>
      </c>
      <c r="E24" s="39">
        <f>SUM(E19:E23)</f>
        <v>-1086286077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-251968626</v>
      </c>
      <c r="I24" s="39">
        <f t="shared" si="5"/>
        <v>-1086286077</v>
      </c>
      <c r="J24" s="61">
        <f t="shared" si="5"/>
        <v>0</v>
      </c>
      <c r="K24" s="39">
        <f t="shared" si="5"/>
        <v>0</v>
      </c>
      <c r="L24" s="61">
        <f t="shared" si="5"/>
        <v>-251968626</v>
      </c>
      <c r="M24" s="39">
        <f t="shared" si="5"/>
        <v>-1086286077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f>'EAST-EGM-FLSH'!D32+'EAST-LRC-FLSH'!D32</f>
        <v>-15987</v>
      </c>
      <c r="E32" s="66">
        <f>'EAST-EGM-FLSH'!E32+'EAST-LRC-FLSH'!E32</f>
        <v>-68946</v>
      </c>
      <c r="F32" s="60">
        <f>H32-D32</f>
        <v>0</v>
      </c>
      <c r="G32" s="37">
        <f>I32-E32</f>
        <v>0</v>
      </c>
      <c r="H32" s="60">
        <f>'EAST-EGM-FLSH'!H32+'EAST-LRC-FLSH'!H32</f>
        <v>-15987</v>
      </c>
      <c r="I32" s="38">
        <f>'EAST-EGM-FLSH'!I32+'EAST-LRC-FLSH'!I32</f>
        <v>-68946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-15987</v>
      </c>
      <c r="M32" s="38">
        <f t="shared" si="7"/>
        <v>-68946</v>
      </c>
    </row>
    <row r="33" spans="1:13" x14ac:dyDescent="0.25">
      <c r="A33" s="9">
        <v>14</v>
      </c>
      <c r="B33" s="7"/>
      <c r="C33" s="18" t="s">
        <v>40</v>
      </c>
      <c r="D33" s="65">
        <f>'EAST-EGM-FLSH'!D33+'EAST-LRC-FLSH'!D33</f>
        <v>678108</v>
      </c>
      <c r="E33" s="66">
        <f>'EAST-EGM-FLSH'!E33+'EAST-LRC-FLSH'!E33</f>
        <v>2882796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678108</v>
      </c>
      <c r="I33" s="38">
        <f>'EAST-EGM-FLSH'!I33+'EAST-LRC-FLSH'!I33</f>
        <v>2882796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678108</v>
      </c>
      <c r="M33" s="38">
        <f t="shared" si="7"/>
        <v>2882796</v>
      </c>
    </row>
    <row r="34" spans="1:13" x14ac:dyDescent="0.25">
      <c r="A34" s="9">
        <v>15</v>
      </c>
      <c r="B34" s="7"/>
      <c r="C34" s="18" t="s">
        <v>41</v>
      </c>
      <c r="D34" s="65">
        <f>'EAST-EGM-FLSH'!D34+'EAST-LRC-FLSH'!D34</f>
        <v>-624629</v>
      </c>
      <c r="E34" s="66">
        <f>'EAST-EGM-FLSH'!E34+'EAST-LRC-FLSH'!E34</f>
        <v>-2675858</v>
      </c>
      <c r="F34" s="60">
        <f t="shared" si="8"/>
        <v>0</v>
      </c>
      <c r="G34" s="37">
        <f t="shared" si="8"/>
        <v>0</v>
      </c>
      <c r="H34" s="60">
        <f>'EAST-EGM-FLSH'!H34+'EAST-LRC-FLSH'!H34</f>
        <v>-624629</v>
      </c>
      <c r="I34" s="38">
        <f>'EAST-EGM-FLSH'!I34+'EAST-LRC-FLSH'!I34</f>
        <v>-2675858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-624629</v>
      </c>
      <c r="M34" s="38">
        <f t="shared" si="7"/>
        <v>-2675858</v>
      </c>
    </row>
    <row r="35" spans="1:13" x14ac:dyDescent="0.25">
      <c r="A35" s="9">
        <v>16</v>
      </c>
      <c r="B35" s="7"/>
      <c r="C35" s="18" t="s">
        <v>42</v>
      </c>
      <c r="D35" s="65">
        <f>'EAST-EGM-FLSH'!D35+'EAST-LRC-FLSH'!D35</f>
        <v>530010</v>
      </c>
      <c r="E35" s="66">
        <f>'EAST-EGM-FLSH'!E35+'EAST-LRC-FLSH'!E35</f>
        <v>2113994</v>
      </c>
      <c r="F35" s="60">
        <f t="shared" si="8"/>
        <v>0</v>
      </c>
      <c r="G35" s="37">
        <f t="shared" si="8"/>
        <v>0</v>
      </c>
      <c r="H35" s="60">
        <f>'EAST-EGM-FLSH'!H35+'EAST-LRC-FLSH'!H35</f>
        <v>530010</v>
      </c>
      <c r="I35" s="38">
        <f>'EAST-EGM-FLSH'!I35+'EAST-LRC-FLSH'!I35</f>
        <v>2113994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530010</v>
      </c>
      <c r="M35" s="38">
        <f t="shared" si="7"/>
        <v>2113994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567502</v>
      </c>
      <c r="E36" s="39">
        <f t="shared" si="9"/>
        <v>2251986</v>
      </c>
      <c r="F36" s="61">
        <f t="shared" si="9"/>
        <v>0</v>
      </c>
      <c r="G36" s="39">
        <f t="shared" si="9"/>
        <v>0</v>
      </c>
      <c r="H36" s="61">
        <f t="shared" si="9"/>
        <v>567502</v>
      </c>
      <c r="I36" s="39">
        <f t="shared" si="9"/>
        <v>2251986</v>
      </c>
      <c r="J36" s="61">
        <f>SUM(J32:J34)</f>
        <v>0</v>
      </c>
      <c r="K36" s="39">
        <f>SUM(K32:K34)</f>
        <v>0</v>
      </c>
      <c r="L36" s="61">
        <f>SUM(L32:L35)</f>
        <v>567502</v>
      </c>
      <c r="M36" s="39">
        <f>SUM(M32:M35)</f>
        <v>2251986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f>'EAST-EGM-FLSH'!D39+'EAST-LRC-FLSH'!D39</f>
        <v>1423689</v>
      </c>
      <c r="E39" s="66">
        <f>'EAST-EGM-FLSH'!E39+'EAST-LRC-FLSH'!E39</f>
        <v>6198360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1423689</v>
      </c>
      <c r="I39" s="38">
        <f>'EAST-EGM-FLSH'!I39+'EAST-LRC-FLSH'!I39</f>
        <v>6198360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1423689</v>
      </c>
      <c r="M39" s="38">
        <f t="shared" si="11"/>
        <v>6198360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f>'EAST-EGM-FLSH'!D40+'EAST-LRC-FLSH'!D40</f>
        <v>-1006097</v>
      </c>
      <c r="E40" s="66">
        <f>'EAST-EGM-FLSH'!E40+'EAST-LRC-FLSH'!E40</f>
        <v>-4370253</v>
      </c>
      <c r="F40" s="60">
        <f t="shared" si="10"/>
        <v>0</v>
      </c>
      <c r="G40" s="37">
        <f t="shared" si="10"/>
        <v>0</v>
      </c>
      <c r="H40" s="60">
        <f>'EAST-EGM-FLSH'!H40+'EAST-LRC-FLSH'!H40</f>
        <v>-1006097</v>
      </c>
      <c r="I40" s="38">
        <f>'EAST-EGM-FLSH'!I40+'EAST-LRC-FLSH'!I40</f>
        <v>-4370253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-1006097</v>
      </c>
      <c r="M40" s="38">
        <f t="shared" si="11"/>
        <v>-4370253</v>
      </c>
    </row>
    <row r="41" spans="1:13" x14ac:dyDescent="0.25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-1006097</v>
      </c>
      <c r="E42" s="39">
        <f>SUM(E40:E41)</f>
        <v>-4370253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-1006097</v>
      </c>
      <c r="I42" s="39">
        <f t="shared" si="12"/>
        <v>-4370253</v>
      </c>
      <c r="J42" s="61">
        <f t="shared" si="12"/>
        <v>0</v>
      </c>
      <c r="K42" s="39">
        <f t="shared" si="12"/>
        <v>0</v>
      </c>
      <c r="L42" s="61">
        <f t="shared" si="12"/>
        <v>-1006097</v>
      </c>
      <c r="M42" s="39">
        <f t="shared" si="12"/>
        <v>-4370253</v>
      </c>
    </row>
    <row r="43" spans="1:13" ht="21" customHeight="1" x14ac:dyDescent="0.25">
      <c r="A43" s="9"/>
      <c r="B43" s="7" t="s">
        <v>49</v>
      </c>
      <c r="C43" s="6"/>
      <c r="D43" s="61">
        <f>D42+D39</f>
        <v>417592</v>
      </c>
      <c r="E43" s="39">
        <f>E42+E39</f>
        <v>1828107</v>
      </c>
      <c r="F43" s="61">
        <f t="shared" ref="F43:M43" si="13">F42+F39</f>
        <v>0</v>
      </c>
      <c r="G43" s="39">
        <f t="shared" si="13"/>
        <v>0</v>
      </c>
      <c r="H43" s="61">
        <f t="shared" si="13"/>
        <v>417592</v>
      </c>
      <c r="I43" s="39">
        <f t="shared" si="13"/>
        <v>1828107</v>
      </c>
      <c r="J43" s="61">
        <f t="shared" si="13"/>
        <v>0</v>
      </c>
      <c r="K43" s="39">
        <f t="shared" si="13"/>
        <v>0</v>
      </c>
      <c r="L43" s="61">
        <f t="shared" si="13"/>
        <v>417592</v>
      </c>
      <c r="M43" s="39">
        <f t="shared" si="13"/>
        <v>1828107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f>'EAST-EGM-FLSH'!D49+'EAST-LRC-FLSH'!D49</f>
        <v>-972676</v>
      </c>
      <c r="E49" s="66">
        <f>'EAST-EGM-FLSH'!E49+'EAST-LRC-FLSH'!E49</f>
        <v>-4175600.8004000005</v>
      </c>
      <c r="F49" s="60">
        <f>H49-D49</f>
        <v>0</v>
      </c>
      <c r="G49" s="37">
        <f>I49-E49</f>
        <v>0</v>
      </c>
      <c r="H49" s="60">
        <f>'EAST-EGM-FLSH'!H49+'EAST-LRC-FLSH'!H49</f>
        <v>-972676</v>
      </c>
      <c r="I49" s="38">
        <f>'EAST-EGM-FLSH'!I49+'EAST-LRC-FLSH'!I49</f>
        <v>-4175600.8004000005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-972676</v>
      </c>
      <c r="M49" s="38">
        <f>I49+K49</f>
        <v>-4175600.8004000005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f>'EAST-EGM-FLSH'!D51+'EAST-LRC-FLSH'!D51</f>
        <v>-574829</v>
      </c>
      <c r="E51" s="66">
        <f>'EAST-EGM-FLSH'!E51+'EAST-LRC-FLSH'!E51</f>
        <v>-2438737</v>
      </c>
      <c r="F51" s="60">
        <f>H51-D51</f>
        <v>0</v>
      </c>
      <c r="G51" s="37">
        <f>I51-E51</f>
        <v>0</v>
      </c>
      <c r="H51" s="60">
        <f>'EAST-EGM-FLSH'!H51+'EAST-LRC-FLSH'!H51</f>
        <v>-574829</v>
      </c>
      <c r="I51" s="38">
        <f>'EAST-EGM-FLSH'!I51+'EAST-LRC-FLSH'!I51</f>
        <v>-2438737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-574829</v>
      </c>
      <c r="M51" s="38">
        <f>I51+K51</f>
        <v>-2438737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-2048301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-2048301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-2048301</v>
      </c>
    </row>
    <row r="55" spans="1:15" x14ac:dyDescent="0.25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-2220811.5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-2220811.5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-2220811.5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-4269112.5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-4269112.5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-4269112.5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-5134326.6295999996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-5134326.6295999996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-5134326.6295999996</v>
      </c>
    </row>
    <row r="71" spans="1:13" x14ac:dyDescent="0.25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-14964909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-14964909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-14964909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-20099235.6296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-20099235.6296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-20099235.6296</v>
      </c>
    </row>
    <row r="73" spans="1:13" x14ac:dyDescent="0.25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13849134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13849134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13849134</v>
      </c>
    </row>
    <row r="75" spans="1:13" x14ac:dyDescent="0.25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210386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210386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210386</v>
      </c>
    </row>
    <row r="76" spans="1:13" x14ac:dyDescent="0.25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-867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-867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-867</v>
      </c>
    </row>
    <row r="77" spans="1:13" x14ac:dyDescent="0.25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20000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20000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20000</v>
      </c>
    </row>
    <row r="78" spans="1:13" x14ac:dyDescent="0.25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23733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23733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23733</v>
      </c>
    </row>
    <row r="79" spans="1:13" x14ac:dyDescent="0.25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-66750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-66750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-66750</v>
      </c>
    </row>
    <row r="81" spans="1:67" x14ac:dyDescent="0.25">
      <c r="A81" s="9">
        <v>40</v>
      </c>
      <c r="B81" s="3"/>
      <c r="C81" s="10" t="s">
        <v>78</v>
      </c>
      <c r="D81" s="60"/>
      <c r="E81" s="66">
        <f>'EAST-EGM-FLSH'!E81+'EAST-LRC-FLSH'!E81</f>
        <v>963669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963669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963669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-8911113.9300000481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-8911113.9300000481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-8911113.9300000481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  <c r="E84" s="31">
        <f>+'EAST-LRC-FLSH'!E82+'EAST-EGM-FLSH'!E82</f>
        <v>-8911113.9300000481</v>
      </c>
      <c r="M84" s="45"/>
    </row>
    <row r="85" spans="1:67" x14ac:dyDescent="0.25">
      <c r="A85" s="4" t="s">
        <v>160</v>
      </c>
      <c r="B85" s="3"/>
    </row>
    <row r="86" spans="1:67" s="3" customFormat="1" x14ac:dyDescent="0.25">
      <c r="A86" s="144"/>
      <c r="C86" s="10" t="s">
        <v>162</v>
      </c>
      <c r="D86" s="145">
        <f>'EAST-EGM-FLSH'!D86+'EAST-LRC-FLSH'!D86</f>
        <v>0</v>
      </c>
      <c r="E86" s="145">
        <f>'EAST-EGM-FLSH'!E86+'EAST-LRC-FLSH'!E86</f>
        <v>-42632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-42632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-42632</v>
      </c>
    </row>
    <row r="87" spans="1:67" s="3" customFormat="1" x14ac:dyDescent="0.25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5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-42632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-42632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-42632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0</v>
      </c>
      <c r="E91" s="155">
        <f t="shared" ref="E91:M91" si="21">+E82+E89</f>
        <v>-8953745.9300000481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-8953745.9300000481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-8953745.9300000481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E89" sqref="E8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12058069</v>
      </c>
      <c r="E11" s="38">
        <v>38430000.50999999</v>
      </c>
      <c r="F11" s="65">
        <f>H11-D11</f>
        <v>0</v>
      </c>
      <c r="G11" s="63">
        <f>I11-E11</f>
        <v>0</v>
      </c>
      <c r="H11" s="65">
        <f>D11</f>
        <v>12058069</v>
      </c>
      <c r="I11" s="66">
        <f>E11</f>
        <v>38430000.50999999</v>
      </c>
      <c r="J11" s="60"/>
      <c r="K11" s="38"/>
      <c r="L11" s="60">
        <f t="shared" ref="L11:M15" si="0">H11+J11</f>
        <v>12058069</v>
      </c>
      <c r="M11" s="38">
        <f t="shared" si="0"/>
        <v>38430000.50999999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38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38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12058069</v>
      </c>
      <c r="E16" s="39">
        <v>38430000.50999999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12058069</v>
      </c>
      <c r="I16" s="39">
        <f>SUM(I11:I15)</f>
        <v>38430000.50999999</v>
      </c>
      <c r="J16" s="61">
        <f t="shared" si="3"/>
        <v>0</v>
      </c>
      <c r="K16" s="39">
        <f t="shared" si="3"/>
        <v>0</v>
      </c>
      <c r="L16" s="61">
        <f t="shared" si="3"/>
        <v>12058069</v>
      </c>
      <c r="M16" s="39">
        <f t="shared" si="3"/>
        <v>38430000.50999999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-7716905</v>
      </c>
      <c r="E19" s="38">
        <v>-24767566.75999999</v>
      </c>
      <c r="F19" s="65">
        <f>H19-D19</f>
        <v>0</v>
      </c>
      <c r="G19" s="63">
        <f>I19-E19</f>
        <v>0</v>
      </c>
      <c r="H19" s="65">
        <f t="shared" si="4"/>
        <v>-7716905</v>
      </c>
      <c r="I19" s="66">
        <f t="shared" si="4"/>
        <v>-24767566.75999999</v>
      </c>
      <c r="J19" s="60"/>
      <c r="K19" s="38"/>
      <c r="L19" s="60">
        <f t="shared" ref="L19:M23" si="5">H19+J19</f>
        <v>-7716905</v>
      </c>
      <c r="M19" s="38">
        <f t="shared" si="5"/>
        <v>-24767566.75999999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38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16787</v>
      </c>
      <c r="E23" s="38">
        <v>58072</v>
      </c>
      <c r="F23" s="65">
        <f t="shared" si="6"/>
        <v>0</v>
      </c>
      <c r="G23" s="63">
        <f t="shared" si="6"/>
        <v>0</v>
      </c>
      <c r="H23" s="65">
        <f t="shared" si="4"/>
        <v>16787</v>
      </c>
      <c r="I23" s="66">
        <f t="shared" si="4"/>
        <v>58072</v>
      </c>
      <c r="J23" s="60"/>
      <c r="K23" s="38"/>
      <c r="L23" s="60">
        <f t="shared" si="5"/>
        <v>16787</v>
      </c>
      <c r="M23" s="38">
        <f t="shared" si="5"/>
        <v>58072</v>
      </c>
    </row>
    <row r="24" spans="1:13" x14ac:dyDescent="0.25">
      <c r="A24" s="9"/>
      <c r="B24" s="7" t="s">
        <v>33</v>
      </c>
      <c r="C24" s="6"/>
      <c r="D24" s="61">
        <v>-7700118</v>
      </c>
      <c r="E24" s="39">
        <v>-24709494.75999999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-7700118</v>
      </c>
      <c r="I24" s="39">
        <f>SUM(I19:I23)</f>
        <v>-24709494.75999999</v>
      </c>
      <c r="J24" s="61">
        <f t="shared" si="7"/>
        <v>0</v>
      </c>
      <c r="K24" s="39">
        <f t="shared" si="7"/>
        <v>0</v>
      </c>
      <c r="L24" s="61">
        <f t="shared" si="7"/>
        <v>-7700118</v>
      </c>
      <c r="M24" s="39">
        <f t="shared" si="7"/>
        <v>-24709494.75999999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22328896</v>
      </c>
      <c r="E27" s="38">
        <v>78557718.520000011</v>
      </c>
      <c r="F27" s="65">
        <f>H27-D27</f>
        <v>0</v>
      </c>
      <c r="G27" s="63">
        <f>I27-E27</f>
        <v>0</v>
      </c>
      <c r="H27" s="65">
        <f>D27</f>
        <v>22328896</v>
      </c>
      <c r="I27" s="66">
        <f>E27</f>
        <v>78557718.520000011</v>
      </c>
      <c r="J27" s="60"/>
      <c r="K27" s="38"/>
      <c r="L27" s="60">
        <f>H27+J27</f>
        <v>22328896</v>
      </c>
      <c r="M27" s="38">
        <f>I27+K27</f>
        <v>78557718.520000011</v>
      </c>
    </row>
    <row r="28" spans="1:13" x14ac:dyDescent="0.25">
      <c r="A28" s="9">
        <v>12</v>
      </c>
      <c r="B28" s="7"/>
      <c r="C28" s="18" t="s">
        <v>36</v>
      </c>
      <c r="D28" s="60">
        <v>-23023876</v>
      </c>
      <c r="E28" s="38">
        <v>-81056970.810000002</v>
      </c>
      <c r="F28" s="65">
        <f>H28-D28</f>
        <v>0</v>
      </c>
      <c r="G28" s="63">
        <f>I28-E28</f>
        <v>0</v>
      </c>
      <c r="H28" s="65">
        <f>D28</f>
        <v>-23023876</v>
      </c>
      <c r="I28" s="66">
        <f>E28</f>
        <v>-81056970.810000002</v>
      </c>
      <c r="J28" s="60"/>
      <c r="K28" s="38"/>
      <c r="L28" s="60">
        <f>H28+J28</f>
        <v>-23023876</v>
      </c>
      <c r="M28" s="38">
        <f>I28+K28</f>
        <v>-81056970.810000002</v>
      </c>
    </row>
    <row r="29" spans="1:13" x14ac:dyDescent="0.25">
      <c r="A29" s="9"/>
      <c r="B29" s="7" t="s">
        <v>37</v>
      </c>
      <c r="C29" s="6"/>
      <c r="D29" s="61">
        <v>-694980</v>
      </c>
      <c r="E29" s="39">
        <v>-2499252.2899999917</v>
      </c>
      <c r="F29" s="61">
        <f t="shared" ref="F29:M29" si="8">SUM(F27:F28)</f>
        <v>0</v>
      </c>
      <c r="G29" s="39">
        <f t="shared" si="8"/>
        <v>0</v>
      </c>
      <c r="H29" s="61">
        <f>SUM(H27:H28)</f>
        <v>-694980</v>
      </c>
      <c r="I29" s="39">
        <f>SUM(I27:I28)</f>
        <v>-2499252.2899999917</v>
      </c>
      <c r="J29" s="61">
        <f t="shared" si="8"/>
        <v>0</v>
      </c>
      <c r="K29" s="39">
        <f t="shared" si="8"/>
        <v>0</v>
      </c>
      <c r="L29" s="61">
        <f t="shared" si="8"/>
        <v>-694980</v>
      </c>
      <c r="M29" s="39">
        <f t="shared" si="8"/>
        <v>-2499252.2899999917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537385</v>
      </c>
      <c r="E32" s="38">
        <v>3</v>
      </c>
      <c r="F32" s="65">
        <f>H32-D32</f>
        <v>0</v>
      </c>
      <c r="G32" s="63">
        <f>I32-E32</f>
        <v>0</v>
      </c>
      <c r="H32" s="65">
        <f t="shared" ref="H32:I35" si="9">D32</f>
        <v>537385</v>
      </c>
      <c r="I32" s="66">
        <f t="shared" si="9"/>
        <v>3</v>
      </c>
      <c r="J32" s="60"/>
      <c r="K32" s="38"/>
      <c r="L32" s="60">
        <f t="shared" ref="L32:M35" si="10">H32+J32</f>
        <v>537385</v>
      </c>
      <c r="M32" s="38">
        <f t="shared" si="10"/>
        <v>3</v>
      </c>
    </row>
    <row r="33" spans="1:13" x14ac:dyDescent="0.25">
      <c r="A33" s="9">
        <v>14</v>
      </c>
      <c r="B33" s="7"/>
      <c r="C33" s="18" t="s">
        <v>40</v>
      </c>
      <c r="D33" s="60">
        <v>-536755</v>
      </c>
      <c r="E33" s="38">
        <v>-16109</v>
      </c>
      <c r="F33" s="65">
        <f t="shared" ref="F33:G35" si="11">H33-D33</f>
        <v>0</v>
      </c>
      <c r="G33" s="63">
        <f t="shared" si="11"/>
        <v>0</v>
      </c>
      <c r="H33" s="65">
        <f t="shared" si="9"/>
        <v>-536755</v>
      </c>
      <c r="I33" s="66">
        <f t="shared" si="9"/>
        <v>-16109</v>
      </c>
      <c r="J33" s="60"/>
      <c r="K33" s="38"/>
      <c r="L33" s="60">
        <f t="shared" si="10"/>
        <v>-536755</v>
      </c>
      <c r="M33" s="38">
        <f t="shared" si="10"/>
        <v>-16109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630</v>
      </c>
      <c r="E36" s="39">
        <v>-16106</v>
      </c>
      <c r="F36" s="61">
        <f>SUM(F32:F35)</f>
        <v>0</v>
      </c>
      <c r="G36" s="39">
        <f>SUM(G32:G35)</f>
        <v>0</v>
      </c>
      <c r="H36" s="61">
        <f>SUM(H32:H35)</f>
        <v>630</v>
      </c>
      <c r="I36" s="39">
        <f>SUM(I32:I35)</f>
        <v>-16106</v>
      </c>
      <c r="J36" s="61">
        <f>SUM(J32:J34)</f>
        <v>0</v>
      </c>
      <c r="K36" s="39">
        <f>SUM(K32:K34)</f>
        <v>0</v>
      </c>
      <c r="L36" s="61">
        <f>SUM(L32:L35)</f>
        <v>630</v>
      </c>
      <c r="M36" s="39">
        <f>SUM(M32:M35)</f>
        <v>-16106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38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0">
        <v>0</v>
      </c>
      <c r="E43" s="3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-3662971</v>
      </c>
      <c r="E49" s="38">
        <v>-15687545.484167419</v>
      </c>
      <c r="F49" s="65">
        <f>H49-D49</f>
        <v>0</v>
      </c>
      <c r="G49" s="63">
        <f>I49-E49</f>
        <v>0</v>
      </c>
      <c r="H49" s="65">
        <f>D49</f>
        <v>-3662971</v>
      </c>
      <c r="I49" s="66">
        <f>E49</f>
        <v>-15687545.484167419</v>
      </c>
      <c r="J49" s="60"/>
      <c r="K49" s="38"/>
      <c r="L49" s="60">
        <f>H49+J49</f>
        <v>-3662971</v>
      </c>
      <c r="M49" s="38">
        <f>I49+K49</f>
        <v>-15687545.484167419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-16787</v>
      </c>
      <c r="E51" s="38">
        <v>0</v>
      </c>
      <c r="F51" s="65">
        <f>H51-D51</f>
        <v>0</v>
      </c>
      <c r="G51" s="63">
        <f>I51-E51</f>
        <v>0</v>
      </c>
      <c r="H51" s="65">
        <f>D51</f>
        <v>-16787</v>
      </c>
      <c r="I51" s="66">
        <f>E51</f>
        <v>0</v>
      </c>
      <c r="J51" s="60"/>
      <c r="K51" s="38"/>
      <c r="L51" s="60">
        <f>H51+J51</f>
        <v>-16787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38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38">
        <v>519130.8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519130.8</v>
      </c>
      <c r="J70" s="60"/>
      <c r="K70" s="38"/>
      <c r="L70" s="60">
        <f t="shared" si="20"/>
        <v>0</v>
      </c>
      <c r="M70" s="38">
        <f t="shared" si="20"/>
        <v>519130.8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38">
        <v>-6879227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-6879227</v>
      </c>
      <c r="J71" s="60"/>
      <c r="K71" s="38"/>
      <c r="L71" s="60">
        <f t="shared" si="20"/>
        <v>0</v>
      </c>
      <c r="M71" s="38">
        <f t="shared" si="20"/>
        <v>-6879227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-6360096.2000000002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-6360096.2000000002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-6360096.2000000002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38">
        <v>5792644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5792644</v>
      </c>
      <c r="J74" s="60"/>
      <c r="K74" s="38"/>
      <c r="L74" s="60">
        <f t="shared" si="23"/>
        <v>0</v>
      </c>
      <c r="M74" s="38">
        <f t="shared" si="23"/>
        <v>5792644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38">
        <v>308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308</v>
      </c>
      <c r="J75" s="60"/>
      <c r="K75" s="38"/>
      <c r="L75" s="60">
        <f t="shared" si="23"/>
        <v>0</v>
      </c>
      <c r="M75" s="38">
        <f t="shared" si="23"/>
        <v>308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38">
        <v>-1000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-1000</v>
      </c>
      <c r="J76" s="60"/>
      <c r="K76" s="38"/>
      <c r="L76" s="60">
        <f t="shared" si="23"/>
        <v>0</v>
      </c>
      <c r="M76" s="38">
        <f t="shared" si="23"/>
        <v>-1000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38">
        <v>-98300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-98300</v>
      </c>
      <c r="J77" s="60"/>
      <c r="K77" s="38"/>
      <c r="L77" s="60">
        <f t="shared" si="23"/>
        <v>0</v>
      </c>
      <c r="M77" s="38">
        <f t="shared" si="23"/>
        <v>-98300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38">
        <v>2228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2228</v>
      </c>
      <c r="J81" s="60"/>
      <c r="K81" s="38"/>
      <c r="L81" s="60">
        <f t="shared" si="23"/>
        <v>0</v>
      </c>
      <c r="M81" s="38">
        <f t="shared" si="23"/>
        <v>2228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630</v>
      </c>
      <c r="E82" s="141">
        <f>SUM(E72:E81)+E16+E24+E29+E36+E43+E45+E47+E49+E51+E56+E61+E66</f>
        <v>-5146614.224167414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630</v>
      </c>
      <c r="I82" s="135">
        <f>SUM(I72:I81)+I16+I24+I29+I36+I43+I45+I47+I49+I51+I56+I61+I66</f>
        <v>-5146614.224167414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630</v>
      </c>
      <c r="M82" s="74">
        <f>SUM(M72:M81)+M16+M24+M29+M36+M43+M45+M47+M49+M51+M56+M61+M66</f>
        <v>-5146614.224167414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166</v>
      </c>
      <c r="B85" s="3"/>
      <c r="M85" s="45">
        <f>M82+'TX-HPLR-FLSH'!M82</f>
        <v>855660.56746232137</v>
      </c>
    </row>
    <row r="86" spans="1:67" s="3" customFormat="1" x14ac:dyDescent="0.25">
      <c r="A86" s="144"/>
      <c r="C86" s="10" t="s">
        <v>162</v>
      </c>
      <c r="D86" s="148">
        <v>0</v>
      </c>
      <c r="E86" s="148">
        <f>-825266+700516+182427</f>
        <v>57677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57677</v>
      </c>
      <c r="J86" s="148"/>
      <c r="K86" s="148"/>
      <c r="L86" s="148">
        <f t="shared" ref="L86:M88" si="27">H86+J86</f>
        <v>0</v>
      </c>
      <c r="M86" s="148">
        <f t="shared" si="27"/>
        <v>57677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-686167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-686167</v>
      </c>
      <c r="J88" s="150"/>
      <c r="K88" s="150"/>
      <c r="L88" s="150">
        <f t="shared" si="27"/>
        <v>0</v>
      </c>
      <c r="M88" s="150">
        <f t="shared" si="27"/>
        <v>-686167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8">SUM(E86:E88)</f>
        <v>-628490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-628490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-628490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630</v>
      </c>
      <c r="E91" s="155">
        <f t="shared" ref="E91:M91" si="29">+E82+E89</f>
        <v>-5775104.224167414</v>
      </c>
      <c r="F91" s="155">
        <f t="shared" si="29"/>
        <v>0</v>
      </c>
      <c r="G91" s="155">
        <f t="shared" si="29"/>
        <v>0</v>
      </c>
      <c r="H91" s="155">
        <f t="shared" si="29"/>
        <v>630</v>
      </c>
      <c r="I91" s="155">
        <f t="shared" si="29"/>
        <v>-5775104.224167414</v>
      </c>
      <c r="J91" s="155">
        <f t="shared" si="29"/>
        <v>0</v>
      </c>
      <c r="K91" s="155">
        <f t="shared" si="29"/>
        <v>0</v>
      </c>
      <c r="L91" s="155">
        <f t="shared" si="29"/>
        <v>630</v>
      </c>
      <c r="M91" s="155">
        <f t="shared" si="29"/>
        <v>-5775104.224167414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I10" activePane="bottomRight" state="frozen"/>
      <selection pane="topRight"/>
      <selection pane="bottomLeft"/>
      <selection pane="bottomRight" activeCell="M19" sqref="M1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9">
        <v>3157520</v>
      </c>
      <c r="E11" s="149">
        <v>28080810.49000001</v>
      </c>
      <c r="F11" s="60">
        <f>H11-D11</f>
        <v>0</v>
      </c>
      <c r="G11" s="37">
        <f>I11-E11</f>
        <v>0</v>
      </c>
      <c r="H11" s="65">
        <f>D11</f>
        <v>3157520</v>
      </c>
      <c r="I11" s="66">
        <f>E11</f>
        <v>28080810.49000001</v>
      </c>
      <c r="J11" s="60"/>
      <c r="K11" s="38"/>
      <c r="L11" s="60">
        <f t="shared" ref="L11:M15" si="0">H11+J11</f>
        <v>3157520</v>
      </c>
      <c r="M11" s="38">
        <f t="shared" si="0"/>
        <v>28080810.49000001</v>
      </c>
    </row>
    <row r="12" spans="1:26" x14ac:dyDescent="0.25">
      <c r="A12" s="9">
        <v>2</v>
      </c>
      <c r="B12" s="7"/>
      <c r="C12" s="18" t="s">
        <v>26</v>
      </c>
      <c r="D12" s="149">
        <v>0</v>
      </c>
      <c r="E12" s="149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9">
        <v>14</v>
      </c>
      <c r="E13" s="149">
        <v>0</v>
      </c>
      <c r="F13" s="60">
        <f t="shared" si="1"/>
        <v>0</v>
      </c>
      <c r="G13" s="37">
        <f t="shared" si="1"/>
        <v>0</v>
      </c>
      <c r="H13" s="65">
        <f t="shared" si="2"/>
        <v>14</v>
      </c>
      <c r="I13" s="66">
        <f t="shared" si="2"/>
        <v>0</v>
      </c>
      <c r="J13" s="60"/>
      <c r="K13" s="38"/>
      <c r="L13" s="60">
        <f t="shared" si="0"/>
        <v>14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149">
        <v>0</v>
      </c>
      <c r="E14" s="149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149">
        <v>0</v>
      </c>
      <c r="E15" s="149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6">
        <v>3157534</v>
      </c>
      <c r="E16" s="166">
        <v>28080810.49000001</v>
      </c>
      <c r="F16" s="61">
        <f t="shared" ref="F16:M16" si="3">SUM(F11:F15)</f>
        <v>0</v>
      </c>
      <c r="G16" s="39">
        <f t="shared" si="3"/>
        <v>0</v>
      </c>
      <c r="H16" s="61">
        <f>SUM(H11:H15)</f>
        <v>3157534</v>
      </c>
      <c r="I16" s="39">
        <f>SUM(I11:I15)</f>
        <v>28080810.49000001</v>
      </c>
      <c r="J16" s="61">
        <f t="shared" si="3"/>
        <v>0</v>
      </c>
      <c r="K16" s="39">
        <f t="shared" si="3"/>
        <v>0</v>
      </c>
      <c r="L16" s="61">
        <f t="shared" si="3"/>
        <v>3157534</v>
      </c>
      <c r="M16" s="39">
        <f t="shared" si="3"/>
        <v>28080810.49000001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9">
        <v>-366385</v>
      </c>
      <c r="E19" s="149">
        <v>-9636253.2400000095</v>
      </c>
      <c r="F19" s="60">
        <f>H19-D19</f>
        <v>0</v>
      </c>
      <c r="G19" s="37">
        <f>I19-E19</f>
        <v>0</v>
      </c>
      <c r="H19" s="65">
        <f t="shared" si="4"/>
        <v>-366385</v>
      </c>
      <c r="I19" s="66">
        <f t="shared" si="4"/>
        <v>-9636253.2400000095</v>
      </c>
      <c r="J19" s="60"/>
      <c r="K19" s="38"/>
      <c r="L19" s="60">
        <f t="shared" ref="L19:M23" si="5">H19+J19</f>
        <v>-366385</v>
      </c>
      <c r="M19" s="38">
        <f t="shared" si="5"/>
        <v>-9636253.2400000095</v>
      </c>
    </row>
    <row r="20" spans="1:13" x14ac:dyDescent="0.25">
      <c r="A20" s="9">
        <v>7</v>
      </c>
      <c r="B20" s="7"/>
      <c r="C20" s="18" t="s">
        <v>26</v>
      </c>
      <c r="D20" s="149">
        <v>0</v>
      </c>
      <c r="E20" s="149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9">
        <v>0</v>
      </c>
      <c r="E21" s="149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149">
        <v>0</v>
      </c>
      <c r="E22" s="149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9">
        <v>-7996</v>
      </c>
      <c r="E23" s="149">
        <v>-20999</v>
      </c>
      <c r="F23" s="60">
        <f t="shared" si="6"/>
        <v>0</v>
      </c>
      <c r="G23" s="37">
        <f t="shared" si="6"/>
        <v>0</v>
      </c>
      <c r="H23" s="65">
        <f t="shared" si="4"/>
        <v>-7996</v>
      </c>
      <c r="I23" s="66">
        <f t="shared" si="4"/>
        <v>-20999</v>
      </c>
      <c r="J23" s="60"/>
      <c r="K23" s="38"/>
      <c r="L23" s="60">
        <f t="shared" si="5"/>
        <v>-7996</v>
      </c>
      <c r="M23" s="38">
        <f t="shared" si="5"/>
        <v>-20999</v>
      </c>
    </row>
    <row r="24" spans="1:13" x14ac:dyDescent="0.25">
      <c r="A24" s="9"/>
      <c r="B24" s="7" t="s">
        <v>33</v>
      </c>
      <c r="C24" s="6"/>
      <c r="D24" s="166">
        <v>-374381</v>
      </c>
      <c r="E24" s="166">
        <v>-9657252.2400000095</v>
      </c>
      <c r="F24" s="61">
        <f t="shared" ref="F24:M24" si="7">SUM(F19:F23)</f>
        <v>0</v>
      </c>
      <c r="G24" s="39">
        <f t="shared" si="7"/>
        <v>0</v>
      </c>
      <c r="H24" s="61">
        <f>SUM(H19:H23)</f>
        <v>-374381</v>
      </c>
      <c r="I24" s="39">
        <f>SUM(I19:I23)</f>
        <v>-9657252.2400000095</v>
      </c>
      <c r="J24" s="61">
        <f t="shared" si="7"/>
        <v>0</v>
      </c>
      <c r="K24" s="39">
        <f t="shared" si="7"/>
        <v>0</v>
      </c>
      <c r="L24" s="61">
        <f t="shared" si="7"/>
        <v>-374381</v>
      </c>
      <c r="M24" s="39">
        <f t="shared" si="7"/>
        <v>-9657252.2400000095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9">
        <v>-356532</v>
      </c>
      <c r="E27" s="149">
        <v>15210999.480000019</v>
      </c>
      <c r="F27" s="60">
        <f>H27-D27</f>
        <v>0</v>
      </c>
      <c r="G27" s="37">
        <f>I27-E27</f>
        <v>0</v>
      </c>
      <c r="H27" s="65">
        <f>D27</f>
        <v>-356532</v>
      </c>
      <c r="I27" s="66">
        <f>E27</f>
        <v>15210999.480000019</v>
      </c>
      <c r="J27" s="60"/>
      <c r="K27" s="38"/>
      <c r="L27" s="60">
        <f>H27+J27</f>
        <v>-356532</v>
      </c>
      <c r="M27" s="38">
        <f>I27+K27</f>
        <v>15210999.480000019</v>
      </c>
    </row>
    <row r="28" spans="1:13" x14ac:dyDescent="0.25">
      <c r="A28" s="9">
        <v>12</v>
      </c>
      <c r="B28" s="7"/>
      <c r="C28" s="18" t="s">
        <v>36</v>
      </c>
      <c r="D28" s="149">
        <v>103705</v>
      </c>
      <c r="E28" s="149">
        <v>-16792921.189999998</v>
      </c>
      <c r="F28" s="60">
        <f>H28-D28</f>
        <v>0</v>
      </c>
      <c r="G28" s="37">
        <f>I28-E28</f>
        <v>0</v>
      </c>
      <c r="H28" s="65">
        <f>D28</f>
        <v>103705</v>
      </c>
      <c r="I28" s="66">
        <f>E28</f>
        <v>-16792921.189999998</v>
      </c>
      <c r="J28" s="60"/>
      <c r="K28" s="38"/>
      <c r="L28" s="60">
        <f>H28+J28</f>
        <v>103705</v>
      </c>
      <c r="M28" s="38">
        <f>I28+K28</f>
        <v>-16792921.189999998</v>
      </c>
    </row>
    <row r="29" spans="1:13" x14ac:dyDescent="0.25">
      <c r="A29" s="9"/>
      <c r="B29" s="7" t="s">
        <v>37</v>
      </c>
      <c r="C29" s="6"/>
      <c r="D29" s="166">
        <v>-252827</v>
      </c>
      <c r="E29" s="166">
        <v>-1581921.7099999785</v>
      </c>
      <c r="F29" s="61">
        <f t="shared" ref="F29:M29" si="8">SUM(F27:F28)</f>
        <v>0</v>
      </c>
      <c r="G29" s="39">
        <f t="shared" si="8"/>
        <v>0</v>
      </c>
      <c r="H29" s="61">
        <f>SUM(H27:H28)</f>
        <v>-252827</v>
      </c>
      <c r="I29" s="39">
        <f>SUM(I27:I28)</f>
        <v>-1581921.7099999785</v>
      </c>
      <c r="J29" s="61">
        <f t="shared" si="8"/>
        <v>0</v>
      </c>
      <c r="K29" s="39">
        <f t="shared" si="8"/>
        <v>0</v>
      </c>
      <c r="L29" s="61">
        <f t="shared" si="8"/>
        <v>-252827</v>
      </c>
      <c r="M29" s="39">
        <f t="shared" si="8"/>
        <v>-1581921.7099999785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9">
        <v>0</v>
      </c>
      <c r="E32" s="149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9">
        <v>0</v>
      </c>
      <c r="E33" s="149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9">
        <v>0</v>
      </c>
      <c r="E34" s="149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9">
        <v>0</v>
      </c>
      <c r="E35" s="149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9">
        <v>0</v>
      </c>
      <c r="E39" s="149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9">
        <v>0</v>
      </c>
      <c r="E40" s="149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9">
        <v>0</v>
      </c>
      <c r="E41" s="149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9">
        <v>0</v>
      </c>
      <c r="E45" s="149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9">
        <v>0</v>
      </c>
      <c r="E47" s="149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9">
        <v>-2530942</v>
      </c>
      <c r="E49" s="149">
        <v>-10839361.748370286</v>
      </c>
      <c r="F49" s="60">
        <f>H49-D49</f>
        <v>0</v>
      </c>
      <c r="G49" s="37">
        <f>I49-E49</f>
        <v>0</v>
      </c>
      <c r="H49" s="65">
        <f>D49</f>
        <v>-2530942</v>
      </c>
      <c r="I49" s="66">
        <f>E49</f>
        <v>-10839361.748370286</v>
      </c>
      <c r="J49" s="60"/>
      <c r="K49" s="38"/>
      <c r="L49" s="60">
        <f>H49+J49</f>
        <v>-2530942</v>
      </c>
      <c r="M49" s="38">
        <f>I49+K49</f>
        <v>-10839361.748370286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9">
        <v>16787</v>
      </c>
      <c r="E51" s="149">
        <v>0</v>
      </c>
      <c r="F51" s="60">
        <f>H51-D51</f>
        <v>0</v>
      </c>
      <c r="G51" s="37">
        <f>I51-E51</f>
        <v>0</v>
      </c>
      <c r="H51" s="65">
        <f>D51</f>
        <v>16787</v>
      </c>
      <c r="I51" s="66">
        <f>E51</f>
        <v>0</v>
      </c>
      <c r="J51" s="60"/>
      <c r="K51" s="38"/>
      <c r="L51" s="60">
        <f>H51+J51</f>
        <v>16787</v>
      </c>
      <c r="M51" s="38">
        <f>I51+K51</f>
        <v>0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9">
        <v>0</v>
      </c>
      <c r="E54" s="149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149">
        <v>0</v>
      </c>
      <c r="E55" s="149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9">
        <v>0</v>
      </c>
      <c r="E59" s="149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9">
        <v>0</v>
      </c>
      <c r="E60" s="149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9">
        <v>0</v>
      </c>
      <c r="E64" s="149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9">
        <v>0</v>
      </c>
      <c r="E65" s="149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149">
        <v>0</v>
      </c>
      <c r="E70" s="149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149">
        <v>0</v>
      </c>
      <c r="E71" s="149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149">
        <v>0</v>
      </c>
      <c r="E73" s="149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149">
        <v>0</v>
      </c>
      <c r="E74" s="149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149">
        <v>0</v>
      </c>
      <c r="E75" s="149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149">
        <v>0</v>
      </c>
      <c r="E76" s="149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149">
        <v>0</v>
      </c>
      <c r="E77" s="149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149">
        <v>0</v>
      </c>
      <c r="E78" s="149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149">
        <v>0</v>
      </c>
      <c r="E79" s="149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149">
        <v>0</v>
      </c>
      <c r="E80" s="149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149">
        <v>0</v>
      </c>
      <c r="E81" s="149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-616</v>
      </c>
      <c r="E82" s="141">
        <f>SUM(E72:E81)+E16+E24+E29+E36+E43+E45+E47+E49+E51+E56+E61+E66</f>
        <v>6002274.7916297354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-616</v>
      </c>
      <c r="I82" s="135">
        <f>SUM(I72:I81)+I16+I24+I29+I36+I43+I45+I47+I49+I51+I56+I61+I66</f>
        <v>6002274.7916297354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-616</v>
      </c>
      <c r="M82" s="74">
        <f>SUM(M72:M81)+M16+M24+M29+M36+M43+M45+M47+M49+M51+M56+M61+M66</f>
        <v>6002274.7916297354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20" sqref="D2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53851393</v>
      </c>
      <c r="E11" s="60">
        <v>231073644</v>
      </c>
      <c r="F11" s="60">
        <f>H11-D11</f>
        <v>0</v>
      </c>
      <c r="G11" s="37">
        <f>I11-E11</f>
        <v>0</v>
      </c>
      <c r="H11" s="65">
        <f>D11</f>
        <v>53851393</v>
      </c>
      <c r="I11" s="66">
        <f>E11</f>
        <v>231073644</v>
      </c>
      <c r="J11" s="60"/>
      <c r="K11" s="38"/>
      <c r="L11" s="60">
        <f t="shared" ref="L11:M15" si="0">H11+J11</f>
        <v>53851393</v>
      </c>
      <c r="M11" s="38">
        <f t="shared" si="0"/>
        <v>231073644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531200</v>
      </c>
      <c r="E13" s="60">
        <v>2195040</v>
      </c>
      <c r="F13" s="60">
        <f t="shared" si="1"/>
        <v>0</v>
      </c>
      <c r="G13" s="37">
        <f t="shared" si="1"/>
        <v>0</v>
      </c>
      <c r="H13" s="65">
        <f t="shared" si="2"/>
        <v>531200</v>
      </c>
      <c r="I13" s="66">
        <f t="shared" si="2"/>
        <v>2195040</v>
      </c>
      <c r="J13" s="60"/>
      <c r="K13" s="38"/>
      <c r="L13" s="60">
        <f t="shared" si="0"/>
        <v>531200</v>
      </c>
      <c r="M13" s="38">
        <f t="shared" si="0"/>
        <v>2195040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54382593</v>
      </c>
      <c r="E16" s="39">
        <v>233268684</v>
      </c>
      <c r="F16" s="61">
        <f t="shared" ref="F16:M16" si="3">SUM(F11:F15)</f>
        <v>0</v>
      </c>
      <c r="G16" s="39">
        <f t="shared" si="3"/>
        <v>0</v>
      </c>
      <c r="H16" s="61">
        <f>SUM(H11:H15)</f>
        <v>54382593</v>
      </c>
      <c r="I16" s="39">
        <f>SUM(I11:I15)</f>
        <v>233268684</v>
      </c>
      <c r="J16" s="61">
        <f t="shared" si="3"/>
        <v>0</v>
      </c>
      <c r="K16" s="39">
        <f t="shared" si="3"/>
        <v>0</v>
      </c>
      <c r="L16" s="61">
        <f t="shared" si="3"/>
        <v>54382593</v>
      </c>
      <c r="M16" s="39">
        <f t="shared" si="3"/>
        <v>233268684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-61030753</v>
      </c>
      <c r="E19" s="60">
        <v>-260483091</v>
      </c>
      <c r="F19" s="60">
        <f>H19-D19</f>
        <v>0</v>
      </c>
      <c r="G19" s="37">
        <f>I19-E19</f>
        <v>0</v>
      </c>
      <c r="H19" s="65">
        <f t="shared" si="4"/>
        <v>-61030753</v>
      </c>
      <c r="I19" s="66">
        <f t="shared" si="4"/>
        <v>-260483091</v>
      </c>
      <c r="J19" s="60"/>
      <c r="K19" s="38"/>
      <c r="L19" s="60">
        <f t="shared" ref="L19:M23" si="5">H19+J19</f>
        <v>-61030753</v>
      </c>
      <c r="M19" s="38">
        <f t="shared" si="5"/>
        <v>-260483091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-1345522</v>
      </c>
      <c r="E21" s="60">
        <v>-5615570</v>
      </c>
      <c r="F21" s="60">
        <f t="shared" si="6"/>
        <v>0</v>
      </c>
      <c r="G21" s="37">
        <f t="shared" si="6"/>
        <v>0</v>
      </c>
      <c r="H21" s="65">
        <f t="shared" si="4"/>
        <v>-1345522</v>
      </c>
      <c r="I21" s="66">
        <f t="shared" si="4"/>
        <v>-5615570</v>
      </c>
      <c r="J21" s="60"/>
      <c r="K21" s="38"/>
      <c r="L21" s="60">
        <f t="shared" si="5"/>
        <v>-1345522</v>
      </c>
      <c r="M21" s="38">
        <f t="shared" si="5"/>
        <v>-5615570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8963</v>
      </c>
      <c r="E23" s="60">
        <v>37729</v>
      </c>
      <c r="F23" s="60">
        <f t="shared" si="6"/>
        <v>0</v>
      </c>
      <c r="G23" s="37">
        <f t="shared" si="6"/>
        <v>0</v>
      </c>
      <c r="H23" s="65">
        <f t="shared" si="4"/>
        <v>8963</v>
      </c>
      <c r="I23" s="66">
        <f t="shared" si="4"/>
        <v>37729</v>
      </c>
      <c r="J23" s="60"/>
      <c r="K23" s="38"/>
      <c r="L23" s="60">
        <f t="shared" si="5"/>
        <v>8963</v>
      </c>
      <c r="M23" s="38">
        <f t="shared" si="5"/>
        <v>37729</v>
      </c>
    </row>
    <row r="24" spans="1:13" x14ac:dyDescent="0.25">
      <c r="A24" s="9"/>
      <c r="B24" s="7" t="s">
        <v>33</v>
      </c>
      <c r="C24" s="6"/>
      <c r="D24" s="61">
        <v>-62367312</v>
      </c>
      <c r="E24" s="39">
        <v>-266060932</v>
      </c>
      <c r="F24" s="61">
        <f t="shared" ref="F24:M24" si="7">SUM(F19:F23)</f>
        <v>0</v>
      </c>
      <c r="G24" s="39">
        <f t="shared" si="7"/>
        <v>0</v>
      </c>
      <c r="H24" s="61">
        <f>SUM(H19:H23)</f>
        <v>-62367312</v>
      </c>
      <c r="I24" s="39">
        <f>SUM(I19:I23)</f>
        <v>-266060932</v>
      </c>
      <c r="J24" s="61">
        <f t="shared" si="7"/>
        <v>0</v>
      </c>
      <c r="K24" s="39">
        <f t="shared" si="7"/>
        <v>0</v>
      </c>
      <c r="L24" s="61">
        <f t="shared" si="7"/>
        <v>-62367312</v>
      </c>
      <c r="M24" s="39">
        <f t="shared" si="7"/>
        <v>-266060932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84958346</v>
      </c>
      <c r="E27" s="60">
        <v>364399214</v>
      </c>
      <c r="F27" s="60">
        <f>H27-D27</f>
        <v>0</v>
      </c>
      <c r="G27" s="37">
        <f>I27-E27</f>
        <v>0</v>
      </c>
      <c r="H27" s="65">
        <f>D27</f>
        <v>84958346</v>
      </c>
      <c r="I27" s="66">
        <f>E27</f>
        <v>364399214</v>
      </c>
      <c r="J27" s="60"/>
      <c r="K27" s="38"/>
      <c r="L27" s="60">
        <f>H27+J27</f>
        <v>84958346</v>
      </c>
      <c r="M27" s="38">
        <f>I27+K27</f>
        <v>364399214</v>
      </c>
    </row>
    <row r="28" spans="1:13" x14ac:dyDescent="0.25">
      <c r="A28" s="9">
        <v>12</v>
      </c>
      <c r="B28" s="7"/>
      <c r="C28" s="18" t="s">
        <v>36</v>
      </c>
      <c r="D28" s="60">
        <v>-83346867</v>
      </c>
      <c r="E28" s="60">
        <v>-357411158</v>
      </c>
      <c r="F28" s="60">
        <f>H28-D28</f>
        <v>0</v>
      </c>
      <c r="G28" s="37">
        <f>I28-E28</f>
        <v>0</v>
      </c>
      <c r="H28" s="65">
        <f>D28</f>
        <v>-83346867</v>
      </c>
      <c r="I28" s="66">
        <f>E28</f>
        <v>-357411158</v>
      </c>
      <c r="J28" s="60"/>
      <c r="K28" s="38"/>
      <c r="L28" s="60">
        <f>H28+J28</f>
        <v>-83346867</v>
      </c>
      <c r="M28" s="38">
        <f>I28+K28</f>
        <v>-357411158</v>
      </c>
    </row>
    <row r="29" spans="1:13" x14ac:dyDescent="0.25">
      <c r="A29" s="9"/>
      <c r="B29" s="7" t="s">
        <v>37</v>
      </c>
      <c r="C29" s="6"/>
      <c r="D29" s="61">
        <v>1611479</v>
      </c>
      <c r="E29" s="39">
        <v>6988056</v>
      </c>
      <c r="F29" s="61">
        <f t="shared" ref="F29:M29" si="8">SUM(F27:F28)</f>
        <v>0</v>
      </c>
      <c r="G29" s="39">
        <f t="shared" si="8"/>
        <v>0</v>
      </c>
      <c r="H29" s="61">
        <f>SUM(H27:H28)</f>
        <v>1611479</v>
      </c>
      <c r="I29" s="39">
        <f>SUM(I27:I28)</f>
        <v>6988056</v>
      </c>
      <c r="J29" s="61">
        <f t="shared" si="8"/>
        <v>0</v>
      </c>
      <c r="K29" s="39">
        <f t="shared" si="8"/>
        <v>0</v>
      </c>
      <c r="L29" s="61">
        <f t="shared" si="8"/>
        <v>1611479</v>
      </c>
      <c r="M29" s="39">
        <f t="shared" si="8"/>
        <v>6988056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3036024</v>
      </c>
      <c r="E39" s="60">
        <v>13255287</v>
      </c>
      <c r="F39" s="60">
        <f t="shared" ref="F39:G41" si="13">H39-D39</f>
        <v>0</v>
      </c>
      <c r="G39" s="37">
        <f t="shared" si="13"/>
        <v>0</v>
      </c>
      <c r="H39" s="65">
        <f t="shared" si="12"/>
        <v>3036024</v>
      </c>
      <c r="I39" s="66">
        <f t="shared" si="12"/>
        <v>13255287</v>
      </c>
      <c r="J39" s="60"/>
      <c r="K39" s="38"/>
      <c r="L39" s="60">
        <f t="shared" ref="L39:M41" si="14">H39+J39</f>
        <v>3036024</v>
      </c>
      <c r="M39" s="38">
        <f t="shared" si="14"/>
        <v>13255287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-2569968</v>
      </c>
      <c r="E40" s="60">
        <v>-11256460</v>
      </c>
      <c r="F40" s="60">
        <f t="shared" si="13"/>
        <v>0</v>
      </c>
      <c r="G40" s="37">
        <f t="shared" si="13"/>
        <v>0</v>
      </c>
      <c r="H40" s="65">
        <f t="shared" si="12"/>
        <v>-2569968</v>
      </c>
      <c r="I40" s="66">
        <f t="shared" si="12"/>
        <v>-11256460</v>
      </c>
      <c r="J40" s="60"/>
      <c r="K40" s="38"/>
      <c r="L40" s="60">
        <f t="shared" si="14"/>
        <v>-2569968</v>
      </c>
      <c r="M40" s="38">
        <f t="shared" si="14"/>
        <v>-11256460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-2569968</v>
      </c>
      <c r="E42" s="39">
        <v>-11256460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-2569968</v>
      </c>
      <c r="I42" s="39">
        <f>SUM(I40:I41)</f>
        <v>-11256460</v>
      </c>
      <c r="J42" s="61">
        <f t="shared" si="15"/>
        <v>0</v>
      </c>
      <c r="K42" s="39">
        <f t="shared" si="15"/>
        <v>0</v>
      </c>
      <c r="L42" s="61">
        <f t="shared" si="15"/>
        <v>-2569968</v>
      </c>
      <c r="M42" s="39">
        <f t="shared" si="15"/>
        <v>-11256460</v>
      </c>
    </row>
    <row r="43" spans="1:13" ht="21" customHeight="1" x14ac:dyDescent="0.25">
      <c r="A43" s="9"/>
      <c r="B43" s="7" t="s">
        <v>49</v>
      </c>
      <c r="C43" s="6"/>
      <c r="D43" s="61">
        <v>466056</v>
      </c>
      <c r="E43" s="39">
        <v>1998827</v>
      </c>
      <c r="F43" s="61">
        <f t="shared" ref="F43:M43" si="16">F42+F39</f>
        <v>0</v>
      </c>
      <c r="G43" s="39">
        <f t="shared" si="16"/>
        <v>0</v>
      </c>
      <c r="H43" s="61">
        <f>H42+H39</f>
        <v>466056</v>
      </c>
      <c r="I43" s="39">
        <f>I42+I39</f>
        <v>1998827</v>
      </c>
      <c r="J43" s="61">
        <f t="shared" si="16"/>
        <v>0</v>
      </c>
      <c r="K43" s="39">
        <f t="shared" si="16"/>
        <v>0</v>
      </c>
      <c r="L43" s="61">
        <f t="shared" si="16"/>
        <v>466056</v>
      </c>
      <c r="M43" s="39">
        <f t="shared" si="16"/>
        <v>1998827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5907184</v>
      </c>
      <c r="E49" s="60">
        <v>25298922.018041104</v>
      </c>
      <c r="F49" s="60">
        <f>H49-D49</f>
        <v>0</v>
      </c>
      <c r="G49" s="37">
        <f>I49-E49</f>
        <v>0</v>
      </c>
      <c r="H49" s="65">
        <f>D49</f>
        <v>5907184</v>
      </c>
      <c r="I49" s="66">
        <f>E49</f>
        <v>25298922.018041104</v>
      </c>
      <c r="J49" s="60"/>
      <c r="K49" s="38"/>
      <c r="L49" s="60">
        <f>H49+J49</f>
        <v>5907184</v>
      </c>
      <c r="M49" s="38">
        <f>I49+K49</f>
        <v>25298922.018041104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-1907166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-1907166</v>
      </c>
      <c r="J54" s="60"/>
      <c r="K54" s="38"/>
      <c r="L54" s="60">
        <f>H54+J54</f>
        <v>0</v>
      </c>
      <c r="M54" s="38">
        <f>I54+K54</f>
        <v>-1907166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-1907166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-1907166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-1907166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-413608.98195889592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-413608.98195889592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-413608.98195889592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f>'TX-EGM-FLSH'!D11+'TX-HPLR-FLSH'!D11+'TX-HPLC-FLSH'!D11</f>
        <v>69066982</v>
      </c>
      <c r="E11" s="38">
        <f>'TX-EGM-FLSH'!E11+'TX-HPLR-FLSH'!E11+'TX-HPLC-FLSH'!E11</f>
        <v>297584455</v>
      </c>
      <c r="F11" s="60">
        <f>H11-D11</f>
        <v>0</v>
      </c>
      <c r="G11" s="37">
        <f>I11-E11</f>
        <v>0</v>
      </c>
      <c r="H11" s="60">
        <f>'TX-EGM-FLSH'!H11+'TX-HPLR-FLSH'!H11+'TX-HPLC-FLSH'!H11</f>
        <v>69066982</v>
      </c>
      <c r="I11" s="38">
        <f>'TX-EGM-FLSH'!I11+'TX-HPLR-FLSH'!I11+'TX-HPLC-FLSH'!I11</f>
        <v>297584455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69066982</v>
      </c>
      <c r="M11" s="38">
        <f t="shared" si="0"/>
        <v>297584455</v>
      </c>
    </row>
    <row r="12" spans="1:26" x14ac:dyDescent="0.25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f>'TX-EGM-FLSH'!D13+'TX-HPLR-FLSH'!D13+'TX-HPLC-FLSH'!D13</f>
        <v>531214</v>
      </c>
      <c r="E13" s="38">
        <f>'TX-EGM-FLSH'!E13+'TX-HPLR-FLSH'!E13+'TX-HPLC-FLSH'!E13</f>
        <v>2195040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531214</v>
      </c>
      <c r="I13" s="38">
        <f>'TX-EGM-FLSH'!I13+'TX-HPLR-FLSH'!I13+'TX-HPLC-FLSH'!I13</f>
        <v>2195040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531214</v>
      </c>
      <c r="M13" s="38">
        <f t="shared" si="0"/>
        <v>2195040</v>
      </c>
    </row>
    <row r="14" spans="1:26" x14ac:dyDescent="0.25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69598196</v>
      </c>
      <c r="E16" s="39">
        <f>SUM(E11:E15)</f>
        <v>299779495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69598196</v>
      </c>
      <c r="I16" s="39">
        <f t="shared" si="2"/>
        <v>299779495</v>
      </c>
      <c r="J16" s="61">
        <f t="shared" si="2"/>
        <v>0</v>
      </c>
      <c r="K16" s="39">
        <f t="shared" si="2"/>
        <v>0</v>
      </c>
      <c r="L16" s="61">
        <f t="shared" si="2"/>
        <v>69598196</v>
      </c>
      <c r="M16" s="39">
        <f t="shared" si="2"/>
        <v>299779495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f>'TX-EGM-FLSH'!D19+'TX-HPLR-FLSH'!D19+'TX-HPLC-FLSH'!D19</f>
        <v>-69114043</v>
      </c>
      <c r="E19" s="38">
        <f>'TX-EGM-FLSH'!E19+'TX-HPLR-FLSH'!E19+'TX-HPLC-FLSH'!E19</f>
        <v>-294886911</v>
      </c>
      <c r="F19" s="60">
        <f>H19-D19</f>
        <v>0</v>
      </c>
      <c r="G19" s="37">
        <f>I19-E19</f>
        <v>0</v>
      </c>
      <c r="H19" s="60">
        <f>'TX-EGM-FLSH'!H19+'TX-HPLR-FLSH'!H19+'TX-HPLC-FLSH'!H19</f>
        <v>-69114043</v>
      </c>
      <c r="I19" s="38">
        <f>'TX-EGM-FLSH'!I19+'TX-HPLR-FLSH'!I19+'TX-HPLC-FLSH'!I19</f>
        <v>-294886911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-69114043</v>
      </c>
      <c r="M19" s="38">
        <f t="shared" si="3"/>
        <v>-294886911</v>
      </c>
    </row>
    <row r="20" spans="1:13" x14ac:dyDescent="0.25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0">
        <f>'TX-EGM-FLSH'!D21+'TX-HPLR-FLSH'!D21+'TX-HPLC-FLSH'!D21</f>
        <v>-1345522</v>
      </c>
      <c r="E21" s="38">
        <f>'TX-EGM-FLSH'!E21+'TX-HPLR-FLSH'!E21+'TX-HPLC-FLSH'!E21</f>
        <v>-5615570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-1345522</v>
      </c>
      <c r="I21" s="38">
        <f>'TX-EGM-FLSH'!I21+'TX-HPLR-FLSH'!I21+'TX-HPLC-FLSH'!I21</f>
        <v>-5615570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-1345522</v>
      </c>
      <c r="M21" s="38">
        <f t="shared" si="3"/>
        <v>-5615570</v>
      </c>
    </row>
    <row r="22" spans="1:13" x14ac:dyDescent="0.25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0">
        <f>'TX-EGM-FLSH'!D23+'TX-HPLR-FLSH'!D23+'TX-HPLC-FLSH'!D23</f>
        <v>17754</v>
      </c>
      <c r="E23" s="38">
        <f>'TX-EGM-FLSH'!E23+'TX-HPLR-FLSH'!E23+'TX-HPLC-FLSH'!E23</f>
        <v>74802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17754</v>
      </c>
      <c r="I23" s="38">
        <f>'TX-EGM-FLSH'!I23+'TX-HPLR-FLSH'!I23+'TX-HPLC-FLSH'!I23</f>
        <v>74802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17754</v>
      </c>
      <c r="M23" s="38">
        <f t="shared" si="3"/>
        <v>74802</v>
      </c>
    </row>
    <row r="24" spans="1:13" x14ac:dyDescent="0.25">
      <c r="A24" s="9"/>
      <c r="B24" s="7" t="s">
        <v>33</v>
      </c>
      <c r="C24" s="6"/>
      <c r="D24" s="61">
        <f>SUM(D19:D23)</f>
        <v>-70441811</v>
      </c>
      <c r="E24" s="39">
        <f>SUM(E19:E23)</f>
        <v>-300427679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-70441811</v>
      </c>
      <c r="I24" s="39">
        <f t="shared" si="5"/>
        <v>-300427679</v>
      </c>
      <c r="J24" s="61">
        <f t="shared" si="5"/>
        <v>0</v>
      </c>
      <c r="K24" s="39">
        <f t="shared" si="5"/>
        <v>0</v>
      </c>
      <c r="L24" s="61">
        <f t="shared" si="5"/>
        <v>-70441811</v>
      </c>
      <c r="M24" s="39">
        <f t="shared" si="5"/>
        <v>-300427679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f>'TX-EGM-FLSH'!D27+'TX-HPLR-FLSH'!D27+'TX-HPLC-FLSH'!D27</f>
        <v>106930710</v>
      </c>
      <c r="E27" s="38">
        <f>'TX-EGM-FLSH'!E27+'TX-HPLR-FLSH'!E27+'TX-HPLC-FLSH'!E27</f>
        <v>458167932</v>
      </c>
      <c r="F27" s="60">
        <f>H27-D27</f>
        <v>0</v>
      </c>
      <c r="G27" s="37">
        <f>I27-E27</f>
        <v>0</v>
      </c>
      <c r="H27" s="60">
        <f>'TX-EGM-FLSH'!H27+'TX-HPLR-FLSH'!H27+'TX-HPLC-FLSH'!H27</f>
        <v>106930710</v>
      </c>
      <c r="I27" s="38">
        <f>'TX-EGM-FLSH'!I27+'TX-HPLR-FLSH'!I27+'TX-HPLC-FLSH'!I27</f>
        <v>458167932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106930710</v>
      </c>
      <c r="M27" s="38">
        <f>I27+K27</f>
        <v>458167932</v>
      </c>
    </row>
    <row r="28" spans="1:13" x14ac:dyDescent="0.25">
      <c r="A28" s="9">
        <v>12</v>
      </c>
      <c r="B28" s="7"/>
      <c r="C28" s="18" t="s">
        <v>36</v>
      </c>
      <c r="D28" s="60">
        <f>'TX-EGM-FLSH'!D28+'TX-HPLR-FLSH'!D28+'TX-HPLC-FLSH'!D28</f>
        <v>-106267038</v>
      </c>
      <c r="E28" s="38">
        <f>'TX-EGM-FLSH'!E28+'TX-HPLR-FLSH'!E28+'TX-HPLC-FLSH'!E28</f>
        <v>-455261050</v>
      </c>
      <c r="F28" s="60">
        <f>H28-D28</f>
        <v>0</v>
      </c>
      <c r="G28" s="37">
        <f>I28-E28</f>
        <v>0</v>
      </c>
      <c r="H28" s="60">
        <f>'TX-EGM-FLSH'!H28+'TX-HPLR-FLSH'!H28+'TX-HPLC-FLSH'!H28</f>
        <v>-106267038</v>
      </c>
      <c r="I28" s="38">
        <f>'TX-EGM-FLSH'!I28+'TX-HPLR-FLSH'!I28+'TX-HPLC-FLSH'!I28</f>
        <v>-455261050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-106267038</v>
      </c>
      <c r="M28" s="38">
        <f>I28+K28</f>
        <v>-455261050</v>
      </c>
    </row>
    <row r="29" spans="1:13" x14ac:dyDescent="0.25">
      <c r="A29" s="9"/>
      <c r="B29" s="7" t="s">
        <v>37</v>
      </c>
      <c r="C29" s="6"/>
      <c r="D29" s="61">
        <f>SUM(D27:D28)</f>
        <v>663672</v>
      </c>
      <c r="E29" s="39">
        <f>SUM(E27:E28)</f>
        <v>2906882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663672</v>
      </c>
      <c r="I29" s="39">
        <f t="shared" si="6"/>
        <v>2906882</v>
      </c>
      <c r="J29" s="61">
        <f t="shared" si="6"/>
        <v>0</v>
      </c>
      <c r="K29" s="39">
        <f t="shared" si="6"/>
        <v>0</v>
      </c>
      <c r="L29" s="61">
        <f t="shared" si="6"/>
        <v>663672</v>
      </c>
      <c r="M29" s="39">
        <f t="shared" si="6"/>
        <v>2906882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f>'TX-EGM-FLSH'!D32+'TX-HPLR-FLSH'!D32+'TX-HPLC-FLSH'!D32</f>
        <v>537385</v>
      </c>
      <c r="E32" s="38">
        <f>'TX-EGM-FLSH'!E32+'TX-HPLR-FLSH'!E32+'TX-HPLC-FLSH'!E32</f>
        <v>3</v>
      </c>
      <c r="F32" s="60">
        <f>H32-D32</f>
        <v>0</v>
      </c>
      <c r="G32" s="37">
        <f>I32-E32</f>
        <v>0</v>
      </c>
      <c r="H32" s="60">
        <f>'TX-EGM-FLSH'!H32+'TX-HPLR-FLSH'!H32+'TX-HPLC-FLSH'!H32</f>
        <v>537385</v>
      </c>
      <c r="I32" s="38">
        <f>'TX-EGM-FLSH'!I32+'TX-HPLR-FLSH'!I32+'TX-HPLC-FLSH'!I32</f>
        <v>3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537385</v>
      </c>
      <c r="M32" s="38">
        <f t="shared" si="7"/>
        <v>3</v>
      </c>
    </row>
    <row r="33" spans="1:13" x14ac:dyDescent="0.25">
      <c r="A33" s="9">
        <v>14</v>
      </c>
      <c r="B33" s="7"/>
      <c r="C33" s="18" t="s">
        <v>40</v>
      </c>
      <c r="D33" s="60">
        <f>'TX-EGM-FLSH'!D33+'TX-HPLR-FLSH'!D33+'TX-HPLC-FLSH'!D33</f>
        <v>-536755</v>
      </c>
      <c r="E33" s="38">
        <f>'TX-EGM-FLSH'!E33+'TX-HPLR-FLSH'!E33+'TX-HPLC-FLSH'!E33</f>
        <v>-16109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-536755</v>
      </c>
      <c r="I33" s="38">
        <f>'TX-EGM-FLSH'!I33+'TX-HPLR-FLSH'!I33+'TX-HPLC-FLSH'!I33</f>
        <v>-16109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-536755</v>
      </c>
      <c r="M33" s="38">
        <f t="shared" si="7"/>
        <v>-16109</v>
      </c>
    </row>
    <row r="34" spans="1:13" x14ac:dyDescent="0.25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5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630</v>
      </c>
      <c r="E36" s="39">
        <f t="shared" si="9"/>
        <v>-16106</v>
      </c>
      <c r="F36" s="61">
        <f t="shared" si="9"/>
        <v>0</v>
      </c>
      <c r="G36" s="39">
        <f t="shared" si="9"/>
        <v>0</v>
      </c>
      <c r="H36" s="61">
        <f t="shared" si="9"/>
        <v>630</v>
      </c>
      <c r="I36" s="39">
        <f t="shared" si="9"/>
        <v>-16106</v>
      </c>
      <c r="J36" s="61">
        <f>SUM(J32:J34)</f>
        <v>0</v>
      </c>
      <c r="K36" s="39">
        <f>SUM(K32:K34)</f>
        <v>0</v>
      </c>
      <c r="L36" s="61">
        <f>SUM(L32:L35)</f>
        <v>630</v>
      </c>
      <c r="M36" s="39">
        <f>SUM(M32:M35)</f>
        <v>-16106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f>'TX-EGM-FLSH'!D39+'TX-HPLR-FLSH'!D39+'TX-HPLC-FLSH'!D39</f>
        <v>3036024</v>
      </c>
      <c r="E39" s="38">
        <f>'TX-EGM-FLSH'!E39+'TX-HPLR-FLSH'!E39+'TX-HPLC-FLSH'!E39</f>
        <v>13255287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3036024</v>
      </c>
      <c r="I39" s="38">
        <f>'TX-EGM-FLSH'!I39+'TX-HPLR-FLSH'!I39+'TX-HPLC-FLSH'!I39</f>
        <v>13255287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3036024</v>
      </c>
      <c r="M39" s="38">
        <f t="shared" si="11"/>
        <v>13255287</v>
      </c>
    </row>
    <row r="40" spans="1:13" ht="22.5" customHeight="1" x14ac:dyDescent="0.25">
      <c r="A40" s="9">
        <v>18</v>
      </c>
      <c r="B40" s="7"/>
      <c r="C40" s="18" t="s">
        <v>46</v>
      </c>
      <c r="D40" s="60">
        <f>'TX-EGM-FLSH'!D40+'TX-HPLR-FLSH'!D40+'TX-HPLC-FLSH'!D40</f>
        <v>-2569968</v>
      </c>
      <c r="E40" s="38">
        <f>'TX-EGM-FLSH'!E40+'TX-HPLR-FLSH'!E40+'TX-HPLC-FLSH'!E40</f>
        <v>-11256460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-2569968</v>
      </c>
      <c r="I40" s="38">
        <f>'TX-EGM-FLSH'!I40+'TX-HPLR-FLSH'!I40+'TX-HPLC-FLSH'!I40</f>
        <v>-11256460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-2569968</v>
      </c>
      <c r="M40" s="38">
        <f t="shared" si="11"/>
        <v>-11256460</v>
      </c>
    </row>
    <row r="41" spans="1:13" x14ac:dyDescent="0.25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-2569968</v>
      </c>
      <c r="E42" s="39">
        <f>SUM(E40:E41)</f>
        <v>-11256460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-2569968</v>
      </c>
      <c r="I42" s="39">
        <f t="shared" si="12"/>
        <v>-11256460</v>
      </c>
      <c r="J42" s="61">
        <f t="shared" si="12"/>
        <v>0</v>
      </c>
      <c r="K42" s="39">
        <f t="shared" si="12"/>
        <v>0</v>
      </c>
      <c r="L42" s="61">
        <f t="shared" si="12"/>
        <v>-2569968</v>
      </c>
      <c r="M42" s="39">
        <f t="shared" si="12"/>
        <v>-11256460</v>
      </c>
    </row>
    <row r="43" spans="1:13" ht="21" customHeight="1" x14ac:dyDescent="0.25">
      <c r="A43" s="9"/>
      <c r="B43" s="7" t="s">
        <v>49</v>
      </c>
      <c r="C43" s="6"/>
      <c r="D43" s="61">
        <f>D42+D39</f>
        <v>466056</v>
      </c>
      <c r="E43" s="39">
        <f>E42+E39</f>
        <v>1998827</v>
      </c>
      <c r="F43" s="61">
        <f t="shared" ref="F43:M43" si="13">F42+F39</f>
        <v>0</v>
      </c>
      <c r="G43" s="39">
        <f t="shared" si="13"/>
        <v>0</v>
      </c>
      <c r="H43" s="61">
        <f t="shared" si="13"/>
        <v>466056</v>
      </c>
      <c r="I43" s="39">
        <f t="shared" si="13"/>
        <v>1998827</v>
      </c>
      <c r="J43" s="61">
        <f t="shared" si="13"/>
        <v>0</v>
      </c>
      <c r="K43" s="39">
        <f t="shared" si="13"/>
        <v>0</v>
      </c>
      <c r="L43" s="61">
        <f t="shared" si="13"/>
        <v>466056</v>
      </c>
      <c r="M43" s="39">
        <f t="shared" si="13"/>
        <v>1998827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f>'TX-EGM-FLSH'!D49+'TX-HPLR-FLSH'!D49+'TX-HPLC-FLSH'!D49</f>
        <v>-286729</v>
      </c>
      <c r="E49" s="38">
        <f>'TX-EGM-FLSH'!E49+'TX-HPLR-FLSH'!E49+'TX-HPLC-FLSH'!E49</f>
        <v>-1227985.2144966014</v>
      </c>
      <c r="F49" s="60">
        <f>H49-D49</f>
        <v>0</v>
      </c>
      <c r="G49" s="37">
        <f>I49-E49</f>
        <v>0</v>
      </c>
      <c r="H49" s="60">
        <f>'TX-EGM-FLSH'!H49+'TX-HPLR-FLSH'!H49+'TX-HPLC-FLSH'!H49</f>
        <v>-286729</v>
      </c>
      <c r="I49" s="38">
        <f>'TX-EGM-FLSH'!I49+'TX-HPLR-FLSH'!I49+'TX-HPLC-FLSH'!I49</f>
        <v>-1227985.2144966014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-286729</v>
      </c>
      <c r="M49" s="38">
        <f>I49+K49</f>
        <v>-1227985.2144966014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-1907166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-1907166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-1907166</v>
      </c>
    </row>
    <row r="55" spans="1:15" x14ac:dyDescent="0.25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-1907166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-1907166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-1907166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519130.8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519130.8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519130.8</v>
      </c>
    </row>
    <row r="71" spans="1:13" x14ac:dyDescent="0.25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-6879227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-6879227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-6879227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-6360096.2000000002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-6360096.2000000002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-6360096.2000000002</v>
      </c>
    </row>
    <row r="73" spans="1:13" x14ac:dyDescent="0.25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5792644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5792644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5792644</v>
      </c>
    </row>
    <row r="75" spans="1:13" x14ac:dyDescent="0.25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308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308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308</v>
      </c>
    </row>
    <row r="76" spans="1:13" x14ac:dyDescent="0.25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-1000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-1000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-1000</v>
      </c>
    </row>
    <row r="77" spans="1:13" x14ac:dyDescent="0.25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5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5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5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2228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2228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2228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14</v>
      </c>
      <c r="E82" s="74">
        <f>SUM(E72:E81)+E16+E24+E29+E36+E43+E45+E47+E49+E51+E56+E61+E66</f>
        <v>442051.58550341055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14</v>
      </c>
      <c r="I82" s="74">
        <f>SUM(I72:I81)+I16+I24+I29+I36+I43+I45+I47+I49+I51+I56+I61+I66</f>
        <v>442051.58550341055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14</v>
      </c>
      <c r="M82" s="74">
        <f>SUM(M72:M81)+M16+M24+M29+M36+M43+M45+M47+M49+M51+M56+M61+M66</f>
        <v>442051.58550341055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161</v>
      </c>
      <c r="B85" s="3"/>
      <c r="E85" s="31">
        <f>+'TX-HPLR-FLSH'!E82+'TX-EGM-FLSH'!E82</f>
        <v>855660.56746232137</v>
      </c>
    </row>
    <row r="86" spans="1:67" s="3" customFormat="1" x14ac:dyDescent="0.25">
      <c r="A86" s="144"/>
      <c r="C86" s="10" t="s">
        <v>162</v>
      </c>
      <c r="D86" s="148">
        <f>'TX-EGM-FLSH'!D86+'TX-HPLR-FLSH'!D86</f>
        <v>0</v>
      </c>
      <c r="E86" s="148">
        <f>'TX-EGM-FLSH'!E86+'TX-HPLR-FLSH'!E86</f>
        <v>57677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57677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57677</v>
      </c>
    </row>
    <row r="87" spans="1:67" s="3" customFormat="1" x14ac:dyDescent="0.25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5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-686167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-686167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-686167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-628490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-628490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-628490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14</v>
      </c>
      <c r="E91" s="155">
        <f t="shared" ref="E91:M91" si="21">+E82+E89</f>
        <v>-186438.41449658945</v>
      </c>
      <c r="F91" s="155">
        <f t="shared" si="21"/>
        <v>0</v>
      </c>
      <c r="G91" s="155">
        <f t="shared" si="21"/>
        <v>0</v>
      </c>
      <c r="H91" s="155">
        <f t="shared" si="21"/>
        <v>14</v>
      </c>
      <c r="I91" s="155">
        <f t="shared" si="21"/>
        <v>-186438.41449658945</v>
      </c>
      <c r="J91" s="155">
        <f t="shared" si="21"/>
        <v>0</v>
      </c>
      <c r="K91" s="155">
        <f t="shared" si="21"/>
        <v>0</v>
      </c>
      <c r="L91" s="155">
        <f t="shared" si="21"/>
        <v>14</v>
      </c>
      <c r="M91" s="155">
        <f t="shared" si="21"/>
        <v>-186438.41449658945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D11" sqref="D11:E8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58210378</v>
      </c>
      <c r="E11" s="65">
        <v>245061994</v>
      </c>
      <c r="F11" s="60">
        <f>H11-D11</f>
        <v>0</v>
      </c>
      <c r="G11" s="37">
        <f>I11-E11</f>
        <v>0</v>
      </c>
      <c r="H11" s="65">
        <f>D11</f>
        <v>58210378</v>
      </c>
      <c r="I11" s="66">
        <f>E11</f>
        <v>245061994</v>
      </c>
      <c r="J11" s="60"/>
      <c r="K11" s="38"/>
      <c r="L11" s="60">
        <f t="shared" ref="L11:M15" si="0">H11+J11</f>
        <v>58210378</v>
      </c>
      <c r="M11" s="38">
        <f t="shared" si="0"/>
        <v>245061994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12953024</v>
      </c>
      <c r="E13" s="65">
        <v>54506391</v>
      </c>
      <c r="F13" s="60">
        <f t="shared" si="1"/>
        <v>0</v>
      </c>
      <c r="G13" s="37">
        <f t="shared" si="1"/>
        <v>0</v>
      </c>
      <c r="H13" s="65">
        <f t="shared" si="2"/>
        <v>12953024</v>
      </c>
      <c r="I13" s="66">
        <f t="shared" si="2"/>
        <v>54506391</v>
      </c>
      <c r="J13" s="60"/>
      <c r="K13" s="38"/>
      <c r="L13" s="60">
        <f t="shared" si="0"/>
        <v>12953024</v>
      </c>
      <c r="M13" s="38">
        <f t="shared" si="0"/>
        <v>54506391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71163402</v>
      </c>
      <c r="E16" s="39">
        <v>299568385</v>
      </c>
      <c r="F16" s="61">
        <f t="shared" ref="F16:M16" si="3">SUM(F11:F15)</f>
        <v>0</v>
      </c>
      <c r="G16" s="39">
        <f t="shared" si="3"/>
        <v>0</v>
      </c>
      <c r="H16" s="61">
        <f>SUM(H11:H15)</f>
        <v>71163402</v>
      </c>
      <c r="I16" s="39">
        <f>SUM(I11:I15)</f>
        <v>299568385</v>
      </c>
      <c r="J16" s="61">
        <f t="shared" si="3"/>
        <v>0</v>
      </c>
      <c r="K16" s="39">
        <f t="shared" si="3"/>
        <v>0</v>
      </c>
      <c r="L16" s="61">
        <f t="shared" si="3"/>
        <v>71163402</v>
      </c>
      <c r="M16" s="39">
        <f t="shared" si="3"/>
        <v>299568385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-59069841</v>
      </c>
      <c r="E19" s="65">
        <v>-245268436</v>
      </c>
      <c r="F19" s="60">
        <f>H19-D19</f>
        <v>0</v>
      </c>
      <c r="G19" s="37">
        <f>I19-E19</f>
        <v>0</v>
      </c>
      <c r="H19" s="65">
        <f t="shared" si="4"/>
        <v>-59069841</v>
      </c>
      <c r="I19" s="66">
        <f t="shared" si="4"/>
        <v>-245268436</v>
      </c>
      <c r="J19" s="60"/>
      <c r="K19" s="38"/>
      <c r="L19" s="60">
        <f t="shared" ref="L19:M23" si="5">H19+J19</f>
        <v>-59069841</v>
      </c>
      <c r="M19" s="38">
        <f t="shared" si="5"/>
        <v>-245268436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-13576708</v>
      </c>
      <c r="E21" s="65">
        <v>-56797029</v>
      </c>
      <c r="F21" s="60">
        <f t="shared" si="6"/>
        <v>0</v>
      </c>
      <c r="G21" s="37">
        <f t="shared" si="6"/>
        <v>0</v>
      </c>
      <c r="H21" s="65">
        <f t="shared" si="4"/>
        <v>-13576708</v>
      </c>
      <c r="I21" s="66">
        <f t="shared" si="4"/>
        <v>-56797029</v>
      </c>
      <c r="J21" s="60"/>
      <c r="K21" s="38"/>
      <c r="L21" s="60">
        <f t="shared" si="5"/>
        <v>-13576708</v>
      </c>
      <c r="M21" s="38">
        <f t="shared" si="5"/>
        <v>-56797029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231555</v>
      </c>
      <c r="E23" s="65">
        <v>933645</v>
      </c>
      <c r="F23" s="60">
        <f t="shared" si="6"/>
        <v>0</v>
      </c>
      <c r="G23" s="37">
        <f t="shared" si="6"/>
        <v>0</v>
      </c>
      <c r="H23" s="65">
        <f t="shared" si="4"/>
        <v>231555</v>
      </c>
      <c r="I23" s="66">
        <f t="shared" si="4"/>
        <v>933645</v>
      </c>
      <c r="J23" s="60"/>
      <c r="K23" s="38"/>
      <c r="L23" s="60">
        <f t="shared" si="5"/>
        <v>231555</v>
      </c>
      <c r="M23" s="38">
        <f t="shared" si="5"/>
        <v>933645</v>
      </c>
    </row>
    <row r="24" spans="1:13" x14ac:dyDescent="0.25">
      <c r="A24" s="9"/>
      <c r="B24" s="7" t="s">
        <v>33</v>
      </c>
      <c r="C24" s="6"/>
      <c r="D24" s="61">
        <v>-72414994</v>
      </c>
      <c r="E24" s="39">
        <v>-301131820</v>
      </c>
      <c r="F24" s="61">
        <f t="shared" ref="F24:M24" si="7">SUM(F19:F23)</f>
        <v>0</v>
      </c>
      <c r="G24" s="39">
        <f t="shared" si="7"/>
        <v>0</v>
      </c>
      <c r="H24" s="61">
        <f>SUM(H19:H23)</f>
        <v>-72414994</v>
      </c>
      <c r="I24" s="39">
        <f>SUM(I19:I23)</f>
        <v>-301131820</v>
      </c>
      <c r="J24" s="61">
        <f t="shared" si="7"/>
        <v>0</v>
      </c>
      <c r="K24" s="39">
        <f t="shared" si="7"/>
        <v>0</v>
      </c>
      <c r="L24" s="61">
        <f t="shared" si="7"/>
        <v>-72414994</v>
      </c>
      <c r="M24" s="39">
        <f t="shared" si="7"/>
        <v>-301131820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1146923</v>
      </c>
      <c r="E27" s="65">
        <v>4793070</v>
      </c>
      <c r="F27" s="60">
        <f>H27-D27</f>
        <v>0</v>
      </c>
      <c r="G27" s="37">
        <f>I27-E27</f>
        <v>0</v>
      </c>
      <c r="H27" s="65">
        <f>D27</f>
        <v>1146923</v>
      </c>
      <c r="I27" s="66">
        <f>E27</f>
        <v>4793070</v>
      </c>
      <c r="J27" s="60"/>
      <c r="K27" s="38"/>
      <c r="L27" s="60">
        <f>H27+J27</f>
        <v>1146923</v>
      </c>
      <c r="M27" s="38">
        <f>I27+K27</f>
        <v>4793070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1146923</v>
      </c>
      <c r="E29" s="39">
        <v>4793070</v>
      </c>
      <c r="F29" s="61">
        <f t="shared" ref="F29:M29" si="8">SUM(F27:F28)</f>
        <v>0</v>
      </c>
      <c r="G29" s="39">
        <f t="shared" si="8"/>
        <v>0</v>
      </c>
      <c r="H29" s="61">
        <f>SUM(H27:H28)</f>
        <v>1146923</v>
      </c>
      <c r="I29" s="39">
        <f>SUM(I27:I28)</f>
        <v>4793070</v>
      </c>
      <c r="J29" s="61">
        <f t="shared" si="8"/>
        <v>0</v>
      </c>
      <c r="K29" s="39">
        <f t="shared" si="8"/>
        <v>0</v>
      </c>
      <c r="L29" s="61">
        <f t="shared" si="8"/>
        <v>1146923</v>
      </c>
      <c r="M29" s="39">
        <f t="shared" si="8"/>
        <v>4793070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40211</v>
      </c>
      <c r="E32" s="65">
        <v>156268</v>
      </c>
      <c r="F32" s="60">
        <f>H32-D32</f>
        <v>0</v>
      </c>
      <c r="G32" s="37">
        <f>I32-E32</f>
        <v>0</v>
      </c>
      <c r="H32" s="65">
        <f t="shared" ref="H32:I35" si="9">D32</f>
        <v>40211</v>
      </c>
      <c r="I32" s="66">
        <f t="shared" si="9"/>
        <v>156268</v>
      </c>
      <c r="J32" s="60"/>
      <c r="K32" s="38"/>
      <c r="L32" s="60">
        <f t="shared" ref="L32:M35" si="10">H32+J32</f>
        <v>40211</v>
      </c>
      <c r="M32" s="38">
        <f t="shared" si="10"/>
        <v>156268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29687</v>
      </c>
      <c r="E35" s="65">
        <v>365184</v>
      </c>
      <c r="F35" s="60">
        <f t="shared" si="11"/>
        <v>0</v>
      </c>
      <c r="G35" s="37">
        <f t="shared" si="11"/>
        <v>0</v>
      </c>
      <c r="H35" s="65">
        <f t="shared" si="9"/>
        <v>29687</v>
      </c>
      <c r="I35" s="66">
        <f t="shared" si="9"/>
        <v>365184</v>
      </c>
      <c r="J35" s="60"/>
      <c r="K35" s="38"/>
      <c r="L35" s="60">
        <f t="shared" si="10"/>
        <v>29687</v>
      </c>
      <c r="M35" s="38">
        <f t="shared" si="10"/>
        <v>365184</v>
      </c>
    </row>
    <row r="36" spans="1:13" x14ac:dyDescent="0.25">
      <c r="A36" s="9"/>
      <c r="B36" s="7" t="s">
        <v>43</v>
      </c>
      <c r="C36" s="6"/>
      <c r="D36" s="61">
        <v>69898</v>
      </c>
      <c r="E36" s="39">
        <v>521452</v>
      </c>
      <c r="F36" s="61">
        <f>SUM(F32:F35)</f>
        <v>0</v>
      </c>
      <c r="G36" s="39">
        <f>SUM(G32:G35)</f>
        <v>0</v>
      </c>
      <c r="H36" s="61">
        <f>SUM(H32:H35)</f>
        <v>69898</v>
      </c>
      <c r="I36" s="39">
        <f>SUM(I32:I35)</f>
        <v>521452</v>
      </c>
      <c r="J36" s="61">
        <f>SUM(J32:J34)</f>
        <v>0</v>
      </c>
      <c r="K36" s="39">
        <f>SUM(K32:K34)</f>
        <v>0</v>
      </c>
      <c r="L36" s="61">
        <f>SUM(L32:L35)</f>
        <v>69898</v>
      </c>
      <c r="M36" s="39">
        <f>SUM(M32:M35)</f>
        <v>521452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235600</v>
      </c>
      <c r="E39" s="65">
        <v>861532</v>
      </c>
      <c r="F39" s="60">
        <f t="shared" ref="F39:G41" si="13">H39-D39</f>
        <v>0</v>
      </c>
      <c r="G39" s="37">
        <f t="shared" si="13"/>
        <v>0</v>
      </c>
      <c r="H39" s="65">
        <f t="shared" si="12"/>
        <v>235600</v>
      </c>
      <c r="I39" s="66">
        <f t="shared" si="12"/>
        <v>861532</v>
      </c>
      <c r="J39" s="60"/>
      <c r="K39" s="38"/>
      <c r="L39" s="60">
        <f t="shared" ref="L39:M41" si="14">H39+J39</f>
        <v>235600</v>
      </c>
      <c r="M39" s="38">
        <f t="shared" si="14"/>
        <v>861532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-201038</v>
      </c>
      <c r="E40" s="65">
        <v>-739643</v>
      </c>
      <c r="F40" s="60">
        <f t="shared" si="13"/>
        <v>0</v>
      </c>
      <c r="G40" s="37">
        <f t="shared" si="13"/>
        <v>0</v>
      </c>
      <c r="H40" s="65">
        <f t="shared" si="12"/>
        <v>-201038</v>
      </c>
      <c r="I40" s="66">
        <f t="shared" si="12"/>
        <v>-739643</v>
      </c>
      <c r="J40" s="60"/>
      <c r="K40" s="38"/>
      <c r="L40" s="60">
        <f t="shared" si="14"/>
        <v>-201038</v>
      </c>
      <c r="M40" s="38">
        <f t="shared" si="14"/>
        <v>-739643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-201038</v>
      </c>
      <c r="E42" s="39">
        <v>-739643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-201038</v>
      </c>
      <c r="I42" s="39">
        <f>SUM(I40:I41)</f>
        <v>-739643</v>
      </c>
      <c r="J42" s="61">
        <f t="shared" si="15"/>
        <v>0</v>
      </c>
      <c r="K42" s="39">
        <f t="shared" si="15"/>
        <v>0</v>
      </c>
      <c r="L42" s="61">
        <f t="shared" si="15"/>
        <v>-201038</v>
      </c>
      <c r="M42" s="39">
        <f t="shared" si="15"/>
        <v>-739643</v>
      </c>
    </row>
    <row r="43" spans="1:13" ht="21" customHeight="1" x14ac:dyDescent="0.25">
      <c r="A43" s="9"/>
      <c r="B43" s="7" t="s">
        <v>49</v>
      </c>
      <c r="C43" s="6"/>
      <c r="D43" s="61">
        <v>34562</v>
      </c>
      <c r="E43" s="39">
        <v>121889</v>
      </c>
      <c r="F43" s="61">
        <f t="shared" ref="F43:M43" si="16">F42+F39</f>
        <v>0</v>
      </c>
      <c r="G43" s="39">
        <f t="shared" si="16"/>
        <v>0</v>
      </c>
      <c r="H43" s="61">
        <f>H42+H39</f>
        <v>34562</v>
      </c>
      <c r="I43" s="39">
        <f>I42+I39</f>
        <v>121889</v>
      </c>
      <c r="J43" s="61">
        <f t="shared" si="16"/>
        <v>0</v>
      </c>
      <c r="K43" s="39">
        <f t="shared" si="16"/>
        <v>0</v>
      </c>
      <c r="L43" s="61">
        <f t="shared" si="16"/>
        <v>34562</v>
      </c>
      <c r="M43" s="39">
        <f t="shared" si="16"/>
        <v>121889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209</v>
      </c>
      <c r="E49" s="65">
        <v>835.53003451631116</v>
      </c>
      <c r="F49" s="60">
        <f>H49-D49</f>
        <v>0</v>
      </c>
      <c r="G49" s="37">
        <f>I49-E49</f>
        <v>0</v>
      </c>
      <c r="H49" s="65">
        <f>D49</f>
        <v>209</v>
      </c>
      <c r="I49" s="66">
        <f>E49</f>
        <v>835.53003451631116</v>
      </c>
      <c r="J49" s="60"/>
      <c r="K49" s="38"/>
      <c r="L49" s="60">
        <f>H49+J49</f>
        <v>209</v>
      </c>
      <c r="M49" s="38">
        <f>I49+K49</f>
        <v>835.53003451631116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-231555</v>
      </c>
      <c r="E51" s="65">
        <v>-933645</v>
      </c>
      <c r="F51" s="60">
        <f>H51-D51</f>
        <v>0</v>
      </c>
      <c r="G51" s="37">
        <f>I51-E51</f>
        <v>0</v>
      </c>
      <c r="H51" s="65">
        <f>D51</f>
        <v>-231555</v>
      </c>
      <c r="I51" s="66">
        <f>E51</f>
        <v>-933645</v>
      </c>
      <c r="J51" s="60"/>
      <c r="K51" s="38"/>
      <c r="L51" s="60">
        <f>H51+J51</f>
        <v>-231555</v>
      </c>
      <c r="M51" s="38">
        <f>I51+K51</f>
        <v>-933645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-251684.38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-251684.38</v>
      </c>
      <c r="J54" s="60"/>
      <c r="K54" s="38"/>
      <c r="L54" s="60">
        <f>H54+J54</f>
        <v>0</v>
      </c>
      <c r="M54" s="38">
        <f>I54+K54</f>
        <v>-251684.38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-1093891.19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-1093891.19</v>
      </c>
      <c r="J55" s="60"/>
      <c r="K55" s="38"/>
      <c r="L55" s="60">
        <f>H55+J55</f>
        <v>0</v>
      </c>
      <c r="M55" s="38">
        <f>I55+K55</f>
        <v>-1093891.19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-1345575.57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-1345575.5699999998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-1345575.5699999998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22698435.849599995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22698435.849599995</v>
      </c>
      <c r="J70" s="60"/>
      <c r="K70" s="38"/>
      <c r="L70" s="60">
        <f>H70+J70</f>
        <v>0</v>
      </c>
      <c r="M70" s="38">
        <f>I70+K70</f>
        <v>22698435.849599995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-35291625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-35291625</v>
      </c>
      <c r="J71" s="60"/>
      <c r="K71" s="38"/>
      <c r="L71" s="60">
        <f>H71+J71</f>
        <v>0</v>
      </c>
      <c r="M71" s="38">
        <f>I71+K71</f>
        <v>-35291625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-12593189.150400005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-12593189.150400005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-12593189.150400005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18553354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18553354</v>
      </c>
      <c r="J74" s="60"/>
      <c r="K74" s="38"/>
      <c r="L74" s="60">
        <f t="shared" si="22"/>
        <v>0</v>
      </c>
      <c r="M74" s="38">
        <f t="shared" si="22"/>
        <v>18553354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-30352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-30352</v>
      </c>
      <c r="J76" s="60"/>
      <c r="K76" s="38"/>
      <c r="L76" s="60">
        <f t="shared" si="22"/>
        <v>0</v>
      </c>
      <c r="M76" s="38">
        <f t="shared" si="22"/>
        <v>-30352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-22208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-22208</v>
      </c>
      <c r="J81" s="60"/>
      <c r="K81" s="38"/>
      <c r="L81" s="60">
        <f t="shared" si="22"/>
        <v>0</v>
      </c>
      <c r="M81" s="38">
        <f t="shared" si="22"/>
        <v>-22208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7502195.8096345328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7502195.8096345328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7502195.8096345328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167</v>
      </c>
      <c r="B85" s="3"/>
    </row>
    <row r="86" spans="1:67" s="3" customFormat="1" x14ac:dyDescent="0.25">
      <c r="A86" s="144"/>
      <c r="C86" s="10" t="s">
        <v>162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5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5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0</v>
      </c>
      <c r="E91" s="155">
        <f t="shared" ref="E91:M91" si="25">+E82+E89</f>
        <v>7502195.8096345328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7502195.8096345328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7502195.8096345328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H87" sqref="H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3454894</v>
      </c>
      <c r="E11" s="65">
        <v>12336669</v>
      </c>
      <c r="F11" s="60">
        <f>H11-D11</f>
        <v>0</v>
      </c>
      <c r="G11" s="37">
        <f>I11-E11</f>
        <v>0</v>
      </c>
      <c r="H11" s="65">
        <f>D11</f>
        <v>3454894</v>
      </c>
      <c r="I11" s="66">
        <f>E11</f>
        <v>12336669</v>
      </c>
      <c r="J11" s="60"/>
      <c r="K11" s="38"/>
      <c r="L11" s="60">
        <f t="shared" ref="L11:M15" si="0">H11+J11</f>
        <v>3454894</v>
      </c>
      <c r="M11" s="38">
        <f t="shared" si="0"/>
        <v>12336669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5098819</v>
      </c>
      <c r="E13" s="65">
        <v>19858480</v>
      </c>
      <c r="F13" s="60">
        <f t="shared" si="1"/>
        <v>0</v>
      </c>
      <c r="G13" s="37">
        <f t="shared" si="1"/>
        <v>0</v>
      </c>
      <c r="H13" s="65">
        <f t="shared" si="2"/>
        <v>5098819</v>
      </c>
      <c r="I13" s="66">
        <f t="shared" si="2"/>
        <v>19858480</v>
      </c>
      <c r="J13" s="60"/>
      <c r="K13" s="38"/>
      <c r="L13" s="60">
        <f t="shared" si="0"/>
        <v>5098819</v>
      </c>
      <c r="M13" s="38">
        <f t="shared" si="0"/>
        <v>19858480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148976.09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148976.09</v>
      </c>
      <c r="J15" s="60"/>
      <c r="K15" s="38"/>
      <c r="L15" s="60">
        <f t="shared" si="0"/>
        <v>0</v>
      </c>
      <c r="M15" s="38">
        <f t="shared" si="0"/>
        <v>148976.09</v>
      </c>
    </row>
    <row r="16" spans="1:26" x14ac:dyDescent="0.25">
      <c r="A16" s="9"/>
      <c r="B16" s="7" t="s">
        <v>30</v>
      </c>
      <c r="C16" s="6"/>
      <c r="D16" s="61">
        <v>8553713</v>
      </c>
      <c r="E16" s="39">
        <v>32344125.09</v>
      </c>
      <c r="F16" s="61">
        <f t="shared" ref="F16:M16" si="3">SUM(F11:F15)</f>
        <v>0</v>
      </c>
      <c r="G16" s="39">
        <f t="shared" si="3"/>
        <v>0</v>
      </c>
      <c r="H16" s="61">
        <f>SUM(H11:H15)</f>
        <v>8553713</v>
      </c>
      <c r="I16" s="39">
        <f>SUM(I11:I15)</f>
        <v>32344125.09</v>
      </c>
      <c r="J16" s="61">
        <f t="shared" si="3"/>
        <v>0</v>
      </c>
      <c r="K16" s="39">
        <f t="shared" si="3"/>
        <v>0</v>
      </c>
      <c r="L16" s="61">
        <f t="shared" si="3"/>
        <v>8553713</v>
      </c>
      <c r="M16" s="39">
        <f t="shared" si="3"/>
        <v>32344125.09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-5280552</v>
      </c>
      <c r="E19" s="65">
        <v>-18326942</v>
      </c>
      <c r="F19" s="60">
        <f>H19-D19</f>
        <v>0</v>
      </c>
      <c r="G19" s="37">
        <f>I19-E19</f>
        <v>0</v>
      </c>
      <c r="H19" s="65">
        <f t="shared" si="4"/>
        <v>-5280552</v>
      </c>
      <c r="I19" s="66">
        <f t="shared" si="4"/>
        <v>-18326942</v>
      </c>
      <c r="J19" s="60"/>
      <c r="K19" s="38"/>
      <c r="L19" s="60">
        <f t="shared" ref="L19:M23" si="5">H19+J19</f>
        <v>-5280552</v>
      </c>
      <c r="M19" s="38">
        <f t="shared" si="5"/>
        <v>-18326942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-3517539</v>
      </c>
      <c r="E21" s="65">
        <v>-13563594</v>
      </c>
      <c r="F21" s="60">
        <f t="shared" si="6"/>
        <v>0</v>
      </c>
      <c r="G21" s="37">
        <f t="shared" si="6"/>
        <v>0</v>
      </c>
      <c r="H21" s="65">
        <f t="shared" si="4"/>
        <v>-3517539</v>
      </c>
      <c r="I21" s="66">
        <f t="shared" si="4"/>
        <v>-13563594</v>
      </c>
      <c r="J21" s="60"/>
      <c r="K21" s="38"/>
      <c r="L21" s="60">
        <f t="shared" si="5"/>
        <v>-3517539</v>
      </c>
      <c r="M21" s="38">
        <f t="shared" si="5"/>
        <v>-13563594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11741</v>
      </c>
      <c r="E23" s="65">
        <v>44321</v>
      </c>
      <c r="F23" s="60">
        <f t="shared" si="6"/>
        <v>0</v>
      </c>
      <c r="G23" s="37">
        <f t="shared" si="6"/>
        <v>0</v>
      </c>
      <c r="H23" s="65">
        <f t="shared" si="4"/>
        <v>11741</v>
      </c>
      <c r="I23" s="66">
        <f t="shared" si="4"/>
        <v>44321</v>
      </c>
      <c r="J23" s="60"/>
      <c r="K23" s="38"/>
      <c r="L23" s="60">
        <f t="shared" si="5"/>
        <v>11741</v>
      </c>
      <c r="M23" s="38">
        <f t="shared" si="5"/>
        <v>44321</v>
      </c>
    </row>
    <row r="24" spans="1:13" x14ac:dyDescent="0.25">
      <c r="A24" s="9"/>
      <c r="B24" s="7" t="s">
        <v>33</v>
      </c>
      <c r="C24" s="6"/>
      <c r="D24" s="61">
        <v>-8786350</v>
      </c>
      <c r="E24" s="39">
        <v>-31846215</v>
      </c>
      <c r="F24" s="61">
        <f t="shared" ref="F24:M24" si="7">SUM(F19:F23)</f>
        <v>0</v>
      </c>
      <c r="G24" s="39">
        <f t="shared" si="7"/>
        <v>0</v>
      </c>
      <c r="H24" s="61">
        <f>SUM(H19:H23)</f>
        <v>-8786350</v>
      </c>
      <c r="I24" s="39">
        <f>SUM(I19:I23)</f>
        <v>-31846215</v>
      </c>
      <c r="J24" s="61">
        <f t="shared" si="7"/>
        <v>0</v>
      </c>
      <c r="K24" s="39">
        <f t="shared" si="7"/>
        <v>0</v>
      </c>
      <c r="L24" s="61">
        <f t="shared" si="7"/>
        <v>-8786350</v>
      </c>
      <c r="M24" s="39">
        <f t="shared" si="7"/>
        <v>-31846215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5326</v>
      </c>
      <c r="E32" s="65">
        <v>45234</v>
      </c>
      <c r="F32" s="60">
        <f>H32-D32</f>
        <v>0</v>
      </c>
      <c r="G32" s="37">
        <f>I32-E32</f>
        <v>0</v>
      </c>
      <c r="H32" s="65">
        <f t="shared" ref="H32:I35" si="9">D32</f>
        <v>5326</v>
      </c>
      <c r="I32" s="66">
        <f t="shared" si="9"/>
        <v>45234</v>
      </c>
      <c r="J32" s="60"/>
      <c r="K32" s="38"/>
      <c r="L32" s="60">
        <f t="shared" ref="L32:M35" si="10">H32+J32</f>
        <v>5326</v>
      </c>
      <c r="M32" s="38">
        <f t="shared" si="10"/>
        <v>45234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5326</v>
      </c>
      <c r="E36" s="39">
        <v>45234</v>
      </c>
      <c r="F36" s="61">
        <f>SUM(F32:F35)</f>
        <v>0</v>
      </c>
      <c r="G36" s="39">
        <f>SUM(G32:G35)</f>
        <v>0</v>
      </c>
      <c r="H36" s="61">
        <f>SUM(H32:H35)</f>
        <v>5326</v>
      </c>
      <c r="I36" s="39">
        <f>SUM(I32:I35)</f>
        <v>45234</v>
      </c>
      <c r="J36" s="61">
        <f>SUM(J32:J34)</f>
        <v>0</v>
      </c>
      <c r="K36" s="39">
        <f>SUM(K32:K34)</f>
        <v>0</v>
      </c>
      <c r="L36" s="61">
        <f>SUM(L32:L35)</f>
        <v>5326</v>
      </c>
      <c r="M36" s="39">
        <f>SUM(M32:M35)</f>
        <v>45234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227311</v>
      </c>
      <c r="E49" s="65">
        <v>774269.41283129342</v>
      </c>
      <c r="F49" s="60">
        <f>H49-D49</f>
        <v>0</v>
      </c>
      <c r="G49" s="37">
        <f>I49-E49</f>
        <v>0</v>
      </c>
      <c r="H49" s="65">
        <f>D49</f>
        <v>227311</v>
      </c>
      <c r="I49" s="66">
        <f>E49</f>
        <v>774269.41283129342</v>
      </c>
      <c r="J49" s="60"/>
      <c r="K49" s="38"/>
      <c r="L49" s="60">
        <f>H49+J49</f>
        <v>227311</v>
      </c>
      <c r="M49" s="38">
        <f>I49+K49</f>
        <v>774269.41283129342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-11741</v>
      </c>
      <c r="E51" s="65">
        <v>-44321</v>
      </c>
      <c r="F51" s="60">
        <f>H51-D51</f>
        <v>0</v>
      </c>
      <c r="G51" s="37">
        <f>I51-E51</f>
        <v>0</v>
      </c>
      <c r="H51" s="65">
        <f>D51</f>
        <v>-11741</v>
      </c>
      <c r="I51" s="66">
        <f>E51</f>
        <v>-44321</v>
      </c>
      <c r="J51" s="60"/>
      <c r="K51" s="38"/>
      <c r="L51" s="60">
        <f>H51+J51</f>
        <v>-11741</v>
      </c>
      <c r="M51" s="38">
        <f>I51+K51</f>
        <v>-44321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-342852.31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-342852.31</v>
      </c>
      <c r="J54" s="60"/>
      <c r="K54" s="38"/>
      <c r="L54" s="60">
        <f>H54+J54</f>
        <v>0</v>
      </c>
      <c r="M54" s="38">
        <f>I54+K54</f>
        <v>-342852.31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-585889.81999999995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-585889.81999999995</v>
      </c>
      <c r="J55" s="60"/>
      <c r="K55" s="38"/>
      <c r="L55" s="60">
        <f>H55+J55</f>
        <v>0</v>
      </c>
      <c r="M55" s="38">
        <f>I55+K55</f>
        <v>-585889.81999999995</v>
      </c>
    </row>
    <row r="56" spans="1:15" x14ac:dyDescent="0.25">
      <c r="A56" s="9"/>
      <c r="B56" s="7" t="s">
        <v>57</v>
      </c>
      <c r="C56" s="6"/>
      <c r="D56" s="61">
        <v>0</v>
      </c>
      <c r="E56" s="39">
        <v>-928742.13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-928742.12999999989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-928742.12999999989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1000000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1000000</v>
      </c>
      <c r="J70" s="60"/>
      <c r="K70" s="38"/>
      <c r="L70" s="60">
        <f>H70+J70</f>
        <v>0</v>
      </c>
      <c r="M70" s="38">
        <f>I70+K70</f>
        <v>1000000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-1096737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-1096737</v>
      </c>
      <c r="J71" s="60"/>
      <c r="K71" s="38"/>
      <c r="L71" s="60">
        <f>H71+J71</f>
        <v>0</v>
      </c>
      <c r="M71" s="38">
        <f>I71+K71</f>
        <v>-1096737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-96737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-96737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-96737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1775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1775</v>
      </c>
      <c r="J74" s="60"/>
      <c r="K74" s="38"/>
      <c r="L74" s="60">
        <f t="shared" si="22"/>
        <v>0</v>
      </c>
      <c r="M74" s="38">
        <f t="shared" si="22"/>
        <v>1775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-732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-732</v>
      </c>
      <c r="J76" s="60"/>
      <c r="K76" s="38"/>
      <c r="L76" s="60">
        <f t="shared" si="22"/>
        <v>0</v>
      </c>
      <c r="M76" s="38">
        <f t="shared" si="22"/>
        <v>-732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-28234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-28234</v>
      </c>
      <c r="J81" s="60"/>
      <c r="K81" s="38"/>
      <c r="L81" s="60">
        <f t="shared" si="22"/>
        <v>0</v>
      </c>
      <c r="M81" s="38">
        <f t="shared" si="22"/>
        <v>-28234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220422.37283129327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220422.37283129338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220422.37283129338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208</v>
      </c>
      <c r="B85" s="3"/>
    </row>
    <row r="86" spans="1:67" s="3" customFormat="1" x14ac:dyDescent="0.25">
      <c r="A86" s="144"/>
      <c r="C86" s="10" t="s">
        <v>162</v>
      </c>
      <c r="D86" s="145">
        <v>0</v>
      </c>
      <c r="E86" s="67">
        <v>54892</v>
      </c>
      <c r="F86" s="67">
        <v>0</v>
      </c>
      <c r="G86" s="219">
        <v>0</v>
      </c>
      <c r="H86" s="222">
        <f t="shared" ref="H86:I88" si="24">D86</f>
        <v>0</v>
      </c>
      <c r="I86" s="219">
        <f t="shared" si="24"/>
        <v>54892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54892</v>
      </c>
    </row>
    <row r="87" spans="1:67" s="3" customFormat="1" x14ac:dyDescent="0.25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5">
      <c r="A88" s="144"/>
      <c r="C88" s="10" t="s">
        <v>72</v>
      </c>
      <c r="D88" s="147">
        <v>0</v>
      </c>
      <c r="E88" s="220">
        <v>0</v>
      </c>
      <c r="F88" s="220">
        <v>0</v>
      </c>
      <c r="G88" s="221">
        <v>0</v>
      </c>
      <c r="H88" s="136">
        <f t="shared" si="24"/>
        <v>0</v>
      </c>
      <c r="I88" s="221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6">SUM(E86:E88)</f>
        <v>54892</v>
      </c>
      <c r="F89" s="223">
        <f t="shared" si="26"/>
        <v>0</v>
      </c>
      <c r="G89" s="223">
        <f t="shared" si="26"/>
        <v>0</v>
      </c>
      <c r="H89" s="155">
        <f t="shared" si="26"/>
        <v>0</v>
      </c>
      <c r="I89" s="155">
        <f t="shared" si="26"/>
        <v>54892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54892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0</v>
      </c>
      <c r="E91" s="155">
        <f t="shared" ref="E91:M91" si="27">+E82+E89</f>
        <v>275314.37283129327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275314.37283129338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275314.37283129338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77" activePane="bottomRight" state="frozen"/>
      <selection pane="topRight"/>
      <selection pane="bottomLeft"/>
      <selection pane="bottomRight" activeCell="E91" sqref="E9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8" width="15.44140625" style="31" customWidth="1"/>
    <col min="9" max="9" width="16.5546875" style="31" bestFit="1" customWidth="1"/>
    <col min="10" max="12" width="15.44140625" customWidth="1"/>
    <col min="13" max="13" width="16.5546875" bestFit="1" customWidth="1"/>
    <col min="14" max="19" width="15.44140625" customWidth="1"/>
  </cols>
  <sheetData>
    <row r="1" spans="1:26" x14ac:dyDescent="0.25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1" t="s">
        <v>95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/>
      <c r="E12" s="38">
        <v>-1405797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-1405797</v>
      </c>
      <c r="J12" s="60"/>
      <c r="K12" s="38"/>
      <c r="L12" s="60">
        <f t="shared" si="0"/>
        <v>0</v>
      </c>
      <c r="M12" s="38">
        <f t="shared" si="0"/>
        <v>-1405797</v>
      </c>
    </row>
    <row r="13" spans="1:26" x14ac:dyDescent="0.25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-1405797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-1405797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-1405797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0"/>
      <c r="E41" s="3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/>
      <c r="E60" s="38">
        <v>2162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2162</v>
      </c>
      <c r="J60" s="65"/>
      <c r="K60" s="38"/>
      <c r="L60" s="60">
        <f>H60+J60</f>
        <v>0</v>
      </c>
      <c r="M60" s="38">
        <f>I60+K60</f>
        <v>2162</v>
      </c>
    </row>
    <row r="61" spans="1:15" x14ac:dyDescent="0.25">
      <c r="A61" s="9"/>
      <c r="B61" s="62" t="s">
        <v>61</v>
      </c>
      <c r="C61" s="6"/>
      <c r="D61" s="61">
        <v>0</v>
      </c>
      <c r="E61" s="39">
        <v>2162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2162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2162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/>
      <c r="E70" s="38">
        <v>143257916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143257916</v>
      </c>
      <c r="J70" s="65"/>
      <c r="K70" s="38"/>
      <c r="L70" s="60">
        <f t="shared" si="20"/>
        <v>0</v>
      </c>
      <c r="M70" s="38">
        <f t="shared" si="20"/>
        <v>143257916</v>
      </c>
    </row>
    <row r="71" spans="1:13" x14ac:dyDescent="0.25">
      <c r="A71" s="9">
        <v>31</v>
      </c>
      <c r="B71" s="3"/>
      <c r="C71" s="10" t="s">
        <v>68</v>
      </c>
      <c r="D71" s="60"/>
      <c r="E71" s="38">
        <v>-143891613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-143891613</v>
      </c>
      <c r="J71" s="65"/>
      <c r="K71" s="38"/>
      <c r="L71" s="60">
        <f t="shared" si="20"/>
        <v>0</v>
      </c>
      <c r="M71" s="38">
        <f t="shared" si="20"/>
        <v>-143891613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-633697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-633697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-633697</v>
      </c>
    </row>
    <row r="73" spans="1:13" x14ac:dyDescent="0.25">
      <c r="A73" s="9">
        <v>32</v>
      </c>
      <c r="B73" s="3"/>
      <c r="C73" s="10" t="s">
        <v>129</v>
      </c>
      <c r="D73" s="60"/>
      <c r="E73" s="38">
        <v>-39048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-39048</v>
      </c>
      <c r="J73" s="60"/>
      <c r="K73" s="38"/>
      <c r="L73" s="60">
        <f t="shared" ref="L73:M81" si="23">H73+J73</f>
        <v>0</v>
      </c>
      <c r="M73" s="38">
        <f t="shared" si="23"/>
        <v>-39048</v>
      </c>
    </row>
    <row r="74" spans="1:13" x14ac:dyDescent="0.25">
      <c r="A74" s="9">
        <v>33</v>
      </c>
      <c r="B74" s="3"/>
      <c r="C74" s="10" t="s">
        <v>71</v>
      </c>
      <c r="D74" s="60"/>
      <c r="E74" s="38">
        <v>3467694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3467694</v>
      </c>
      <c r="J74" s="60"/>
      <c r="K74" s="38"/>
      <c r="L74" s="60">
        <f t="shared" si="23"/>
        <v>0</v>
      </c>
      <c r="M74" s="38">
        <f t="shared" si="23"/>
        <v>3467694</v>
      </c>
    </row>
    <row r="75" spans="1:13" x14ac:dyDescent="0.25">
      <c r="A75" s="9">
        <v>34</v>
      </c>
      <c r="B75" s="3"/>
      <c r="C75" s="10" t="s">
        <v>72</v>
      </c>
      <c r="D75" s="60"/>
      <c r="E75" s="38">
        <v>-1778864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-1778864</v>
      </c>
      <c r="J75" s="60"/>
      <c r="K75" s="38"/>
      <c r="L75" s="60">
        <f t="shared" si="23"/>
        <v>0</v>
      </c>
      <c r="M75" s="38">
        <f t="shared" si="23"/>
        <v>-1778864</v>
      </c>
    </row>
    <row r="76" spans="1:13" x14ac:dyDescent="0.25">
      <c r="A76" s="9">
        <v>35</v>
      </c>
      <c r="B76" s="3"/>
      <c r="C76" s="10" t="s">
        <v>73</v>
      </c>
      <c r="D76" s="60"/>
      <c r="E76" s="38">
        <v>-5196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-5196</v>
      </c>
      <c r="J76" s="60"/>
      <c r="K76" s="38"/>
      <c r="L76" s="60">
        <f t="shared" si="23"/>
        <v>0</v>
      </c>
      <c r="M76" s="38">
        <f t="shared" si="23"/>
        <v>-5196</v>
      </c>
    </row>
    <row r="77" spans="1:13" x14ac:dyDescent="0.25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5">
      <c r="A78" s="9">
        <v>37</v>
      </c>
      <c r="B78" s="3"/>
      <c r="C78" s="10" t="s">
        <v>204</v>
      </c>
      <c r="D78" s="60"/>
      <c r="E78" s="3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205</v>
      </c>
      <c r="D79" s="60"/>
      <c r="E79" s="38">
        <v>-103709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-103709</v>
      </c>
      <c r="J79" s="60"/>
      <c r="K79" s="38"/>
      <c r="L79" s="60">
        <f t="shared" si="23"/>
        <v>0</v>
      </c>
      <c r="M79" s="38">
        <f t="shared" si="23"/>
        <v>-103709</v>
      </c>
    </row>
    <row r="80" spans="1:13" x14ac:dyDescent="0.25">
      <c r="A80" s="9">
        <v>39</v>
      </c>
      <c r="B80" s="3"/>
      <c r="C80" s="10" t="s">
        <v>211</v>
      </c>
      <c r="D80" s="60"/>
      <c r="E80" s="3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/>
      <c r="E81" s="38">
        <v>1119846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1119846</v>
      </c>
      <c r="J81" s="60"/>
      <c r="K81" s="38"/>
      <c r="L81" s="60">
        <f t="shared" si="23"/>
        <v>0</v>
      </c>
      <c r="M81" s="38">
        <f t="shared" si="23"/>
        <v>1119846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240964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240964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240964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A60" zoomScale="75" workbookViewId="0">
      <selection activeCell="E87" sqref="E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32244210</v>
      </c>
      <c r="E11" s="146">
        <v>144548936</v>
      </c>
      <c r="F11" s="60">
        <f>H11-D11</f>
        <v>0</v>
      </c>
      <c r="G11" s="37">
        <f>I11-E11</f>
        <v>0</v>
      </c>
      <c r="H11" s="65">
        <f>D11</f>
        <v>32244210</v>
      </c>
      <c r="I11" s="66">
        <f>E11</f>
        <v>144548936</v>
      </c>
      <c r="J11" s="60"/>
      <c r="K11" s="38"/>
      <c r="L11" s="60">
        <f t="shared" ref="L11:M15" si="0">H11+J11</f>
        <v>32244210</v>
      </c>
      <c r="M11" s="38">
        <f t="shared" si="0"/>
        <v>144548936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6">
        <v>4177126</v>
      </c>
      <c r="E13" s="146">
        <v>18321298</v>
      </c>
      <c r="F13" s="60">
        <f t="shared" si="1"/>
        <v>0</v>
      </c>
      <c r="G13" s="37">
        <f t="shared" si="1"/>
        <v>0</v>
      </c>
      <c r="H13" s="65">
        <f t="shared" si="2"/>
        <v>4177126</v>
      </c>
      <c r="I13" s="66">
        <f t="shared" si="2"/>
        <v>18321298</v>
      </c>
      <c r="J13" s="60"/>
      <c r="K13" s="38"/>
      <c r="L13" s="60">
        <f t="shared" si="0"/>
        <v>4177126</v>
      </c>
      <c r="M13" s="38">
        <f t="shared" si="0"/>
        <v>18321298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6">
        <v>36421336</v>
      </c>
      <c r="E16" s="166">
        <v>162870234</v>
      </c>
      <c r="F16" s="61">
        <f t="shared" ref="F16:M16" si="3">SUM(F11:F15)</f>
        <v>0</v>
      </c>
      <c r="G16" s="39">
        <f t="shared" si="3"/>
        <v>0</v>
      </c>
      <c r="H16" s="61">
        <f>SUM(H11:H15)</f>
        <v>36421336</v>
      </c>
      <c r="I16" s="39">
        <f>SUM(I11:I15)</f>
        <v>162870234</v>
      </c>
      <c r="J16" s="61">
        <f t="shared" si="3"/>
        <v>0</v>
      </c>
      <c r="K16" s="39">
        <f t="shared" si="3"/>
        <v>0</v>
      </c>
      <c r="L16" s="61">
        <f t="shared" si="3"/>
        <v>36421336</v>
      </c>
      <c r="M16" s="39">
        <f t="shared" si="3"/>
        <v>162870234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-35358574</v>
      </c>
      <c r="E19" s="146">
        <v>-158498450</v>
      </c>
      <c r="F19" s="60">
        <f>H19-D19</f>
        <v>0</v>
      </c>
      <c r="G19" s="37">
        <f>I19-E19</f>
        <v>0</v>
      </c>
      <c r="H19" s="65">
        <f t="shared" si="4"/>
        <v>-35358574</v>
      </c>
      <c r="I19" s="66">
        <f t="shared" si="4"/>
        <v>-158498450</v>
      </c>
      <c r="J19" s="60"/>
      <c r="K19" s="38"/>
      <c r="L19" s="60">
        <f t="shared" ref="L19:M23" si="5">H19+J19</f>
        <v>-35358574</v>
      </c>
      <c r="M19" s="38">
        <f t="shared" si="5"/>
        <v>-158498450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-1064304</v>
      </c>
      <c r="E21" s="146">
        <v>-4329544</v>
      </c>
      <c r="F21" s="60">
        <f t="shared" si="6"/>
        <v>0</v>
      </c>
      <c r="G21" s="37">
        <f t="shared" si="6"/>
        <v>0</v>
      </c>
      <c r="H21" s="65">
        <f t="shared" si="4"/>
        <v>-1064304</v>
      </c>
      <c r="I21" s="66">
        <f t="shared" si="4"/>
        <v>-4329544</v>
      </c>
      <c r="J21" s="60"/>
      <c r="K21" s="38"/>
      <c r="L21" s="60">
        <f t="shared" si="5"/>
        <v>-1064304</v>
      </c>
      <c r="M21" s="38">
        <f t="shared" si="5"/>
        <v>-4329544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20730</v>
      </c>
      <c r="E23" s="146">
        <v>74931</v>
      </c>
      <c r="F23" s="60">
        <f t="shared" si="6"/>
        <v>0</v>
      </c>
      <c r="G23" s="37">
        <f t="shared" si="6"/>
        <v>0</v>
      </c>
      <c r="H23" s="65">
        <f t="shared" si="4"/>
        <v>20730</v>
      </c>
      <c r="I23" s="66">
        <f t="shared" si="4"/>
        <v>74931</v>
      </c>
      <c r="J23" s="60"/>
      <c r="K23" s="38"/>
      <c r="L23" s="60">
        <f t="shared" si="5"/>
        <v>20730</v>
      </c>
      <c r="M23" s="38">
        <f t="shared" si="5"/>
        <v>74931</v>
      </c>
    </row>
    <row r="24" spans="1:13" x14ac:dyDescent="0.25">
      <c r="A24" s="9"/>
      <c r="B24" s="7" t="s">
        <v>33</v>
      </c>
      <c r="C24" s="6"/>
      <c r="D24" s="166">
        <v>-36402148</v>
      </c>
      <c r="E24" s="166">
        <v>-162753063</v>
      </c>
      <c r="F24" s="61">
        <f t="shared" ref="F24:M24" si="7">SUM(F19:F23)</f>
        <v>0</v>
      </c>
      <c r="G24" s="39">
        <f t="shared" si="7"/>
        <v>0</v>
      </c>
      <c r="H24" s="61">
        <f>SUM(H19:H23)</f>
        <v>-36402148</v>
      </c>
      <c r="I24" s="39">
        <f>SUM(I19:I23)</f>
        <v>-162753063</v>
      </c>
      <c r="J24" s="61">
        <f t="shared" si="7"/>
        <v>0</v>
      </c>
      <c r="K24" s="39">
        <f t="shared" si="7"/>
        <v>0</v>
      </c>
      <c r="L24" s="61">
        <f t="shared" si="7"/>
        <v>-36402148</v>
      </c>
      <c r="M24" s="39">
        <f t="shared" si="7"/>
        <v>-162753063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-19188</v>
      </c>
      <c r="E49" s="146">
        <v>-84043.44</v>
      </c>
      <c r="F49" s="60">
        <f>H49-D49</f>
        <v>0</v>
      </c>
      <c r="G49" s="37">
        <f>I49-E49</f>
        <v>0</v>
      </c>
      <c r="H49" s="65">
        <f>D49</f>
        <v>-19188</v>
      </c>
      <c r="I49" s="66">
        <f>E49</f>
        <v>-84043.44</v>
      </c>
      <c r="J49" s="60"/>
      <c r="K49" s="38"/>
      <c r="L49" s="60">
        <f>H49+J49</f>
        <v>-19188</v>
      </c>
      <c r="M49" s="38">
        <f>I49+K49</f>
        <v>-84043.44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-20730</v>
      </c>
      <c r="E51" s="146">
        <v>-74931</v>
      </c>
      <c r="F51" s="60">
        <f>H51-D51</f>
        <v>0</v>
      </c>
      <c r="G51" s="37">
        <f>I51-E51</f>
        <v>0</v>
      </c>
      <c r="H51" s="65">
        <f>D51</f>
        <v>-20730</v>
      </c>
      <c r="I51" s="66">
        <f>E51</f>
        <v>-74931</v>
      </c>
      <c r="J51" s="60"/>
      <c r="K51" s="38"/>
      <c r="L51" s="60">
        <f>H51+J51</f>
        <v>-20730</v>
      </c>
      <c r="M51" s="38">
        <f>I51+K51</f>
        <v>-74931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</v>
      </c>
      <c r="J54" s="60"/>
      <c r="K54" s="38"/>
      <c r="L54" s="60">
        <f>H54+J54</f>
        <v>0</v>
      </c>
      <c r="M54" s="38">
        <f>I54+K54</f>
        <v>-2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8346121.5228982903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8346121.5228982903</v>
      </c>
      <c r="J70" s="65"/>
      <c r="K70" s="38"/>
      <c r="L70" s="60">
        <f t="shared" si="20"/>
        <v>0</v>
      </c>
      <c r="M70" s="38">
        <f t="shared" si="20"/>
        <v>8346121.5228982903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-9378953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-9378953</v>
      </c>
      <c r="J71" s="65"/>
      <c r="K71" s="38"/>
      <c r="L71" s="60">
        <f t="shared" si="20"/>
        <v>0</v>
      </c>
      <c r="M71" s="38">
        <f t="shared" si="20"/>
        <v>-9378953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-1032831.4771017097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-1032831.4771017097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-1032831.4771017097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-1627381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-1627381</v>
      </c>
      <c r="J74" s="60"/>
      <c r="K74" s="38"/>
      <c r="L74" s="60">
        <f t="shared" si="23"/>
        <v>0</v>
      </c>
      <c r="M74" s="38">
        <f t="shared" si="23"/>
        <v>-1627381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-4547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-4547</v>
      </c>
      <c r="J76" s="60"/>
      <c r="K76" s="38"/>
      <c r="L76" s="60">
        <f t="shared" si="23"/>
        <v>0</v>
      </c>
      <c r="M76" s="38">
        <f t="shared" si="23"/>
        <v>-4547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5">
      <c r="A81" s="9">
        <v>40</v>
      </c>
      <c r="B81" s="3"/>
      <c r="C81" s="10" t="s">
        <v>78</v>
      </c>
      <c r="D81" s="146">
        <v>0</v>
      </c>
      <c r="E81" s="146">
        <v>-54935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-54935</v>
      </c>
      <c r="J81" s="60"/>
      <c r="K81" s="38"/>
      <c r="L81" s="60">
        <f t="shared" si="23"/>
        <v>0</v>
      </c>
      <c r="M81" s="38">
        <f t="shared" si="23"/>
        <v>-54935</v>
      </c>
    </row>
    <row r="82" spans="1:13" s="2" customFormat="1" ht="20.25" customHeight="1" thickBot="1" x14ac:dyDescent="0.3">
      <c r="A82" s="94"/>
      <c r="B82" s="30"/>
      <c r="C82" s="95" t="s">
        <v>164</v>
      </c>
      <c r="D82" s="73">
        <f>D16+D24+D29+D36+D43+D45+D47+D49</f>
        <v>0</v>
      </c>
      <c r="E82" s="74">
        <f>SUM(E72:E81)+E16+E24+E29+E36+E43+E45+E47+E49+E51+E56+E61+E66</f>
        <v>-2761499.9171017134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-2761499.9171017134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-2761499.9171017134</v>
      </c>
    </row>
    <row r="83" spans="1:13" ht="13.8" thickTop="1" x14ac:dyDescent="0.25">
      <c r="A83" s="4"/>
      <c r="B83" s="3"/>
    </row>
    <row r="84" spans="1:13" x14ac:dyDescent="0.25">
      <c r="A84" s="4"/>
      <c r="B84" s="3"/>
    </row>
    <row r="85" spans="1:13" x14ac:dyDescent="0.25">
      <c r="A85" s="4" t="s">
        <v>159</v>
      </c>
      <c r="B85" s="3"/>
      <c r="L85" s="45"/>
    </row>
    <row r="86" spans="1:13" s="3" customFormat="1" x14ac:dyDescent="0.25">
      <c r="A86" s="144"/>
      <c r="C86" s="10" t="s">
        <v>162</v>
      </c>
      <c r="D86" s="148">
        <v>0</v>
      </c>
      <c r="E86" s="148">
        <v>-53137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-53137</v>
      </c>
      <c r="J86" s="148"/>
      <c r="K86" s="148"/>
      <c r="L86" s="148">
        <f t="shared" ref="L86:M88" si="27">H86+J86</f>
        <v>0</v>
      </c>
      <c r="M86" s="148">
        <f t="shared" si="27"/>
        <v>-53137</v>
      </c>
    </row>
    <row r="87" spans="1:13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5">
      <c r="A89" s="144"/>
      <c r="B89" s="4"/>
      <c r="C89" s="154" t="s">
        <v>165</v>
      </c>
      <c r="D89" s="155">
        <f>SUM(D86:D88)</f>
        <v>0</v>
      </c>
      <c r="E89" s="155">
        <f t="shared" ref="E89:M89" si="28">SUM(E86:E88)</f>
        <v>-53137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-53137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-53137</v>
      </c>
    </row>
    <row r="90" spans="1:13" x14ac:dyDescent="0.25">
      <c r="A90" s="4"/>
      <c r="B90" s="3"/>
    </row>
    <row r="91" spans="1:13" s="2" customFormat="1" ht="20.25" customHeight="1" x14ac:dyDescent="0.25">
      <c r="A91" s="144"/>
      <c r="B91" s="4"/>
      <c r="C91" s="154" t="s">
        <v>163</v>
      </c>
      <c r="D91" s="155">
        <f>+D82+D89</f>
        <v>0</v>
      </c>
      <c r="E91" s="155">
        <f t="shared" ref="E91:M91" si="29">+E82+E89</f>
        <v>-2814636.9171017134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-2814636.9171017134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-2814636.9171017134</v>
      </c>
    </row>
    <row r="92" spans="1:13" x14ac:dyDescent="0.25">
      <c r="A92" s="4"/>
      <c r="B92" s="3"/>
    </row>
    <row r="93" spans="1:13" x14ac:dyDescent="0.25">
      <c r="A93" s="4"/>
      <c r="B93" s="3"/>
    </row>
    <row r="94" spans="1:13" x14ac:dyDescent="0.25">
      <c r="A94" s="4"/>
      <c r="B94" s="3"/>
    </row>
    <row r="95" spans="1:13" x14ac:dyDescent="0.25">
      <c r="A95" s="4"/>
      <c r="B95" s="3"/>
    </row>
    <row r="96" spans="1:1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topLeftCell="H1" zoomScale="75" workbookViewId="0">
      <selection activeCell="K22" sqref="K2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190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0</v>
      </c>
      <c r="E13" s="65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0</v>
      </c>
      <c r="E19" s="65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0</v>
      </c>
      <c r="E21" s="65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0</v>
      </c>
      <c r="E23" s="65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0</v>
      </c>
      <c r="E49" s="65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0</v>
      </c>
      <c r="E51" s="65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441261.49690000003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441261.49690000003</v>
      </c>
      <c r="J70" s="65"/>
      <c r="K70" s="38"/>
      <c r="L70" s="60">
        <f t="shared" si="20"/>
        <v>0</v>
      </c>
      <c r="M70" s="38">
        <f t="shared" si="20"/>
        <v>441261.49690000003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-499916.66939999978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-499916.66939999978</v>
      </c>
      <c r="J71" s="65"/>
      <c r="K71" s="38"/>
      <c r="L71" s="60">
        <f t="shared" si="20"/>
        <v>0</v>
      </c>
      <c r="M71" s="38">
        <f t="shared" si="20"/>
        <v>-499916.66939999978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-58655.172499999753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-58655.172499999753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-58655.172499999753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61237.107600000003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61237.107600000003</v>
      </c>
      <c r="J74" s="60"/>
      <c r="K74" s="38"/>
      <c r="L74" s="60">
        <f t="shared" si="23"/>
        <v>0</v>
      </c>
      <c r="M74" s="38">
        <f t="shared" si="23"/>
        <v>61237.107600000003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-595141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-595141</v>
      </c>
      <c r="J81" s="60"/>
      <c r="K81" s="38"/>
      <c r="L81" s="60">
        <f t="shared" si="23"/>
        <v>0</v>
      </c>
      <c r="M81" s="38">
        <f t="shared" si="23"/>
        <v>-595141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-592559.06489999976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-592559.06489999976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-592559.06489999976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AP179"/>
  <sheetViews>
    <sheetView zoomScale="75" workbookViewId="0">
      <pane xSplit="3" ySplit="9" topLeftCell="E55" activePane="bottomRight" state="frozen"/>
      <selection pane="topRight"/>
      <selection pane="bottomLeft"/>
      <selection pane="bottomRight" activeCell="E82" sqref="E8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  <col min="16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97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118946576</v>
      </c>
      <c r="E11" s="38">
        <f>SUM(G11,I11,K11,M11,O11,Q11,S11,U11,W11,Y11,AA11,AC11,AE11)</f>
        <v>492869720.64000005</v>
      </c>
      <c r="F11" s="60">
        <f>'TIE-OUT'!F11+RECLASS!F11</f>
        <v>0</v>
      </c>
      <c r="G11" s="38">
        <f>'TIE-OUT'!G11+RECLASS!G11</f>
        <v>0</v>
      </c>
      <c r="H11" s="118">
        <f>+Actuals!E164</f>
        <v>118824617</v>
      </c>
      <c r="I11" s="119">
        <f>+Actuals!F164</f>
        <v>479998805.62000006</v>
      </c>
      <c r="J11" s="118">
        <v>185374</v>
      </c>
      <c r="K11" s="119">
        <v>473464.26</v>
      </c>
      <c r="L11" s="118">
        <v>47830</v>
      </c>
      <c r="M11" s="119">
        <v>12419739.65</v>
      </c>
      <c r="N11" s="118">
        <v>-111245</v>
      </c>
      <c r="O11" s="119">
        <v>-22288.89</v>
      </c>
      <c r="P11" s="118">
        <f>+Actuals!M164</f>
        <v>0</v>
      </c>
      <c r="Q11" s="119">
        <f>+Actuals!N164</f>
        <v>0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18211927.449999999</v>
      </c>
      <c r="F12" s="60">
        <f>'TIE-OUT'!F12+RECLASS!F12</f>
        <v>0</v>
      </c>
      <c r="G12" s="38">
        <f>'TIE-OUT'!G12+RECLASS!G12</f>
        <v>18211927.449999999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4">
        <v>0</v>
      </c>
      <c r="L12" s="118">
        <f>+Actuals!I165</f>
        <v>0</v>
      </c>
      <c r="M12" s="119">
        <f>+Actuals!J165</f>
        <v>0</v>
      </c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51133747</v>
      </c>
      <c r="E13" s="38">
        <f t="shared" si="0"/>
        <v>218458942</v>
      </c>
      <c r="F13" s="60">
        <f>'TIE-OUT'!F13+RECLASS!F13</f>
        <v>0</v>
      </c>
      <c r="G13" s="38">
        <f>'TIE-OUT'!G13+RECLASS!G13</f>
        <v>0</v>
      </c>
      <c r="H13" s="118">
        <f>+Actuals!E166</f>
        <v>49857326</v>
      </c>
      <c r="I13" s="119">
        <f>+Actuals!F166</f>
        <v>214448508</v>
      </c>
      <c r="J13" s="118">
        <f>+Actuals!G166</f>
        <v>0</v>
      </c>
      <c r="K13" s="119">
        <f>+Actuals!H166</f>
        <v>0</v>
      </c>
      <c r="L13" s="118">
        <f>+Actuals!I166</f>
        <v>0</v>
      </c>
      <c r="M13" s="119">
        <f>+Actuals!J166</f>
        <v>0</v>
      </c>
      <c r="N13" s="118">
        <v>1276421</v>
      </c>
      <c r="O13" s="119">
        <v>4010434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942663.02999999933</v>
      </c>
      <c r="F15" s="81">
        <f>'TIE-OUT'!F15+RECLASS!F15</f>
        <v>0</v>
      </c>
      <c r="G15" s="82">
        <f>'TIE-OUT'!G15+RECLASS!G15</f>
        <v>0</v>
      </c>
      <c r="H15" s="118">
        <f>+Actuals!E168</f>
        <v>0</v>
      </c>
      <c r="I15" s="119">
        <f>+Actuals!F168</f>
        <v>15285602</v>
      </c>
      <c r="J15" s="118">
        <f>+Actuals!G168</f>
        <v>0</v>
      </c>
      <c r="K15" s="119">
        <v>837781</v>
      </c>
      <c r="L15" s="118">
        <f>+Actuals!I168</f>
        <v>0</v>
      </c>
      <c r="M15" s="119">
        <v>-15180719.970000001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170080323</v>
      </c>
      <c r="E16" s="39">
        <f t="shared" si="1"/>
        <v>730483253.12</v>
      </c>
      <c r="F16" s="61">
        <f t="shared" si="1"/>
        <v>0</v>
      </c>
      <c r="G16" s="39">
        <f t="shared" si="1"/>
        <v>18211927.449999999</v>
      </c>
      <c r="H16" s="61">
        <f t="shared" si="1"/>
        <v>168681943</v>
      </c>
      <c r="I16" s="39">
        <f t="shared" si="1"/>
        <v>709732915.62000012</v>
      </c>
      <c r="J16" s="61">
        <f t="shared" ref="J16:AO16" si="2">SUM(J11:J15)</f>
        <v>185374</v>
      </c>
      <c r="K16" s="39">
        <f t="shared" si="2"/>
        <v>1311245.26</v>
      </c>
      <c r="L16" s="61">
        <f t="shared" si="2"/>
        <v>47830</v>
      </c>
      <c r="M16" s="39">
        <f t="shared" si="2"/>
        <v>-2760980.3200000003</v>
      </c>
      <c r="N16" s="61">
        <f t="shared" si="2"/>
        <v>1165176</v>
      </c>
      <c r="O16" s="39">
        <f t="shared" si="2"/>
        <v>3988145.11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-125309856</v>
      </c>
      <c r="E19" s="38">
        <f t="shared" si="3"/>
        <v>-515413724.85000008</v>
      </c>
      <c r="F19" s="64">
        <f>'TIE-OUT'!F19+RECLASS!F19</f>
        <v>0</v>
      </c>
      <c r="G19" s="68">
        <f>'TIE-OUT'!G19+RECLASS!G19</f>
        <v>0</v>
      </c>
      <c r="H19" s="118">
        <f>+Actuals!E169</f>
        <v>-125216492</v>
      </c>
      <c r="I19" s="119">
        <f>+Actuals!F169</f>
        <v>-518246663.58000004</v>
      </c>
      <c r="J19" s="118">
        <f>-281619+81061</f>
        <v>-200558</v>
      </c>
      <c r="K19" s="119">
        <f>41943.75+343698.64</f>
        <v>385642.39</v>
      </c>
      <c r="L19" s="118">
        <v>31183</v>
      </c>
      <c r="M19" s="119">
        <v>2647849.2000000002</v>
      </c>
      <c r="N19" s="118">
        <v>76011</v>
      </c>
      <c r="O19" s="119">
        <v>-200552.86</v>
      </c>
      <c r="P19" s="118">
        <f>+Actuals!M169</f>
        <v>0</v>
      </c>
      <c r="Q19" s="119">
        <f>+Actuals!N169</f>
        <v>0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-19085663.91</v>
      </c>
      <c r="F20" s="60">
        <f>'TIE-OUT'!F20+RECLASS!F20</f>
        <v>0</v>
      </c>
      <c r="G20" s="38">
        <f>'TIE-OUT'!G20+RECLASS!G20</f>
        <v>-22685097.91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4">
        <v>0</v>
      </c>
      <c r="L20" s="118">
        <f>+Actuals!I170</f>
        <v>0</v>
      </c>
      <c r="M20" s="119">
        <v>3643131</v>
      </c>
      <c r="N20" s="118">
        <f>+Actuals!K170</f>
        <v>0</v>
      </c>
      <c r="O20" s="119">
        <v>-43697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-44535504</v>
      </c>
      <c r="E21" s="38">
        <f t="shared" si="3"/>
        <v>-190879001</v>
      </c>
      <c r="F21" s="60">
        <f>'TIE-OUT'!F21+RECLASS!F21</f>
        <v>0</v>
      </c>
      <c r="G21" s="38">
        <f>'TIE-OUT'!G21+RECLASS!G21</f>
        <v>0</v>
      </c>
      <c r="H21" s="118">
        <f>+Actuals!E171</f>
        <v>-43259083</v>
      </c>
      <c r="I21" s="119">
        <f>+Actuals!F171</f>
        <v>-186868567</v>
      </c>
      <c r="J21" s="118">
        <f>+Actuals!G171</f>
        <v>0</v>
      </c>
      <c r="K21" s="119">
        <f>+Actuals!H171</f>
        <v>0</v>
      </c>
      <c r="L21" s="118">
        <f>+Actuals!I171</f>
        <v>0</v>
      </c>
      <c r="M21" s="119">
        <f>+Actuals!J171</f>
        <v>0</v>
      </c>
      <c r="N21" s="118">
        <v>-1276421</v>
      </c>
      <c r="O21" s="119">
        <v>-4010434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182189</v>
      </c>
      <c r="E23" s="38">
        <f t="shared" si="3"/>
        <v>772481.35999999975</v>
      </c>
      <c r="F23" s="81">
        <f>'TIE-OUT'!F23+RECLASS!F23</f>
        <v>0</v>
      </c>
      <c r="G23" s="82">
        <f>'TIE-OUT'!G23+RECLASS!G23</f>
        <v>0</v>
      </c>
      <c r="H23" s="118">
        <f>+Actuals!E173</f>
        <v>414881</v>
      </c>
      <c r="I23" s="119">
        <f>+Actuals!F173</f>
        <v>1759095.44</v>
      </c>
      <c r="J23" s="118">
        <v>-81061</v>
      </c>
      <c r="K23" s="119">
        <v>-343698.64</v>
      </c>
      <c r="L23" s="118">
        <v>-153024</v>
      </c>
      <c r="M23" s="119">
        <v>-648821.76000000001</v>
      </c>
      <c r="N23" s="118">
        <v>1393</v>
      </c>
      <c r="O23" s="119">
        <v>5906.32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-169663171</v>
      </c>
      <c r="E24" s="39">
        <f t="shared" si="4"/>
        <v>-724605908.4000001</v>
      </c>
      <c r="F24" s="61">
        <f t="shared" si="4"/>
        <v>0</v>
      </c>
      <c r="G24" s="39">
        <f t="shared" si="4"/>
        <v>-22685097.91</v>
      </c>
      <c r="H24" s="61">
        <f t="shared" si="4"/>
        <v>-168060694</v>
      </c>
      <c r="I24" s="39">
        <f t="shared" si="4"/>
        <v>-703356135.13999999</v>
      </c>
      <c r="J24" s="61">
        <f t="shared" ref="J24:AO24" si="5">SUM(J19:J23)</f>
        <v>-281619</v>
      </c>
      <c r="K24" s="39">
        <f t="shared" si="5"/>
        <v>41943.75</v>
      </c>
      <c r="L24" s="61">
        <f t="shared" si="5"/>
        <v>-121841</v>
      </c>
      <c r="M24" s="39">
        <f t="shared" si="5"/>
        <v>5642158.4400000004</v>
      </c>
      <c r="N24" s="61">
        <f t="shared" si="5"/>
        <v>-1199017</v>
      </c>
      <c r="O24" s="39">
        <f t="shared" si="5"/>
        <v>-4248777.54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86528</v>
      </c>
      <c r="E27" s="38">
        <f>SUM(G27,I27,K27,M27,O27,Q27,S27,U27,W27,Y27,AA27,AC27,AE27)</f>
        <v>358950.18000000005</v>
      </c>
      <c r="F27" s="64">
        <f>'TIE-OUT'!F27+RECLASS!F27</f>
        <v>0</v>
      </c>
      <c r="G27" s="68">
        <f>'TIE-OUT'!G27+RECLASS!G27</f>
        <v>0</v>
      </c>
      <c r="H27" s="118">
        <f>+Actuals!E174</f>
        <v>58500</v>
      </c>
      <c r="I27" s="119">
        <f>+Actuals!F174</f>
        <v>242730</v>
      </c>
      <c r="J27" s="118">
        <v>28028</v>
      </c>
      <c r="K27" s="119">
        <v>108468.4</v>
      </c>
      <c r="L27" s="118">
        <f>+Actuals!I174</f>
        <v>0</v>
      </c>
      <c r="M27" s="119">
        <v>7751.78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-441868</v>
      </c>
      <c r="E28" s="38">
        <f>SUM(G28,I28,K28,M28,O28,Q28,S28,U28,W28,Y28,AA28,AC28,AE28)</f>
        <v>-1825560.41</v>
      </c>
      <c r="F28" s="81">
        <f>'TIE-OUT'!F28+RECLASS!F28</f>
        <v>0</v>
      </c>
      <c r="G28" s="82">
        <f>'TIE-OUT'!G28+RECLASS!G28</f>
        <v>0</v>
      </c>
      <c r="H28" s="118">
        <f>+Actuals!E175</f>
        <v>-441868</v>
      </c>
      <c r="I28" s="119">
        <f>+Actuals!F175</f>
        <v>-1825560.41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-355340</v>
      </c>
      <c r="E29" s="39">
        <f t="shared" si="6"/>
        <v>-1466610.23</v>
      </c>
      <c r="F29" s="61">
        <f t="shared" si="6"/>
        <v>0</v>
      </c>
      <c r="G29" s="39">
        <f t="shared" si="6"/>
        <v>0</v>
      </c>
      <c r="H29" s="61">
        <f t="shared" si="6"/>
        <v>-383368</v>
      </c>
      <c r="I29" s="39">
        <f t="shared" si="6"/>
        <v>-1582830.41</v>
      </c>
      <c r="J29" s="61">
        <f t="shared" ref="J29:AO29" si="7">SUM(J27:J28)</f>
        <v>28028</v>
      </c>
      <c r="K29" s="39">
        <f t="shared" si="7"/>
        <v>108468.4</v>
      </c>
      <c r="L29" s="61">
        <f t="shared" si="7"/>
        <v>0</v>
      </c>
      <c r="M29" s="39">
        <f t="shared" si="7"/>
        <v>7751.78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-46544</v>
      </c>
      <c r="E32" s="38">
        <f t="shared" si="8"/>
        <v>-185807.02000000002</v>
      </c>
      <c r="F32" s="64">
        <f>'TIE-OUT'!F32+RECLASS!F32</f>
        <v>0</v>
      </c>
      <c r="G32" s="68">
        <f>'TIE-OUT'!G32+RECLASS!G32</f>
        <v>0</v>
      </c>
      <c r="H32" s="118">
        <f>+Actuals!E176</f>
        <v>-44536</v>
      </c>
      <c r="I32" s="119">
        <f>+Actuals!F176</f>
        <v>-188832.64000000001</v>
      </c>
      <c r="J32" s="118">
        <v>15092</v>
      </c>
      <c r="K32" s="119">
        <v>75529.62</v>
      </c>
      <c r="L32" s="118">
        <v>-47844</v>
      </c>
      <c r="M32" s="119">
        <v>-202858.56</v>
      </c>
      <c r="N32" s="118">
        <v>30744</v>
      </c>
      <c r="O32" s="119">
        <v>130354.56</v>
      </c>
      <c r="P32" s="118">
        <f>+Actuals!M176</f>
        <v>0</v>
      </c>
      <c r="Q32" s="119">
        <f>+Actuals!N176</f>
        <v>0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-51046</v>
      </c>
      <c r="E33" s="38">
        <f t="shared" si="8"/>
        <v>-216877.40000000002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v>-48059</v>
      </c>
      <c r="K33" s="119">
        <v>-205070.95</v>
      </c>
      <c r="L33" s="118">
        <v>-2987</v>
      </c>
      <c r="M33" s="119">
        <v>-11806.45</v>
      </c>
      <c r="N33" s="118">
        <f>+Actuals!K177</f>
        <v>0</v>
      </c>
      <c r="O33" s="119">
        <f>+Actuals!L177</f>
        <v>0</v>
      </c>
      <c r="P33" s="118">
        <f>+Actuals!M177</f>
        <v>0</v>
      </c>
      <c r="Q33" s="119">
        <f>+Actuals!N177</f>
        <v>0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53141</v>
      </c>
      <c r="E34" s="38">
        <f t="shared" si="8"/>
        <v>224894.85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v>49389</v>
      </c>
      <c r="K34" s="119">
        <v>209951.03</v>
      </c>
      <c r="L34" s="118">
        <v>3752</v>
      </c>
      <c r="M34" s="119">
        <v>14943.82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15</v>
      </c>
      <c r="E35" s="38">
        <f t="shared" si="8"/>
        <v>0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v>-15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v>30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-44434</v>
      </c>
      <c r="E36" s="39">
        <f t="shared" si="9"/>
        <v>-177789.57000000004</v>
      </c>
      <c r="F36" s="61">
        <f t="shared" si="9"/>
        <v>0</v>
      </c>
      <c r="G36" s="39">
        <f t="shared" si="9"/>
        <v>0</v>
      </c>
      <c r="H36" s="61">
        <f t="shared" si="9"/>
        <v>-44536</v>
      </c>
      <c r="I36" s="39">
        <f t="shared" si="9"/>
        <v>-188832.64000000001</v>
      </c>
      <c r="J36" s="61">
        <f t="shared" ref="J36:AO36" si="10">SUM(J32:J35)</f>
        <v>16407</v>
      </c>
      <c r="K36" s="39">
        <f t="shared" si="10"/>
        <v>80409.699999999983</v>
      </c>
      <c r="L36" s="61">
        <f t="shared" si="10"/>
        <v>-47079</v>
      </c>
      <c r="M36" s="39">
        <f t="shared" si="10"/>
        <v>-199721.19</v>
      </c>
      <c r="N36" s="61">
        <f t="shared" si="10"/>
        <v>30774</v>
      </c>
      <c r="O36" s="39">
        <f t="shared" si="10"/>
        <v>130354.56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34022</v>
      </c>
      <c r="E39" s="38">
        <f t="shared" si="11"/>
        <v>144253.28</v>
      </c>
      <c r="F39" s="64">
        <f>'TIE-OUT'!F39+RECLASS!F39</f>
        <v>0</v>
      </c>
      <c r="G39" s="68">
        <f>'TIE-OUT'!G39+RECLASS!G39</f>
        <v>0</v>
      </c>
      <c r="H39" s="118">
        <f>+Actuals!E180</f>
        <v>20675</v>
      </c>
      <c r="I39" s="119">
        <f>+Actuals!F180</f>
        <v>87662</v>
      </c>
      <c r="J39" s="118">
        <v>13347</v>
      </c>
      <c r="K39" s="119">
        <v>56591.28</v>
      </c>
      <c r="L39" s="118">
        <f>+Actuals!I180</f>
        <v>0</v>
      </c>
      <c r="M39" s="119">
        <f>+Actuals!J180</f>
        <v>0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-9097</v>
      </c>
      <c r="E40" s="38">
        <f t="shared" si="11"/>
        <v>-4332.88</v>
      </c>
      <c r="F40" s="60">
        <f>'TIE-OUT'!F40+RECLASS!F40</f>
        <v>0</v>
      </c>
      <c r="G40" s="38">
        <f>'TIE-OUT'!G40+RECLASS!G40</f>
        <v>0</v>
      </c>
      <c r="H40" s="118">
        <f>+Actuals!E181</f>
        <v>-9097</v>
      </c>
      <c r="I40" s="119">
        <f>+Actuals!F181</f>
        <v>-4332.88</v>
      </c>
      <c r="J40" s="118">
        <f>+Actuals!G181</f>
        <v>0</v>
      </c>
      <c r="K40" s="119">
        <f>+Actuals!H181</f>
        <v>0</v>
      </c>
      <c r="L40" s="118">
        <f>+Actuals!I181</f>
        <v>0</v>
      </c>
      <c r="M40" s="119">
        <f>+Actuals!J181</f>
        <v>0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-9097</v>
      </c>
      <c r="E42" s="39">
        <f t="shared" si="12"/>
        <v>-4332.88</v>
      </c>
      <c r="F42" s="61">
        <f t="shared" si="12"/>
        <v>0</v>
      </c>
      <c r="G42" s="39">
        <f t="shared" si="12"/>
        <v>0</v>
      </c>
      <c r="H42" s="61">
        <f t="shared" si="12"/>
        <v>-9097</v>
      </c>
      <c r="I42" s="39">
        <f t="shared" si="12"/>
        <v>-4332.88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24925</v>
      </c>
      <c r="E43" s="39">
        <f t="shared" si="14"/>
        <v>139920.4</v>
      </c>
      <c r="F43" s="61">
        <f t="shared" si="14"/>
        <v>0</v>
      </c>
      <c r="G43" s="39">
        <f t="shared" si="14"/>
        <v>0</v>
      </c>
      <c r="H43" s="61">
        <f t="shared" si="14"/>
        <v>11578</v>
      </c>
      <c r="I43" s="39">
        <f t="shared" si="14"/>
        <v>83329.119999999995</v>
      </c>
      <c r="J43" s="61">
        <f t="shared" ref="J43:AO43" si="15">J42+J39</f>
        <v>13347</v>
      </c>
      <c r="K43" s="39">
        <f t="shared" si="15"/>
        <v>56591.28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-42303</v>
      </c>
      <c r="E49" s="38">
        <f>SUM(G49,I49,K49,M49,O49,Q49,S49,U49,W49,Y49,AA49,AC49,AE49)</f>
        <v>-179364.72000000006</v>
      </c>
      <c r="F49" s="60">
        <f>'TIE-OUT'!F49+RECLASS!F49</f>
        <v>0</v>
      </c>
      <c r="G49" s="38">
        <f>'TIE-OUT'!G49+RECLASS!G49</f>
        <v>0</v>
      </c>
      <c r="H49" s="118">
        <f>+Actuals!E185</f>
        <v>-204923</v>
      </c>
      <c r="I49" s="119">
        <f>+Actuals!F185</f>
        <v>-868873.52</v>
      </c>
      <c r="J49" s="118">
        <v>38463</v>
      </c>
      <c r="K49" s="119">
        <v>163083.12</v>
      </c>
      <c r="L49" s="118">
        <v>121090</v>
      </c>
      <c r="M49" s="119">
        <v>513421.6</v>
      </c>
      <c r="N49" s="118">
        <v>3067</v>
      </c>
      <c r="O49" s="119">
        <v>13004.08</v>
      </c>
      <c r="P49" s="118">
        <f>+Actuals!M185</f>
        <v>0</v>
      </c>
      <c r="Q49" s="119">
        <f>+Actuals!N185</f>
        <v>0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-182189</v>
      </c>
      <c r="E51" s="38">
        <f>SUM(G51,I51,K51,M51,O51,Q51,S51,U51,W51,Y51,AA51,AC51,AE51)</f>
        <v>-772481.35999999975</v>
      </c>
      <c r="F51" s="60">
        <f>'TIE-OUT'!F51+RECLASS!F51</f>
        <v>0</v>
      </c>
      <c r="G51" s="38">
        <f>'TIE-OUT'!G51+RECLASS!G51</f>
        <v>0</v>
      </c>
      <c r="H51" s="118">
        <f>+Actuals!E186</f>
        <v>-414881</v>
      </c>
      <c r="I51" s="119">
        <f>+Actuals!F186</f>
        <v>-1759095.44</v>
      </c>
      <c r="J51" s="118">
        <v>81061</v>
      </c>
      <c r="K51" s="119">
        <v>343698.64</v>
      </c>
      <c r="L51" s="118">
        <v>153024</v>
      </c>
      <c r="M51" s="119">
        <v>648821.76000000001</v>
      </c>
      <c r="N51" s="118">
        <v>-1393</v>
      </c>
      <c r="O51" s="119">
        <v>-5906.32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-132798516</v>
      </c>
      <c r="E54" s="38">
        <f>SUM(G54,I54,K54,M54,O54,Q54,S54,U54,W54,Y54,AA54,AC54,AE54)</f>
        <v>-318173.1500000002</v>
      </c>
      <c r="F54" s="64">
        <f>'TIE-OUT'!F54+RECLASS!F54</f>
        <v>0</v>
      </c>
      <c r="G54" s="68">
        <f>'TIE-OUT'!G54+RECLASS!G54</f>
        <v>0</v>
      </c>
      <c r="H54" s="118">
        <f>+Actuals!E187</f>
        <v>-95989840</v>
      </c>
      <c r="I54" s="119">
        <f>+Actuals!F187</f>
        <v>-292275.65000000002</v>
      </c>
      <c r="J54" s="118">
        <v>5001613</v>
      </c>
      <c r="K54" s="119">
        <v>1379985.78</v>
      </c>
      <c r="L54" s="118">
        <v>-14533614</v>
      </c>
      <c r="M54" s="119">
        <v>-1439002.09</v>
      </c>
      <c r="N54" s="118">
        <v>-27276675</v>
      </c>
      <c r="O54" s="119">
        <v>33118.81</v>
      </c>
      <c r="P54" s="118">
        <f>+Actuals!M187</f>
        <v>0</v>
      </c>
      <c r="Q54" s="119">
        <f>+Actuals!N187</f>
        <v>0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-1650765.8199999998</v>
      </c>
      <c r="F55" s="81">
        <f>'TIE-OUT'!F55+RECLASS!F55</f>
        <v>0</v>
      </c>
      <c r="G55" s="82">
        <f>'TIE-OUT'!G55+RECLASS!G55</f>
        <v>0</v>
      </c>
      <c r="H55" s="118">
        <f>+Actuals!E188</f>
        <v>0</v>
      </c>
      <c r="I55" s="119">
        <f>+Actuals!F188</f>
        <v>-1619071.99</v>
      </c>
      <c r="J55" s="118">
        <f>+Actuals!G188</f>
        <v>0</v>
      </c>
      <c r="K55" s="119">
        <v>-1523081.06</v>
      </c>
      <c r="L55" s="118">
        <f>+Actuals!I188</f>
        <v>0</v>
      </c>
      <c r="M55" s="119">
        <v>1491387.23</v>
      </c>
      <c r="N55" s="118">
        <f>+Actuals!K188</f>
        <v>0</v>
      </c>
      <c r="O55" s="119">
        <f>+Actuals!L188</f>
        <v>0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-132798516</v>
      </c>
      <c r="E56" s="39">
        <f t="shared" si="16"/>
        <v>-1968938.97</v>
      </c>
      <c r="F56" s="61">
        <f t="shared" si="16"/>
        <v>0</v>
      </c>
      <c r="G56" s="39">
        <f t="shared" si="16"/>
        <v>0</v>
      </c>
      <c r="H56" s="61">
        <f t="shared" si="16"/>
        <v>-95989840</v>
      </c>
      <c r="I56" s="39">
        <f t="shared" si="16"/>
        <v>-1911347.6400000001</v>
      </c>
      <c r="J56" s="61">
        <f t="shared" ref="J56:AO56" si="17">SUM(J54:J55)</f>
        <v>5001613</v>
      </c>
      <c r="K56" s="39">
        <f t="shared" si="17"/>
        <v>-143095.28000000003</v>
      </c>
      <c r="L56" s="61">
        <f t="shared" si="17"/>
        <v>-14533614</v>
      </c>
      <c r="M56" s="39">
        <f t="shared" si="17"/>
        <v>52385.139999999898</v>
      </c>
      <c r="N56" s="61">
        <f t="shared" si="17"/>
        <v>-27276675</v>
      </c>
      <c r="O56" s="39">
        <f t="shared" si="17"/>
        <v>33118.81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11822013.16</v>
      </c>
      <c r="F70" s="64">
        <f>'TIE-OUT'!F70+RECLASS!F70</f>
        <v>0</v>
      </c>
      <c r="G70" s="68">
        <f>'TIE-OUT'!G70+RECLASS!G70</f>
        <v>11822013.16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-15976611</v>
      </c>
      <c r="F71" s="81">
        <f>'TIE-OUT'!F71+RECLASS!F71</f>
        <v>0</v>
      </c>
      <c r="G71" s="82">
        <f>'TIE-OUT'!G71+RECLASS!G71</f>
        <v>-15976611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-4154597.84</v>
      </c>
      <c r="F72" s="61">
        <f t="shared" si="22"/>
        <v>0</v>
      </c>
      <c r="G72" s="39">
        <f t="shared" si="22"/>
        <v>-4154597.84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6938676.3300000001</v>
      </c>
      <c r="F74" s="60">
        <f>'TIE-OUT'!F74+RECLASS!F74</f>
        <v>0</v>
      </c>
      <c r="G74" s="60">
        <f>'TIE-OUT'!G74+RECLASS!G74</f>
        <v>545813.82999999996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39">
        <v>0</v>
      </c>
      <c r="L74" s="118">
        <f>+Actuals!I196</f>
        <v>0</v>
      </c>
      <c r="M74" s="119">
        <v>4793328</v>
      </c>
      <c r="N74" s="118">
        <f>+Actuals!K196</f>
        <v>0</v>
      </c>
      <c r="O74" s="119">
        <v>1599534.5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172538</v>
      </c>
      <c r="F75" s="60">
        <f>'TIE-OUT'!F75+RECLASS!F75</f>
        <v>0</v>
      </c>
      <c r="G75" s="60">
        <f>'TIE-OUT'!G75+RECLASS!G75</f>
        <v>172538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-3341.06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-3341.06</v>
      </c>
      <c r="J76" s="118">
        <f>+Actuals!G198</f>
        <v>0</v>
      </c>
      <c r="K76" s="119">
        <f>+Actuals!H198</f>
        <v>0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-22500</v>
      </c>
      <c r="F81" s="60">
        <f>'TIE-OUT'!F81+RECLASS!F81</f>
        <v>0</v>
      </c>
      <c r="G81" s="60">
        <f>'TIE-OUT'!G81+RECLASS!G81</f>
        <v>-22500</v>
      </c>
      <c r="H81" s="118">
        <f>+Actuals!E203</f>
        <v>0</v>
      </c>
      <c r="I81" s="119">
        <f>+Actuals!F203</f>
        <v>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4382855.6999998577</v>
      </c>
      <c r="F82" s="91">
        <f>F16+F24+F29+F36+F43+F45+F47+F49</f>
        <v>0</v>
      </c>
      <c r="G82" s="92">
        <f>SUM(G72:G81)+G16+G24+G29+G36+G43+G45+G47+G49+G51+G56+G61+G66</f>
        <v>-7931916.4700000007</v>
      </c>
      <c r="H82" s="91">
        <f>H16+H24+H29+H36+H43+H45+H47+H49</f>
        <v>0</v>
      </c>
      <c r="I82" s="137">
        <f>SUM(I72:I81)+I16+I24+I29+I36+I43+I45+I47+I49+I51+I56+I61+I66</f>
        <v>145788.89000019571</v>
      </c>
      <c r="J82" s="91">
        <f>J16+J24+J29+J36+J43+J45+J47+J49</f>
        <v>0</v>
      </c>
      <c r="K82" s="137">
        <f>SUM(K72:K81)+K16+K24+K29+K36+K43+K45+K47+K49+K51+K56+K61+K66</f>
        <v>1962344.8699999999</v>
      </c>
      <c r="L82" s="91">
        <f>L16+L24+L29+L36+L43+L45+L47+L49</f>
        <v>0</v>
      </c>
      <c r="M82" s="92">
        <f>SUM(M72:M81)+M16+M24+M29+M36+M43+M45+M47+M49+M51+M56+M61+M66</f>
        <v>8697165.2100000009</v>
      </c>
      <c r="N82" s="91">
        <f>N16+N24+N29+N36+N43+N45+N47+N49</f>
        <v>0</v>
      </c>
      <c r="O82" s="92">
        <f>SUM(O72:O81)+O16+O24+O29+O36+O43+O45+O47+O49+O51+O56+O61+O66</f>
        <v>1509473.1999999995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zoomScale="75" workbookViewId="0">
      <pane xSplit="3" ySplit="9" topLeftCell="F77" activePane="bottomRight" state="frozen"/>
      <selection activeCell="N16" sqref="N16"/>
      <selection pane="topRight" activeCell="N16" sqref="N16"/>
      <selection pane="bottomLeft" activeCell="N16" sqref="N16"/>
      <selection pane="bottomRight" activeCell="N16" sqref="N1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  <col min="16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4331175</v>
      </c>
      <c r="E11" s="38">
        <f>SUM(G11,I11,K11,M11,O11,Q11,S11,U11,W11,Y11,AA11,AC11,AE11)</f>
        <v>19737612.209999997</v>
      </c>
      <c r="F11" s="60">
        <f>'TIE-OUT'!AD11+RECLASS!AD11</f>
        <v>0</v>
      </c>
      <c r="G11" s="38">
        <f>'TIE-OUT'!AE11+RECLASS!AE11</f>
        <v>0</v>
      </c>
      <c r="H11" s="118">
        <f>+Actuals!E404</f>
        <v>4331184</v>
      </c>
      <c r="I11" s="118">
        <f>+Actuals!F404</f>
        <v>21463137.079999998</v>
      </c>
      <c r="J11" s="118">
        <v>-9</v>
      </c>
      <c r="K11" s="118">
        <v>-1795716.57</v>
      </c>
      <c r="L11" s="118">
        <f>+Actuals!I404</f>
        <v>0</v>
      </c>
      <c r="M11" s="118">
        <v>70191.7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-918830.1</v>
      </c>
      <c r="F12" s="60">
        <f>'TIE-OUT'!AD12+RECLASS!AD12</f>
        <v>0</v>
      </c>
      <c r="G12" s="38">
        <f>'TIE-OUT'!AE12+RECLASS!AE12</f>
        <v>-579800.1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5">
        <v>0</v>
      </c>
      <c r="L12" s="118">
        <f>+Actuals!I405</f>
        <v>0</v>
      </c>
      <c r="M12" s="118">
        <v>-339030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6364383</v>
      </c>
      <c r="E13" s="38">
        <f t="shared" si="0"/>
        <v>27355816</v>
      </c>
      <c r="F13" s="60">
        <f>'TIE-OUT'!AD13+RECLASS!AD13</f>
        <v>0</v>
      </c>
      <c r="G13" s="38">
        <f>'TIE-OUT'!AE13+RECLASS!AE13</f>
        <v>0</v>
      </c>
      <c r="H13" s="118">
        <f>+Actuals!E406</f>
        <v>6364383</v>
      </c>
      <c r="I13" s="118">
        <f>+Actuals!F406</f>
        <v>27355816</v>
      </c>
      <c r="J13" s="118">
        <f>+Actuals!G406</f>
        <v>0</v>
      </c>
      <c r="K13" s="118">
        <f>+Actuals!H406</f>
        <v>0</v>
      </c>
      <c r="L13" s="118">
        <f>+Actuals!I406</f>
        <v>0</v>
      </c>
      <c r="M13" s="118">
        <f>+Actuals!J406</f>
        <v>0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10695558</v>
      </c>
      <c r="E16" s="39">
        <f t="shared" si="1"/>
        <v>46174598.109999999</v>
      </c>
      <c r="F16" s="61">
        <f t="shared" si="1"/>
        <v>0</v>
      </c>
      <c r="G16" s="39">
        <f t="shared" si="1"/>
        <v>-579800.1</v>
      </c>
      <c r="H16" s="61">
        <f t="shared" si="1"/>
        <v>10695567</v>
      </c>
      <c r="I16" s="61">
        <f t="shared" si="1"/>
        <v>48818953.079999998</v>
      </c>
      <c r="J16" s="61">
        <f t="shared" si="1"/>
        <v>-9</v>
      </c>
      <c r="K16" s="61">
        <f t="shared" si="1"/>
        <v>-1795716.57</v>
      </c>
      <c r="L16" s="61">
        <f t="shared" si="1"/>
        <v>0</v>
      </c>
      <c r="M16" s="61">
        <f t="shared" si="1"/>
        <v>-268838.3</v>
      </c>
      <c r="N16" s="61">
        <f t="shared" si="1"/>
        <v>0</v>
      </c>
      <c r="O16" s="61">
        <f t="shared" si="1"/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-930000</v>
      </c>
      <c r="E19" s="38">
        <f t="shared" si="2"/>
        <v>-4152898.37</v>
      </c>
      <c r="F19" s="64">
        <f>'TIE-OUT'!AD19+RECLASS!AD19</f>
        <v>0</v>
      </c>
      <c r="G19" s="68">
        <f>'TIE-OUT'!AE19+RECLASS!AE19</f>
        <v>0</v>
      </c>
      <c r="H19" s="118">
        <f>+Actuals!E409</f>
        <v>-852000</v>
      </c>
      <c r="I19" s="118">
        <f>+Actuals!F409</f>
        <v>-3137506.64</v>
      </c>
      <c r="J19" s="118">
        <v>-78000</v>
      </c>
      <c r="K19" s="118">
        <v>-465021.36</v>
      </c>
      <c r="L19" s="118">
        <f>+Actuals!I409</f>
        <v>0</v>
      </c>
      <c r="M19" s="118">
        <v>-550370.37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-0.16999999998370185</v>
      </c>
      <c r="F20" s="60">
        <f>'TIE-OUT'!AD20+RECLASS!AD20</f>
        <v>0</v>
      </c>
      <c r="G20" s="38">
        <f>'TIE-OUT'!AE20+RECLASS!AE20</f>
        <v>-339030.17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v>339030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-9883001</v>
      </c>
      <c r="E21" s="38">
        <f t="shared" si="2"/>
        <v>-42798908</v>
      </c>
      <c r="F21" s="60">
        <f>'TIE-OUT'!AD21+RECLASS!AD21</f>
        <v>0</v>
      </c>
      <c r="G21" s="38">
        <f>'TIE-OUT'!AE21+RECLASS!AE21</f>
        <v>0</v>
      </c>
      <c r="H21" s="118">
        <f>+Actuals!E411</f>
        <v>-9883001</v>
      </c>
      <c r="I21" s="118">
        <f>+Actuals!F411</f>
        <v>-42798908</v>
      </c>
      <c r="J21" s="118">
        <f>+Actuals!G411</f>
        <v>0</v>
      </c>
      <c r="K21" s="118">
        <f>+Actuals!H411</f>
        <v>0</v>
      </c>
      <c r="L21" s="118">
        <f>+Actuals!I411</f>
        <v>0</v>
      </c>
      <c r="M21" s="118">
        <f>+Actuals!J411</f>
        <v>0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3069</v>
      </c>
      <c r="E23" s="38">
        <f t="shared" si="2"/>
        <v>13196.7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v>3069</v>
      </c>
      <c r="M23" s="118">
        <v>13196.7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-10809932</v>
      </c>
      <c r="E24" s="39">
        <f t="shared" si="3"/>
        <v>-46938609.839999996</v>
      </c>
      <c r="F24" s="61">
        <f t="shared" si="3"/>
        <v>0</v>
      </c>
      <c r="G24" s="39">
        <f t="shared" si="3"/>
        <v>-339030.17</v>
      </c>
      <c r="H24" s="61">
        <f t="shared" si="3"/>
        <v>-10735001</v>
      </c>
      <c r="I24" s="61">
        <f t="shared" si="3"/>
        <v>-45936414.640000001</v>
      </c>
      <c r="J24" s="61">
        <f t="shared" si="3"/>
        <v>-78000</v>
      </c>
      <c r="K24" s="61">
        <f t="shared" si="3"/>
        <v>-465021.36</v>
      </c>
      <c r="L24" s="61">
        <f t="shared" si="3"/>
        <v>3069</v>
      </c>
      <c r="M24" s="61">
        <f t="shared" si="3"/>
        <v>-198143.66999999998</v>
      </c>
      <c r="N24" s="61">
        <f t="shared" si="3"/>
        <v>0</v>
      </c>
      <c r="O24" s="61">
        <f t="shared" si="3"/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-70191.999999999985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v>70191.77</v>
      </c>
      <c r="L27" s="118">
        <f>+Actuals!I414</f>
        <v>0</v>
      </c>
      <c r="M27" s="118">
        <v>-140383.76999999999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-70191.999999999985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70191.77</v>
      </c>
      <c r="L29" s="61">
        <f t="shared" si="4"/>
        <v>0</v>
      </c>
      <c r="M29" s="61">
        <f t="shared" si="4"/>
        <v>-140383.76999999999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 t="shared" si="9"/>
        <v>0</v>
      </c>
      <c r="O43" s="61">
        <f t="shared" si="9"/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114374</v>
      </c>
      <c r="E49" s="38">
        <f>SUM(G49,I49,K49,M49,O49,Q49,S49,U49,W49,Y49,AA49,AC49,AE49)</f>
        <v>491808.2</v>
      </c>
      <c r="F49" s="60">
        <f>'TIE-OUT'!AD49+RECLASS!AD49</f>
        <v>0</v>
      </c>
      <c r="G49" s="38">
        <f>'TIE-OUT'!AE49+RECLASS!AE49</f>
        <v>0</v>
      </c>
      <c r="H49" s="118">
        <f>+Actuals!E425</f>
        <v>39434</v>
      </c>
      <c r="I49" s="118">
        <f>+Actuals!F425</f>
        <v>169566.2</v>
      </c>
      <c r="J49" s="118">
        <v>78009</v>
      </c>
      <c r="K49" s="118">
        <v>335438.7</v>
      </c>
      <c r="L49" s="118">
        <v>-3069</v>
      </c>
      <c r="M49" s="118">
        <v>-13196.7</v>
      </c>
      <c r="N49" s="118">
        <f>+Actuals!K425</f>
        <v>0</v>
      </c>
      <c r="O49" s="118">
        <f>+Actuals!L425</f>
        <v>0</v>
      </c>
      <c r="P49" s="118">
        <f>+Actuals!M425</f>
        <v>0</v>
      </c>
      <c r="Q49" s="118">
        <f>+Actuals!N425</f>
        <v>0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-3069</v>
      </c>
      <c r="E51" s="38">
        <f>SUM(G51,I51,K51,M51,O51,Q51,S51,U51,W51,Y51,AA51,AC51,AE51)</f>
        <v>-13196.7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v>-3069</v>
      </c>
      <c r="M51" s="118">
        <v>-13196.7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-969157.6099999994</v>
      </c>
      <c r="E54" s="38">
        <f>SUM(G54,I54,K54,M54,O54,Q54,S54,U54,W54,Y54,AA54,AC54,AE54)</f>
        <v>-4236.4699999999721</v>
      </c>
      <c r="F54" s="64">
        <f>'TIE-OUT'!AD54+RECLASS!AD54</f>
        <v>0</v>
      </c>
      <c r="G54" s="68">
        <f>'TIE-OUT'!AE54+RECLASS!AE54</f>
        <v>0</v>
      </c>
      <c r="H54" s="118">
        <f>+Actuals!E427</f>
        <v>-123500</v>
      </c>
      <c r="I54" s="118">
        <f>+Actuals!F427</f>
        <v>-3908.97</v>
      </c>
      <c r="J54" s="118">
        <v>-12095305.609999999</v>
      </c>
      <c r="K54" s="118">
        <v>-658491.46</v>
      </c>
      <c r="L54" s="118">
        <v>11249648</v>
      </c>
      <c r="M54" s="118">
        <v>658163.96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0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-8200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-8200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-969157.6099999994</v>
      </c>
      <c r="E56" s="39">
        <f t="shared" si="10"/>
        <v>-12436.469999999972</v>
      </c>
      <c r="F56" s="61">
        <f t="shared" si="10"/>
        <v>0</v>
      </c>
      <c r="G56" s="39">
        <f t="shared" si="10"/>
        <v>0</v>
      </c>
      <c r="H56" s="61">
        <f t="shared" si="10"/>
        <v>-123500</v>
      </c>
      <c r="I56" s="61">
        <f t="shared" si="10"/>
        <v>-12108.97</v>
      </c>
      <c r="J56" s="61">
        <f t="shared" si="10"/>
        <v>-12095305.609999999</v>
      </c>
      <c r="K56" s="61">
        <f t="shared" si="10"/>
        <v>-658491.46</v>
      </c>
      <c r="L56" s="61">
        <f t="shared" si="10"/>
        <v>11249648</v>
      </c>
      <c r="M56" s="61">
        <f t="shared" si="10"/>
        <v>658163.96</v>
      </c>
      <c r="N56" s="61">
        <f t="shared" si="10"/>
        <v>0</v>
      </c>
      <c r="O56" s="61">
        <f t="shared" si="10"/>
        <v>0</v>
      </c>
      <c r="P56" s="61">
        <f t="shared" si="10"/>
        <v>0</v>
      </c>
      <c r="Q56" s="61">
        <f t="shared" si="10"/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2321551</v>
      </c>
      <c r="F70" s="64">
        <f>'TIE-OUT'!AD70+RECLASS!AD70</f>
        <v>0</v>
      </c>
      <c r="G70" s="68">
        <f>'TIE-OUT'!AE70+RECLASS!AE70</f>
        <v>2321551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-1740930</v>
      </c>
      <c r="F71" s="81">
        <f>'TIE-OUT'!AD71+RECLASS!AD71</f>
        <v>0</v>
      </c>
      <c r="G71" s="82">
        <f>'TIE-OUT'!AE71+RECLASS!AE71</f>
        <v>-1740930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580621</v>
      </c>
      <c r="F72" s="61">
        <f t="shared" si="13"/>
        <v>0</v>
      </c>
      <c r="G72" s="39">
        <f t="shared" si="13"/>
        <v>580621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-527434</v>
      </c>
      <c r="F74" s="60">
        <f>'TIE-OUT'!AD74+RECLASS!AD74</f>
        <v>0</v>
      </c>
      <c r="G74" s="60">
        <f>'TIE-OUT'!AE74+RECLASS!AE74</f>
        <v>3450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v>-530884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215">
        <v>0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-314841.69999999669</v>
      </c>
      <c r="F82" s="91">
        <f>F16+F24+F29+F36+F43+F45+F47+F49</f>
        <v>0</v>
      </c>
      <c r="G82" s="92">
        <f>SUM(G72:G81)+G16+G24+G29+G36+G43+G45+G47+G49+G51+G56+G61+G66</f>
        <v>-334759.26999999996</v>
      </c>
      <c r="H82" s="91">
        <f>H16+H24+H29+H36+H43+H45+H47+H49</f>
        <v>0</v>
      </c>
      <c r="I82" s="92">
        <f>SUM(I72:I81)+I16+I24+I29+I36+I43+I45+I47+I49+I51+I56+I61+I66</f>
        <v>3039995.6699999976</v>
      </c>
      <c r="J82" s="91">
        <f>J16+J24+J29+J36+J43+J45+J47+J49</f>
        <v>0</v>
      </c>
      <c r="K82" s="92">
        <f>SUM(K72:K81)+K16+K24+K29+K36+K43+K45+K47+K49+K51+K56+K61+K66</f>
        <v>-2513598.92</v>
      </c>
      <c r="L82" s="91">
        <f>L16+L24+L29+L36+L43+L45+L47+L49</f>
        <v>0</v>
      </c>
      <c r="M82" s="92">
        <f>SUM(M72:M81)+M16+M24+M29+M36+M43+M45+M47+M49+M51+M56+M61+M66</f>
        <v>-506479.17999999993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topLeftCell="F44" zoomScale="75" workbookViewId="0">
      <selection activeCell="O72" sqref="O7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  <col min="16" max="43" width="15.44140625" hidden="1" customWidth="1"/>
    <col min="44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186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9877555</v>
      </c>
      <c r="E11" s="38">
        <f>SUM(G11,I11,K11,M11,O11,Q11,S11,U11,W11,Y11,AA11,AC11,AE11)</f>
        <v>43678542.75</v>
      </c>
      <c r="F11" s="60">
        <f>'TIE-OUT'!H11+RECLASS!H11</f>
        <v>0</v>
      </c>
      <c r="G11" s="38">
        <f>'TIE-OUT'!I11+RECLASS!I11</f>
        <v>0</v>
      </c>
      <c r="H11" s="118">
        <f>+Actuals!E324</f>
        <v>9877555</v>
      </c>
      <c r="I11" s="119">
        <f>+Actuals!F324</f>
        <v>43678542.969999999</v>
      </c>
      <c r="J11" s="118">
        <f>+Actuals!G324</f>
        <v>0</v>
      </c>
      <c r="K11" s="119">
        <v>-1505214.22</v>
      </c>
      <c r="L11" s="118">
        <f>+Actuals!I324</f>
        <v>0</v>
      </c>
      <c r="M11" s="119">
        <v>1505214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187937.25</v>
      </c>
      <c r="F12" s="60">
        <f>'TIE-OUT'!H12+RECLASS!H12</f>
        <v>0</v>
      </c>
      <c r="G12" s="38">
        <f>'TIE-OUT'!I12+RECLASS!I12</f>
        <v>187937.25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23219168</v>
      </c>
      <c r="E13" s="38">
        <f t="shared" si="0"/>
        <v>102136858</v>
      </c>
      <c r="F13" s="60">
        <f>'TIE-OUT'!H13+RECLASS!H13</f>
        <v>0</v>
      </c>
      <c r="G13" s="38">
        <f>'TIE-OUT'!I13+RECLASS!I13</f>
        <v>0</v>
      </c>
      <c r="H13" s="118">
        <f>+Actuals!E326</f>
        <v>23219168</v>
      </c>
      <c r="I13" s="119">
        <f>+Actuals!F326</f>
        <v>102136858</v>
      </c>
      <c r="J13" s="118">
        <f>+Actuals!G326</f>
        <v>0</v>
      </c>
      <c r="K13" s="119">
        <f>+Actuals!H326</f>
        <v>0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'TIE-OUT'!I14+RECLASS!I14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1477214.2199999997</v>
      </c>
      <c r="F15" s="81">
        <f>'TIE-OUT'!H15+RECLASS!H15</f>
        <v>0</v>
      </c>
      <c r="G15" s="82">
        <f>'TIE-OUT'!I15+RECLASS!I15</f>
        <v>0</v>
      </c>
      <c r="H15" s="118">
        <f>+Actuals!E328</f>
        <v>0</v>
      </c>
      <c r="I15" s="119">
        <f>+Actuals!F328</f>
        <v>1505214.22</v>
      </c>
      <c r="J15" s="118">
        <f>+Actuals!G328</f>
        <v>0</v>
      </c>
      <c r="K15" s="119">
        <v>1477214</v>
      </c>
      <c r="L15" s="118">
        <f>+Actuals!I328</f>
        <v>0</v>
      </c>
      <c r="M15" s="119">
        <v>-1505214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33096723</v>
      </c>
      <c r="E16" s="39">
        <f t="shared" si="1"/>
        <v>147480552.22</v>
      </c>
      <c r="F16" s="61">
        <f t="shared" si="1"/>
        <v>0</v>
      </c>
      <c r="G16" s="39">
        <f t="shared" si="1"/>
        <v>187937.25</v>
      </c>
      <c r="H16" s="61">
        <f t="shared" si="1"/>
        <v>33096723</v>
      </c>
      <c r="I16" s="39">
        <f t="shared" si="1"/>
        <v>147320615.19</v>
      </c>
      <c r="J16" s="61">
        <f t="shared" ref="J16:AO16" si="2">SUM(J11:J15)</f>
        <v>0</v>
      </c>
      <c r="K16" s="39">
        <f t="shared" si="2"/>
        <v>-28000.219999999972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-3522587</v>
      </c>
      <c r="E19" s="38">
        <f t="shared" si="3"/>
        <v>-15122449.799999999</v>
      </c>
      <c r="F19" s="64">
        <f>'TIE-OUT'!H19+RECLASS!H19</f>
        <v>0</v>
      </c>
      <c r="G19" s="68">
        <f>'TIE-OUT'!I19+RECLASS!I19</f>
        <v>0</v>
      </c>
      <c r="H19" s="118">
        <f>+Actuals!E329</f>
        <v>-3522587</v>
      </c>
      <c r="I19" s="119">
        <f>+Actuals!F329</f>
        <v>-15122449.799999999</v>
      </c>
      <c r="J19" s="118">
        <f>+Actuals!G329</f>
        <v>0</v>
      </c>
      <c r="K19" s="119">
        <v>0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147145.57999999999</v>
      </c>
      <c r="F20" s="60">
        <f>'TIE-OUT'!H20+RECLASS!H20</f>
        <v>0</v>
      </c>
      <c r="G20" s="38">
        <f>'TIE-OUT'!I20+RECLASS!I20</f>
        <v>147145.57999999999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214">
        <f>+Actuals!H330</f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-29734470</v>
      </c>
      <c r="E21" s="38">
        <f t="shared" si="3"/>
        <v>-129522006</v>
      </c>
      <c r="F21" s="60">
        <f>'TIE-OUT'!H21+RECLASS!H21</f>
        <v>0</v>
      </c>
      <c r="G21" s="38">
        <f>'TIE-OUT'!I21+RECLASS!I21</f>
        <v>0</v>
      </c>
      <c r="H21" s="118">
        <f>+Actuals!E331</f>
        <v>-29734470</v>
      </c>
      <c r="I21" s="119">
        <f>+Actuals!F331</f>
        <v>-129522006</v>
      </c>
      <c r="J21" s="118">
        <f>+Actuals!G331</f>
        <v>0</v>
      </c>
      <c r="K21" s="119">
        <f>+Actuals!H331</f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'TIE-OUT'!H22+RECLASS!H22</f>
        <v>0</v>
      </c>
      <c r="G22" s="38">
        <f>'TIE-OUT'!I22+RECLASS!I22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151464</v>
      </c>
      <c r="E23" s="38">
        <f t="shared" si="3"/>
        <v>643722</v>
      </c>
      <c r="F23" s="81">
        <f>'TIE-OUT'!H23+RECLASS!H23</f>
        <v>0</v>
      </c>
      <c r="G23" s="82">
        <f>'TIE-OUT'!I23+RECLASS!I23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v>151464</v>
      </c>
      <c r="M23" s="119">
        <v>643722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-33105593</v>
      </c>
      <c r="E24" s="39">
        <f t="shared" si="4"/>
        <v>-143853588.22</v>
      </c>
      <c r="F24" s="61">
        <f t="shared" si="4"/>
        <v>0</v>
      </c>
      <c r="G24" s="39">
        <f t="shared" si="4"/>
        <v>147145.57999999999</v>
      </c>
      <c r="H24" s="61">
        <f t="shared" si="4"/>
        <v>-33257057</v>
      </c>
      <c r="I24" s="39">
        <f t="shared" si="4"/>
        <v>-144644455.80000001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151464</v>
      </c>
      <c r="M24" s="39">
        <f t="shared" si="5"/>
        <v>643722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'TIE-OUT'!H27+RECLASS!H27</f>
        <v>0</v>
      </c>
      <c r="G27" s="68">
        <f>'TIE-OUT'!I27+RECLASS!I27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'TIE-OUT'!H28+RECLASS!H28</f>
        <v>0</v>
      </c>
      <c r="G28" s="82">
        <f>'TIE-OUT'!I28+RECLASS!I28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'TIE-OUT'!H32+RECLASS!H32</f>
        <v>0</v>
      </c>
      <c r="G32" s="68">
        <f>'TIE-OUT'!I32+RECLASS!I32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'TIE-OUT'!H33+RECLASS!H33</f>
        <v>0</v>
      </c>
      <c r="G33" s="38">
        <f>'TIE-OUT'!I33+RECLASS!I33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'TIE-OUT'!H34+RECLASS!H34</f>
        <v>0</v>
      </c>
      <c r="G34" s="38">
        <f>'TIE-OUT'!I34+RECLASS!I34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'TIE-OUT'!H35+RECLASS!H35</f>
        <v>0</v>
      </c>
      <c r="G35" s="82">
        <f>'TIE-OUT'!I35+RECLASS!I35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'TIE-OUT'!H39+RECLASS!H39</f>
        <v>0</v>
      </c>
      <c r="G39" s="68">
        <f>'TIE-OUT'!I39+RECLASS!I39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'TIE-OUT'!H40+RECLASS!H40</f>
        <v>0</v>
      </c>
      <c r="G40" s="38">
        <f>'TIE-OUT'!I40+RECLASS!I40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'TIE-OUT'!H41+RECLASS!H41</f>
        <v>0</v>
      </c>
      <c r="G41" s="82">
        <f>'TIE-OUT'!I41+RECLASS!I41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'TIE-OUT'!H45+RECLASS!H45</f>
        <v>0</v>
      </c>
      <c r="G45" s="68">
        <f>'TIE-OUT'!I45+RECLASS!I45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'TIE-OUT'!H47+RECLASS!H47</f>
        <v>0</v>
      </c>
      <c r="G47" s="38">
        <f>'TIE-OUT'!I47+RECLASS!I47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8870</v>
      </c>
      <c r="E49" s="38">
        <f>SUM(G49,I49,K49,M49,O49,Q49,S49,U49,W49,Y49,AA49,AC49,AE49)</f>
        <v>37697.5</v>
      </c>
      <c r="F49" s="60">
        <f>'TIE-OUT'!H49+RECLASS!H49</f>
        <v>0</v>
      </c>
      <c r="G49" s="38">
        <f>'TIE-OUT'!I49+RECLASS!I49</f>
        <v>0</v>
      </c>
      <c r="H49" s="118">
        <f>+Actuals!E345</f>
        <v>160334</v>
      </c>
      <c r="I49" s="119">
        <f>+Actuals!F345</f>
        <v>681419.5</v>
      </c>
      <c r="J49" s="118">
        <f>+Actuals!G345</f>
        <v>0</v>
      </c>
      <c r="K49" s="119">
        <f>+Actuals!H345</f>
        <v>0</v>
      </c>
      <c r="L49" s="118">
        <v>-151464</v>
      </c>
      <c r="M49" s="119">
        <v>-643722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-151464</v>
      </c>
      <c r="E51" s="38">
        <f>SUM(G51,I51,K51,M51,O51,Q51,S51,U51,W51,Y51,AA51,AC51,AE51)</f>
        <v>-643722</v>
      </c>
      <c r="F51" s="60">
        <f>'TIE-OUT'!H51+RECLASS!H51</f>
        <v>0</v>
      </c>
      <c r="G51" s="38">
        <f>'TIE-OUT'!I51+RECLASS!I51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v>-151464</v>
      </c>
      <c r="M51" s="119">
        <v>-643722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-3153706</v>
      </c>
      <c r="E54" s="38">
        <f>SUM(G54,I54,K54,M54,O54,Q54,S54,U54,W54,Y54,AA54,AC54,AE54)</f>
        <v>-43289.159999999916</v>
      </c>
      <c r="F54" s="64">
        <f>'TIE-OUT'!H54+RECLASS!H54</f>
        <v>0</v>
      </c>
      <c r="G54" s="68">
        <f>'TIE-OUT'!I54+RECLASS!I54</f>
        <v>0</v>
      </c>
      <c r="H54" s="118">
        <f>+Actuals!E347</f>
        <v>-3155829</v>
      </c>
      <c r="I54" s="119">
        <f>+Actuals!F347</f>
        <v>-55270.76</v>
      </c>
      <c r="J54" s="118">
        <v>2123</v>
      </c>
      <c r="K54" s="119">
        <v>1487161.6</v>
      </c>
      <c r="L54" s="118">
        <f>+Actuals!I347</f>
        <v>0</v>
      </c>
      <c r="M54" s="119">
        <v>-1475180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-1470008.87</v>
      </c>
      <c r="F55" s="81">
        <f>'TIE-OUT'!H55+RECLASS!H55</f>
        <v>0</v>
      </c>
      <c r="G55" s="82">
        <f>'TIE-OUT'!I55+RECLASS!I55</f>
        <v>0</v>
      </c>
      <c r="H55" s="118">
        <f>+Actuals!E348</f>
        <v>0</v>
      </c>
      <c r="I55" s="119">
        <f>+Actuals!F348</f>
        <v>-1475180.32</v>
      </c>
      <c r="J55" s="118">
        <f>+Actuals!G348</f>
        <v>0</v>
      </c>
      <c r="K55" s="119">
        <v>-1470008.55</v>
      </c>
      <c r="L55" s="118">
        <f>+Actuals!I348</f>
        <v>0</v>
      </c>
      <c r="M55" s="119">
        <v>1475180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-3153706</v>
      </c>
      <c r="E56" s="39">
        <f t="shared" si="16"/>
        <v>-1513298.03</v>
      </c>
      <c r="F56" s="61">
        <f t="shared" si="16"/>
        <v>0</v>
      </c>
      <c r="G56" s="39">
        <f t="shared" si="16"/>
        <v>0</v>
      </c>
      <c r="H56" s="61">
        <f t="shared" si="16"/>
        <v>-3155829</v>
      </c>
      <c r="I56" s="39">
        <f t="shared" si="16"/>
        <v>-1530451.08</v>
      </c>
      <c r="J56" s="61">
        <f t="shared" ref="J56:AO56" si="17">SUM(J54:J55)</f>
        <v>2123</v>
      </c>
      <c r="K56" s="39">
        <f t="shared" si="17"/>
        <v>17153.050000000047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'TIE-OUT'!H59+RECLASS!H59</f>
        <v>0</v>
      </c>
      <c r="G59" s="68">
        <f>'TIE-OUT'!I59+RECLASS!I59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'TIE-OUT'!H60+RECLASS!H60</f>
        <v>0</v>
      </c>
      <c r="G60" s="82">
        <f>'TIE-OUT'!I60+RECLASS!I60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'TIE-OUT'!H64+RECLASS!H64</f>
        <v>0</v>
      </c>
      <c r="G64" s="68">
        <f>'TIE-OUT'!I64+RECLASS!I64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'TIE-OUT'!H65+RECLASS!H65</f>
        <v>0</v>
      </c>
      <c r="G65" s="82">
        <f>'TIE-OUT'!I65+RECLASS!I65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10119630.18</v>
      </c>
      <c r="F70" s="64">
        <f>'TIE-OUT'!H70+RECLASS!H70</f>
        <v>0</v>
      </c>
      <c r="G70" s="68">
        <f>'TIE-OUT'!I70+RECLASS!I70</f>
        <v>10119630.18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-8459859</v>
      </c>
      <c r="F71" s="81">
        <f>'TIE-OUT'!H71+RECLASS!H71</f>
        <v>0</v>
      </c>
      <c r="G71" s="82">
        <f>'TIE-OUT'!I71+RECLASS!I71</f>
        <v>-8648310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217362-28911</f>
        <v>188451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1659771.1799999997</v>
      </c>
      <c r="F72" s="61">
        <f t="shared" si="22"/>
        <v>0</v>
      </c>
      <c r="G72" s="39">
        <f t="shared" si="22"/>
        <v>1471320.1799999997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188451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'TIE-OUT'!H73+RECLASS!H73</f>
        <v>0</v>
      </c>
      <c r="G73" s="60">
        <f>'TIE-OUT'!I73+RECLASS!I73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-635477.85000000009</v>
      </c>
      <c r="F74" s="60">
        <f>'TIE-OUT'!H74+RECLASS!H74</f>
        <v>0</v>
      </c>
      <c r="G74" s="60">
        <f>'TIE-OUT'!I74+RECLASS!I74</f>
        <v>-1560477.85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v>925000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'TIE-OUT'!H75+RECLASS!H75</f>
        <v>0</v>
      </c>
      <c r="G75" s="60">
        <f>'TIE-OUT'!I75+RECLASS!I75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'TIE-OUT'!H76+RECLASS!H76</f>
        <v>0</v>
      </c>
      <c r="G76" s="60">
        <f>'TIE-OUT'!I76+RECLASS!I76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'TIE-OUT'!H77+RECLASS!H77</f>
        <v>0</v>
      </c>
      <c r="G77" s="60">
        <f>'TIE-OUT'!I77+RECLASS!I77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'TIE-OUT'!H78+RECLASS!H78</f>
        <v>0</v>
      </c>
      <c r="G78" s="60">
        <f>'TIE-OUT'!I78+RECLASS!I78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'TIE-OUT'!H79+RECLASS!H79</f>
        <v>0</v>
      </c>
      <c r="G79" s="60">
        <f>'TIE-OUT'!I79+RECLASS!I79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'TIE-OUT'!H80+RECLASS!H80</f>
        <v>0</v>
      </c>
      <c r="G80" s="60">
        <f>'TIE-OUT'!I80+RECLASS!I80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'TIE-OUT'!H81+RECLASS!H81</f>
        <v>0</v>
      </c>
      <c r="G81" s="60">
        <f>'TIE-OUT'!I81+RECLASS!I81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2531934.8000000129</v>
      </c>
      <c r="F82" s="91">
        <f>F16+F24+F29+F36+F43+F45+F47+F49</f>
        <v>0</v>
      </c>
      <c r="G82" s="92">
        <f>SUM(G72:G81)+G16+G24+G29+G36+G43+G45+G47+G49+G51+G56+G61+G66</f>
        <v>245925.1599999996</v>
      </c>
      <c r="H82" s="91">
        <f>H16+H24+H29+H36+H43+H45+H47+H49</f>
        <v>0</v>
      </c>
      <c r="I82" s="137">
        <f>SUM(I72:I81)+I16+I24+I29+I36+I43+I45+I47+I49+I51+I56+I61+I66</f>
        <v>1827127.8099999856</v>
      </c>
      <c r="J82" s="91">
        <f>J16+J24+J29+J36+J43+J45+J47+J49</f>
        <v>0</v>
      </c>
      <c r="K82" s="137">
        <f>SUM(K72:K81)+K16+K24+K29+K36+K43+K45+K47+K49+K51+K56+K61+K66</f>
        <v>-10847.169999999925</v>
      </c>
      <c r="L82" s="91">
        <f>L16+L24+L29+L36+L43+L45+L47+L49</f>
        <v>0</v>
      </c>
      <c r="M82" s="92">
        <f>SUM(M72:M81)+M16+M24+M29+M36+M43+M45+M47+M49+M51+M56+M61+M66</f>
        <v>281278</v>
      </c>
      <c r="N82" s="91">
        <f>N16+N24+N29+N36+N43+N45+N47+N49</f>
        <v>0</v>
      </c>
      <c r="O82" s="92">
        <f>SUM(O72:O81)+O16+O24+O29+O36+O43+O45+O47+O49+O51+O56+O61+O66</f>
        <v>188451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zoomScale="75" workbookViewId="0">
      <pane xSplit="3" ySplit="9" topLeftCell="J52" activePane="bottomRight" state="frozen"/>
      <selection pane="topRight" activeCell="D1" sqref="D1"/>
      <selection pane="bottomLeft" activeCell="A10" sqref="A10"/>
      <selection pane="bottomRight" activeCell="O80" sqref="O8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  <col min="16" max="43" width="15.44140625" hidden="1" customWidth="1"/>
    <col min="44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222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-1725</v>
      </c>
      <c r="E11" s="38">
        <f>SUM(G11,I11,K11,M11,O11,Q11,S11,U11,W11,Y11,AA11,AC11,AE11)</f>
        <v>-7759.47</v>
      </c>
      <c r="F11" s="60">
        <f>'TIE-OUT'!AF11+RECLASS!AF11</f>
        <v>0</v>
      </c>
      <c r="G11" s="38">
        <f>'TIE-OUT'!AG11+RECLASS!AG11</f>
        <v>0</v>
      </c>
      <c r="H11" s="118">
        <v>0</v>
      </c>
      <c r="I11" s="119">
        <v>0</v>
      </c>
      <c r="J11" s="118">
        <v>-1725</v>
      </c>
      <c r="K11" s="119">
        <v>-7759.47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18">
        <v>0</v>
      </c>
      <c r="I12" s="119">
        <v>0</v>
      </c>
      <c r="J12" s="118">
        <v>0</v>
      </c>
      <c r="K12" s="119"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'TIE-OUT'!AF13+RECLASS!AF13</f>
        <v>0</v>
      </c>
      <c r="G13" s="38">
        <f>'TIE-OUT'!AG13+RECLASS!AG13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'TIE-OUT'!AF15+RECLASS!AF15</f>
        <v>0</v>
      </c>
      <c r="G15" s="82">
        <f>'TIE-OUT'!AG15+RECLASS!AG15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-1725</v>
      </c>
      <c r="E16" s="39">
        <f t="shared" si="1"/>
        <v>-7759.47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>SUM(J11:J15)</f>
        <v>-1725</v>
      </c>
      <c r="K16" s="39">
        <f>SUM(K11:K15)</f>
        <v>-7759.47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'TIE-OUT'!AF19+RECLASS!AF19</f>
        <v>0</v>
      </c>
      <c r="G19" s="68">
        <f>'TIE-OUT'!AG19+RECLASS!AG19</f>
        <v>0</v>
      </c>
      <c r="H19" s="118">
        <v>0</v>
      </c>
      <c r="I19" s="119">
        <v>0</v>
      </c>
      <c r="J19" s="118">
        <v>0</v>
      </c>
      <c r="K19" s="119">
        <f>-4534+4534</f>
        <v>0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'TIE-OUT'!AF20+RECLASS!AF20</f>
        <v>0</v>
      </c>
      <c r="G20" s="38">
        <f>'TIE-OUT'!AG20+RECLASS!AG20</f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'TIE-OUT'!AF21+RECLASS!AF21</f>
        <v>0</v>
      </c>
      <c r="G21" s="38">
        <f>'TIE-OUT'!AG21+RECLASS!AG21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'TIE-OUT'!AF22+RECLASS!AF22</f>
        <v>0</v>
      </c>
      <c r="G22" s="38">
        <f>'TIE-OUT'!AG22+RECLASS!AG22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'TIE-OUT'!AF23+RECLASS!AF23</f>
        <v>0</v>
      </c>
      <c r="G23" s="82">
        <f>'TIE-OUT'!AG23+RECLASS!AG23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>SUM(J19:J23)</f>
        <v>0</v>
      </c>
      <c r="K24" s="39">
        <f>SUM(K19:K23)</f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39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'TIE-OUT'!AF32+RECLASS!AF32</f>
        <v>0</v>
      </c>
      <c r="G32" s="68">
        <f>'TIE-OUT'!AG32+RECLASS!AG32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'TIE-OUT'!AF33+RECLASS!AF33</f>
        <v>0</v>
      </c>
      <c r="G33" s="38">
        <f>'TIE-OUT'!AG33+RECLASS!AG33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'TIE-OUT'!AF34+RECLASS!AF34</f>
        <v>0</v>
      </c>
      <c r="G34" s="38">
        <f>'TIE-OUT'!AG34+RECLASS!AG34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'TIE-OUT'!AF35+RECLASS!AF35</f>
        <v>0</v>
      </c>
      <c r="G35" s="82">
        <f>'TIE-OUT'!AG35+RECLASS!AG35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>SUM(J32:J35)</f>
        <v>0</v>
      </c>
      <c r="K36" s="39">
        <f>SUM(K32:K35)</f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'TIE-OUT'!AF39+RECLASS!AF39</f>
        <v>0</v>
      </c>
      <c r="G39" s="68">
        <f>'TIE-OUT'!AG39+RECLASS!AG39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'TIE-OUT'!AF40+RECLASS!AF40</f>
        <v>0</v>
      </c>
      <c r="G40" s="38">
        <f>'TIE-OUT'!AG40+RECLASS!AG40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'TIE-OUT'!AF41+RECLASS!AF41</f>
        <v>0</v>
      </c>
      <c r="G41" s="82">
        <f>'TIE-OUT'!AG41+RECLASS!AG41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>SUM(J40:J41)</f>
        <v>0</v>
      </c>
      <c r="K42" s="39">
        <f>SUM(K40:K41)</f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>J42+J39</f>
        <v>0</v>
      </c>
      <c r="K43" s="39">
        <f>K42+K39</f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1725</v>
      </c>
      <c r="E49" s="38">
        <f>SUM(G49,I49,K49,M49,O49,Q49,S49,U49,W49,Y49,AA49,AC49,AE49)</f>
        <v>-52444.5</v>
      </c>
      <c r="F49" s="60">
        <f>'TIE-OUT'!AF49+RECLASS!AF49</f>
        <v>0</v>
      </c>
      <c r="G49" s="38">
        <f>'TIE-OUT'!AG49+RECLASS!AG49</f>
        <v>0</v>
      </c>
      <c r="H49" s="118">
        <v>0</v>
      </c>
      <c r="I49" s="119">
        <v>0</v>
      </c>
      <c r="J49" s="118">
        <v>1725</v>
      </c>
      <c r="K49" s="119">
        <v>7555.5</v>
      </c>
      <c r="L49" s="118">
        <f>+Actuals!I345</f>
        <v>0</v>
      </c>
      <c r="M49" s="119">
        <f>+Actuals!J345</f>
        <v>0</v>
      </c>
      <c r="N49" s="118">
        <f>+Actuals!K345</f>
        <v>0</v>
      </c>
      <c r="O49" s="119">
        <v>-60000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'TIE-OUT'!AF54+RECLASS!AF54</f>
        <v>0</v>
      </c>
      <c r="G54" s="68">
        <f>'TIE-OUT'!AG54+RECLASS!AG54</f>
        <v>0</v>
      </c>
      <c r="H54" s="118">
        <v>0</v>
      </c>
      <c r="I54" s="119">
        <v>0</v>
      </c>
      <c r="J54" s="118">
        <v>0</v>
      </c>
      <c r="K54" s="119">
        <v>0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'TIE-OUT'!AF55+RECLASS!AF55</f>
        <v>0</v>
      </c>
      <c r="G55" s="82">
        <f>'TIE-OUT'!AG55+RECLASS!AG55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39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39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39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'TIE-OUT'!AF70+RECLASS!AF70</f>
        <v>0</v>
      </c>
      <c r="G70" s="68">
        <f>'TIE-OUT'!AG70+RECLASS!AG70</f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'TIE-OUT'!AF71+RECLASS!AF71</f>
        <v>0</v>
      </c>
      <c r="G71" s="82">
        <f>'TIE-OUT'!AG71+RECLASS!AG71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>SUM(J70:J71)</f>
        <v>0</v>
      </c>
      <c r="K72" s="39">
        <f>SUM(K70:K71)</f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'TIE-OUT'!AF73+RECLASS!AF73</f>
        <v>0</v>
      </c>
      <c r="G73" s="60">
        <f>'TIE-OUT'!AG73+RECLASS!AG73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'TIE-OUT'!AF74+RECLASS!AF74</f>
        <v>0</v>
      </c>
      <c r="G74" s="60">
        <f>'TIE-OUT'!AG74+RECLASS!AG74</f>
        <v>0</v>
      </c>
      <c r="H74" s="118">
        <v>0</v>
      </c>
      <c r="I74" s="119">
        <v>0</v>
      </c>
      <c r="J74" s="118">
        <v>0</v>
      </c>
      <c r="K74" s="119"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'TIE-OUT'!AF75+RECLASS!AF75</f>
        <v>0</v>
      </c>
      <c r="G75" s="60">
        <f>'TIE-OUT'!AG75+RECLASS!AG75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'TIE-OUT'!AF76+RECLASS!AF76</f>
        <v>0</v>
      </c>
      <c r="G76" s="60">
        <f>'TIE-OUT'!AG76+RECLASS!AG76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'TIE-OUT'!AF77+RECLASS!AF77</f>
        <v>0</v>
      </c>
      <c r="G77" s="60">
        <f>'TIE-OUT'!AG77+RECLASS!AG77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'TIE-OUT'!AF78+RECLASS!AF78</f>
        <v>0</v>
      </c>
      <c r="G78" s="60">
        <f>'TIE-OUT'!AG78+RECLASS!AG78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'TIE-OUT'!AF79+RECLASS!AF79</f>
        <v>0</v>
      </c>
      <c r="G79" s="60">
        <f>'TIE-OUT'!AG79+RECLASS!AG79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-3200780</v>
      </c>
      <c r="F80" s="60">
        <f>'TIE-OUT'!AF80+RECLASS!AF80</f>
        <v>0</v>
      </c>
      <c r="G80" s="60">
        <f>'TIE-OUT'!AG80+RECLASS!AG80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v>-3200780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3949983.8000000003</v>
      </c>
      <c r="F81" s="60">
        <f>'TIE-OUT'!AF81+RECLASS!AF81</f>
        <v>0</v>
      </c>
      <c r="G81" s="60">
        <f>'TIE-OUT'!AG81+RECLASS!AG81</f>
        <v>0</v>
      </c>
      <c r="H81" s="118">
        <v>0</v>
      </c>
      <c r="I81" s="119">
        <f>687716-687716+685505.56</f>
        <v>685505.56</v>
      </c>
      <c r="J81" s="118">
        <v>0</v>
      </c>
      <c r="K81" s="119"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v>3264478.24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688999.83000000031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137">
        <f>SUM(I72:I81)+I16+I24+I29+I36+I43+I45+I47+I49+I51+I56+I61+I66</f>
        <v>685505.56</v>
      </c>
      <c r="J82" s="91">
        <f>J16+J24+J29+J36+J43+J45+J47+J49</f>
        <v>0</v>
      </c>
      <c r="K82" s="137">
        <f>SUM(K72:K81)+K16+K24+K29+K36+K43+K45+K47+K49+K51+K56+K61+K66</f>
        <v>-203.97000000000025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3698.2400000002235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H30" activePane="bottomRight" state="frozen"/>
      <selection activeCell="N16" sqref="N16"/>
      <selection pane="topRight" activeCell="N16" sqref="N16"/>
      <selection pane="bottomLeft" activeCell="N16" sqref="N16"/>
      <selection pane="bottomRight" activeCell="N37" sqref="N3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5" width="15.44140625" customWidth="1"/>
    <col min="16" max="41" width="15.44140625" hidden="1" customWidth="1"/>
    <col min="42" max="42" width="9.109375" hidden="1" customWidth="1"/>
    <col min="43" max="43" width="10.5546875" hidden="1" customWidth="1"/>
    <col min="44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100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157990573</v>
      </c>
      <c r="E11" s="38">
        <f>SUM(G11,I11,K11,M11,O11,Q11,S11,U11,W11,Y11,AA11,AC11,AE11)</f>
        <v>662241506.25999987</v>
      </c>
      <c r="F11" s="60">
        <f>'TIE-OUT'!J11+RECLASS!H11</f>
        <v>0</v>
      </c>
      <c r="G11" s="38">
        <f>'TIE-OUT'!K11+RECLASS!I11</f>
        <v>0</v>
      </c>
      <c r="H11" s="118">
        <f>+Actuals!E244</f>
        <v>158135451</v>
      </c>
      <c r="I11" s="119">
        <f>+Actuals!F244</f>
        <v>677982083.13999999</v>
      </c>
      <c r="J11" s="118">
        <v>-182977</v>
      </c>
      <c r="K11" s="119">
        <v>-1674533.73</v>
      </c>
      <c r="L11" s="118">
        <v>38099</v>
      </c>
      <c r="M11" s="119">
        <v>-14062752.689999999</v>
      </c>
      <c r="N11" s="118">
        <f>+Actuals!K244</f>
        <v>0</v>
      </c>
      <c r="O11" s="119">
        <v>-3290.46</v>
      </c>
      <c r="P11" s="118">
        <f>+Actuals!M244</f>
        <v>0</v>
      </c>
      <c r="Q11" s="119">
        <f>+Actuals!N244</f>
        <v>0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20325826.789999999</v>
      </c>
      <c r="F12" s="60">
        <f>'TIE-OUT'!J12+RECLASS!H12</f>
        <v>0</v>
      </c>
      <c r="G12" s="38">
        <f>'TIE-OUT'!K12+RECLASS!I12</f>
        <v>20325826.789999999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4">
        <v>0</v>
      </c>
      <c r="L12" s="118">
        <f>+Actuals!I245</f>
        <v>0</v>
      </c>
      <c r="M12" s="119">
        <f>+Actuals!J245</f>
        <v>0</v>
      </c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98199788</v>
      </c>
      <c r="E13" s="38">
        <f t="shared" si="0"/>
        <v>425874002</v>
      </c>
      <c r="F13" s="60">
        <f>'TIE-OUT'!J13+RECLASS!H13</f>
        <v>0</v>
      </c>
      <c r="G13" s="38">
        <f>'TIE-OUT'!K13+RECLASS!I13</f>
        <v>0</v>
      </c>
      <c r="H13" s="118">
        <f>+Actuals!E246</f>
        <v>98199788</v>
      </c>
      <c r="I13" s="119">
        <f>+Actuals!F246</f>
        <v>425874002</v>
      </c>
      <c r="J13" s="118">
        <f>+Actuals!G246</f>
        <v>0</v>
      </c>
      <c r="K13" s="119">
        <f>+Actuals!H246</f>
        <v>0</v>
      </c>
      <c r="L13" s="118">
        <f>+Actuals!I246</f>
        <v>0</v>
      </c>
      <c r="M13" s="119">
        <f>+Actuals!J246</f>
        <v>0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4853957.24</v>
      </c>
      <c r="F15" s="81">
        <f>'TIE-OUT'!J15+RECLASS!H15</f>
        <v>0</v>
      </c>
      <c r="G15" s="82">
        <f>'TIE-OUT'!K15+RECLASS!I15</f>
        <v>0</v>
      </c>
      <c r="H15" s="118">
        <f>+Actuals!E248</f>
        <v>0</v>
      </c>
      <c r="I15" s="119">
        <f>+Actuals!F248</f>
        <v>1694730.88</v>
      </c>
      <c r="J15" s="118">
        <f>+Actuals!G248</f>
        <v>0</v>
      </c>
      <c r="K15" s="119">
        <v>1831527.13</v>
      </c>
      <c r="L15" s="118">
        <f>+Actuals!I248</f>
        <v>0</v>
      </c>
      <c r="M15" s="119">
        <v>797763.29</v>
      </c>
      <c r="N15" s="118">
        <f>+Actuals!K248</f>
        <v>0</v>
      </c>
      <c r="O15" s="119">
        <v>529935.93999999994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256190361</v>
      </c>
      <c r="E16" s="39">
        <f t="shared" si="1"/>
        <v>1113295292.2899997</v>
      </c>
      <c r="F16" s="61">
        <f t="shared" si="1"/>
        <v>0</v>
      </c>
      <c r="G16" s="39">
        <f t="shared" si="1"/>
        <v>20325826.789999999</v>
      </c>
      <c r="H16" s="61">
        <f t="shared" si="1"/>
        <v>256335239</v>
      </c>
      <c r="I16" s="39">
        <f t="shared" si="1"/>
        <v>1105550816.02</v>
      </c>
      <c r="J16" s="61">
        <f t="shared" ref="J16:AO16" si="2">SUM(J11:J15)</f>
        <v>-182977</v>
      </c>
      <c r="K16" s="39">
        <f t="shared" si="2"/>
        <v>156993.39999999991</v>
      </c>
      <c r="L16" s="61">
        <f t="shared" si="2"/>
        <v>38099</v>
      </c>
      <c r="M16" s="39">
        <f t="shared" si="2"/>
        <v>-13264989.399999999</v>
      </c>
      <c r="N16" s="61">
        <f t="shared" si="2"/>
        <v>0</v>
      </c>
      <c r="O16" s="39">
        <f t="shared" si="2"/>
        <v>526645.48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-170771873</v>
      </c>
      <c r="E19" s="38">
        <f t="shared" si="3"/>
        <v>-719038282.99000013</v>
      </c>
      <c r="F19" s="64">
        <f>'TIE-OUT'!J19+RECLASS!H19</f>
        <v>0</v>
      </c>
      <c r="G19" s="68">
        <f>'TIE-OUT'!K19+RECLASS!I19</f>
        <v>0</v>
      </c>
      <c r="H19" s="118">
        <f>+Actuals!E249</f>
        <v>-164921265</v>
      </c>
      <c r="I19" s="119">
        <f>+Actuals!F249</f>
        <v>-697288081.51000011</v>
      </c>
      <c r="J19" s="118">
        <f>-5017838+289011</f>
        <v>-4728827</v>
      </c>
      <c r="K19" s="119">
        <f>-27977455.03+1240724</f>
        <v>-26736731.030000001</v>
      </c>
      <c r="L19" s="118">
        <v>-1772015</v>
      </c>
      <c r="M19" s="119">
        <v>4628221.37</v>
      </c>
      <c r="N19" s="118">
        <v>650234</v>
      </c>
      <c r="O19" s="119">
        <v>358308.18</v>
      </c>
      <c r="P19" s="118">
        <f>+Actuals!M249</f>
        <v>0</v>
      </c>
      <c r="Q19" s="119">
        <f>+Actuals!N249</f>
        <v>0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-31658710.870000001</v>
      </c>
      <c r="F20" s="60">
        <f>'TIE-OUT'!J20+RECLASS!H20</f>
        <v>0</v>
      </c>
      <c r="G20" s="38">
        <f>'TIE-OUT'!K20+RECLASS!I20</f>
        <v>-31658710.870000001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4">
        <v>0</v>
      </c>
      <c r="L20" s="118">
        <f>+Actuals!I250</f>
        <v>0</v>
      </c>
      <c r="M20" s="119">
        <f>+Actuals!J250</f>
        <v>0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-92207938</v>
      </c>
      <c r="E21" s="38">
        <f t="shared" si="3"/>
        <v>-398424782</v>
      </c>
      <c r="F21" s="60">
        <f>'TIE-OUT'!J21+RECLASS!H21</f>
        <v>0</v>
      </c>
      <c r="G21" s="38">
        <f>'TIE-OUT'!K21+RECLASS!I21</f>
        <v>0</v>
      </c>
      <c r="H21" s="118">
        <f>+Actuals!E251</f>
        <v>-92207938</v>
      </c>
      <c r="I21" s="119">
        <f>+Actuals!F251</f>
        <v>-398424782</v>
      </c>
      <c r="J21" s="118">
        <f>+Actuals!G251</f>
        <v>0</v>
      </c>
      <c r="K21" s="119">
        <f>+Actuals!H251</f>
        <v>0</v>
      </c>
      <c r="L21" s="118">
        <f>+Actuals!I251</f>
        <v>0</v>
      </c>
      <c r="M21" s="119">
        <f>+Actuals!J251</f>
        <v>0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794469</v>
      </c>
      <c r="E23" s="38">
        <f t="shared" si="3"/>
        <v>3410655.4210000006</v>
      </c>
      <c r="F23" s="81">
        <f>'TIE-OUT'!J23+RECLASS!H23</f>
        <v>0</v>
      </c>
      <c r="G23" s="82">
        <f>'TIE-OUT'!K23+RECLASS!I23</f>
        <v>0</v>
      </c>
      <c r="H23" s="118">
        <f>+Actuals!E253</f>
        <v>1084187</v>
      </c>
      <c r="I23" s="119">
        <f>+Actuals!F253</f>
        <v>4654414.7910000002</v>
      </c>
      <c r="J23" s="118">
        <v>-289011</v>
      </c>
      <c r="K23" s="119">
        <v>-1240724.22</v>
      </c>
      <c r="L23" s="118">
        <v>-6792</v>
      </c>
      <c r="M23" s="119">
        <v>-29158.06</v>
      </c>
      <c r="N23" s="118">
        <v>6085</v>
      </c>
      <c r="O23" s="119">
        <v>26122.91</v>
      </c>
      <c r="P23" s="118">
        <f>+Actuals!M253</f>
        <v>0</v>
      </c>
      <c r="Q23" s="119">
        <f>+Actuals!N253</f>
        <v>0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-262185342</v>
      </c>
      <c r="E24" s="39">
        <f t="shared" si="4"/>
        <v>-1145711120.4390001</v>
      </c>
      <c r="F24" s="61">
        <f t="shared" si="4"/>
        <v>0</v>
      </c>
      <c r="G24" s="39">
        <f t="shared" si="4"/>
        <v>-31658710.870000001</v>
      </c>
      <c r="H24" s="61">
        <f t="shared" si="4"/>
        <v>-256045016</v>
      </c>
      <c r="I24" s="39">
        <f t="shared" si="4"/>
        <v>-1091058448.7190003</v>
      </c>
      <c r="J24" s="61">
        <f t="shared" ref="J24:AO24" si="5">SUM(J19:J23)</f>
        <v>-5017838</v>
      </c>
      <c r="K24" s="39">
        <f t="shared" si="5"/>
        <v>-27977455.25</v>
      </c>
      <c r="L24" s="61">
        <f t="shared" si="5"/>
        <v>-1778807</v>
      </c>
      <c r="M24" s="39">
        <f t="shared" si="5"/>
        <v>4599063.3100000005</v>
      </c>
      <c r="N24" s="61">
        <f t="shared" si="5"/>
        <v>656319</v>
      </c>
      <c r="O24" s="39">
        <f t="shared" si="5"/>
        <v>384431.08999999997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139825</v>
      </c>
      <c r="E27" s="38">
        <f>SUM(G27,I27,K27,M27,O27,Q27,S27,U27,W27,Y27,AA27,AC27,AE27)</f>
        <v>578895.73</v>
      </c>
      <c r="F27" s="64">
        <f>'TIE-OUT'!J27+RECLASS!H27</f>
        <v>0</v>
      </c>
      <c r="G27" s="68">
        <f>'TIE-OUT'!K27+RECLASS!I27</f>
        <v>0</v>
      </c>
      <c r="H27" s="118">
        <f>+Actuals!E254</f>
        <v>140099</v>
      </c>
      <c r="I27" s="119">
        <f>+Actuals!F254</f>
        <v>579768.34</v>
      </c>
      <c r="J27" s="118">
        <v>-274</v>
      </c>
      <c r="K27" s="119">
        <v>-872.61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-89332</v>
      </c>
      <c r="E28" s="38">
        <f>SUM(G28,I28,K28,M28,O28,Q28,S28,U28,W28,Y28,AA28,AC28,AE28)</f>
        <v>-369479.04</v>
      </c>
      <c r="F28" s="81">
        <f>'TIE-OUT'!J28+RECLASS!H28</f>
        <v>0</v>
      </c>
      <c r="G28" s="82">
        <f>'TIE-OUT'!K28+RECLASS!I28</f>
        <v>0</v>
      </c>
      <c r="H28" s="118">
        <f>+Actuals!E255</f>
        <v>-89332</v>
      </c>
      <c r="I28" s="119">
        <f>+Actuals!F255</f>
        <v>-369479.04</v>
      </c>
      <c r="J28" s="118">
        <f>+Actuals!G255</f>
        <v>0</v>
      </c>
      <c r="K28" s="119">
        <f>+Actuals!H255</f>
        <v>0</v>
      </c>
      <c r="L28" s="118">
        <f>+Actuals!I255</f>
        <v>0</v>
      </c>
      <c r="M28" s="119">
        <f>+Actuals!J255</f>
        <v>0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50493</v>
      </c>
      <c r="E29" s="39">
        <f t="shared" si="6"/>
        <v>209416.69</v>
      </c>
      <c r="F29" s="61">
        <f t="shared" si="6"/>
        <v>0</v>
      </c>
      <c r="G29" s="39">
        <f t="shared" si="6"/>
        <v>0</v>
      </c>
      <c r="H29" s="61">
        <f t="shared" si="6"/>
        <v>50767</v>
      </c>
      <c r="I29" s="39">
        <f t="shared" si="6"/>
        <v>210289.3</v>
      </c>
      <c r="J29" s="61">
        <f t="shared" ref="J29:AO29" si="7">SUM(J27:J28)</f>
        <v>-274</v>
      </c>
      <c r="K29" s="39">
        <f t="shared" si="7"/>
        <v>-872.61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-1193931</v>
      </c>
      <c r="E32" s="38">
        <f t="shared" si="8"/>
        <v>-5125414.9930000007</v>
      </c>
      <c r="F32" s="64">
        <f>'TIE-OUT'!J32+RECLASS!H32</f>
        <v>0</v>
      </c>
      <c r="G32" s="68">
        <f>'TIE-OUT'!K32+RECLASS!I32</f>
        <v>0</v>
      </c>
      <c r="H32" s="118">
        <f>+Actuals!E256</f>
        <v>-248481</v>
      </c>
      <c r="I32" s="119">
        <f>+Actuals!F256</f>
        <v>-1066728.933</v>
      </c>
      <c r="J32" s="118">
        <v>-1450908</v>
      </c>
      <c r="K32" s="119">
        <v>-6228748.04</v>
      </c>
      <c r="L32" s="118">
        <v>1140478</v>
      </c>
      <c r="M32" s="119">
        <v>4896072.05</v>
      </c>
      <c r="N32" s="118">
        <v>-635020</v>
      </c>
      <c r="O32" s="119">
        <v>-2726010.07</v>
      </c>
      <c r="P32" s="118">
        <f>+Actuals!M256</f>
        <v>0</v>
      </c>
      <c r="Q32" s="119">
        <f>+Actuals!N256</f>
        <v>0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-377965</v>
      </c>
      <c r="E33" s="38">
        <f t="shared" si="8"/>
        <v>-1489667.72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v>-200882</v>
      </c>
      <c r="K33" s="119">
        <v>-764665.59</v>
      </c>
      <c r="L33" s="118">
        <v>-107656</v>
      </c>
      <c r="M33" s="119">
        <v>-426182.05</v>
      </c>
      <c r="N33" s="118">
        <v>-69427</v>
      </c>
      <c r="O33" s="119">
        <v>-298820.08</v>
      </c>
      <c r="P33" s="118">
        <f>+Actuals!M257</f>
        <v>0</v>
      </c>
      <c r="Q33" s="119">
        <f>+Actuals!N257</f>
        <v>0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462391</v>
      </c>
      <c r="E34" s="38">
        <f t="shared" si="8"/>
        <v>1779892.4100000001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v>182394</v>
      </c>
      <c r="K34" s="119">
        <v>656556.69999999995</v>
      </c>
      <c r="L34" s="118">
        <v>120476</v>
      </c>
      <c r="M34" s="119">
        <v>462428.09</v>
      </c>
      <c r="N34" s="118">
        <v>159521</v>
      </c>
      <c r="O34" s="119">
        <v>660907.62</v>
      </c>
      <c r="P34" s="118">
        <f>+Actuals!M258</f>
        <v>0</v>
      </c>
      <c r="Q34" s="119">
        <f>+Actuals!N258</f>
        <v>0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778347</v>
      </c>
      <c r="E35" s="38">
        <f t="shared" si="8"/>
        <v>2223440.09</v>
      </c>
      <c r="F35" s="81">
        <f>'TIE-OUT'!J35+RECLASS!H35</f>
        <v>0</v>
      </c>
      <c r="G35" s="82">
        <f>'TIE-OUT'!K35+RECLASS!I35</f>
        <v>0</v>
      </c>
      <c r="H35" s="118">
        <f>+Actuals!E259</f>
        <v>0</v>
      </c>
      <c r="I35" s="119">
        <f>+Actuals!F259</f>
        <v>0</v>
      </c>
      <c r="J35" s="118">
        <v>-62010</v>
      </c>
      <c r="K35" s="119">
        <f>+Actuals!H259</f>
        <v>0</v>
      </c>
      <c r="L35" s="118">
        <v>62000</v>
      </c>
      <c r="M35" s="119">
        <v>3589300.04</v>
      </c>
      <c r="N35" s="118">
        <f>365+777992</f>
        <v>778357</v>
      </c>
      <c r="O35" s="119">
        <v>-1365859.95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-331158</v>
      </c>
      <c r="E36" s="39">
        <f t="shared" si="9"/>
        <v>-2611750.2130000005</v>
      </c>
      <c r="F36" s="61">
        <f t="shared" si="9"/>
        <v>0</v>
      </c>
      <c r="G36" s="39">
        <f t="shared" si="9"/>
        <v>0</v>
      </c>
      <c r="H36" s="61">
        <f t="shared" si="9"/>
        <v>-248481</v>
      </c>
      <c r="I36" s="39">
        <f t="shared" si="9"/>
        <v>-1066728.933</v>
      </c>
      <c r="J36" s="61">
        <f t="shared" ref="J36:AO36" si="10">SUM(J32:J35)</f>
        <v>-1531406</v>
      </c>
      <c r="K36" s="39">
        <f t="shared" si="10"/>
        <v>-6336856.9299999997</v>
      </c>
      <c r="L36" s="61">
        <f t="shared" si="10"/>
        <v>1215298</v>
      </c>
      <c r="M36" s="39">
        <f t="shared" si="10"/>
        <v>8521618.129999999</v>
      </c>
      <c r="N36" s="61">
        <f t="shared" si="10"/>
        <v>233431</v>
      </c>
      <c r="O36" s="39">
        <f t="shared" si="10"/>
        <v>-3729782.4799999995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2505480</v>
      </c>
      <c r="E39" s="38">
        <f t="shared" si="11"/>
        <v>9351594.2799999993</v>
      </c>
      <c r="F39" s="64">
        <f>'TIE-OUT'!J39+RECLASS!H39</f>
        <v>0</v>
      </c>
      <c r="G39" s="68">
        <f>'TIE-OUT'!K39+RECLASS!I39</f>
        <v>0</v>
      </c>
      <c r="H39" s="118">
        <f>+Actuals!E260</f>
        <v>1566417</v>
      </c>
      <c r="I39" s="119">
        <f>+Actuals!F260</f>
        <v>2045215.29</v>
      </c>
      <c r="J39" s="118">
        <v>935993</v>
      </c>
      <c r="K39" s="119">
        <v>2612820.67</v>
      </c>
      <c r="L39" s="118">
        <v>-840</v>
      </c>
      <c r="M39" s="119">
        <v>-2640.24</v>
      </c>
      <c r="N39" s="118">
        <f>1093920-1090010</f>
        <v>3910</v>
      </c>
      <c r="O39" s="119">
        <v>4696198.5599999996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-1164897</v>
      </c>
      <c r="E40" s="38">
        <f t="shared" si="11"/>
        <v>-5387268.0200000005</v>
      </c>
      <c r="F40" s="60">
        <f>'TIE-OUT'!J40+RECLASS!H40</f>
        <v>0</v>
      </c>
      <c r="G40" s="38">
        <f>'TIE-OUT'!K40+RECLASS!I40</f>
        <v>0</v>
      </c>
      <c r="H40" s="118">
        <f>+Actuals!E261</f>
        <v>-313104</v>
      </c>
      <c r="I40" s="119">
        <f>+Actuals!F261</f>
        <v>-493435.94</v>
      </c>
      <c r="J40" s="118">
        <v>661</v>
      </c>
      <c r="K40" s="119">
        <v>5266.57</v>
      </c>
      <c r="L40" s="118">
        <f>+Actuals!I261</f>
        <v>0</v>
      </c>
      <c r="M40" s="119">
        <f>+Actuals!J261</f>
        <v>0</v>
      </c>
      <c r="N40" s="118">
        <f>-1164472+312018</f>
        <v>-852454</v>
      </c>
      <c r="O40" s="119">
        <v>-4899098.6500000004</v>
      </c>
      <c r="P40" s="118">
        <f>+Actuals!M261</f>
        <v>0</v>
      </c>
      <c r="Q40" s="119">
        <f>+Actuals!N261</f>
        <v>0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-1164897</v>
      </c>
      <c r="E42" s="39">
        <f t="shared" si="12"/>
        <v>-5387268.0200000005</v>
      </c>
      <c r="F42" s="61">
        <f t="shared" si="12"/>
        <v>0</v>
      </c>
      <c r="G42" s="39">
        <f t="shared" si="12"/>
        <v>0</v>
      </c>
      <c r="H42" s="61">
        <f t="shared" si="12"/>
        <v>-313104</v>
      </c>
      <c r="I42" s="39">
        <f t="shared" si="12"/>
        <v>-493435.94</v>
      </c>
      <c r="J42" s="61">
        <f t="shared" ref="J42:AO42" si="13">SUM(J40:J41)</f>
        <v>661</v>
      </c>
      <c r="K42" s="39">
        <f t="shared" si="13"/>
        <v>5266.57</v>
      </c>
      <c r="L42" s="61">
        <f t="shared" si="13"/>
        <v>0</v>
      </c>
      <c r="M42" s="39">
        <f t="shared" si="13"/>
        <v>0</v>
      </c>
      <c r="N42" s="61">
        <f t="shared" si="13"/>
        <v>-852454</v>
      </c>
      <c r="O42" s="39">
        <f t="shared" si="13"/>
        <v>-4899098.6500000004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1340583</v>
      </c>
      <c r="E43" s="39">
        <f t="shared" si="14"/>
        <v>3964326.2599999988</v>
      </c>
      <c r="F43" s="61">
        <f t="shared" si="14"/>
        <v>0</v>
      </c>
      <c r="G43" s="39">
        <f t="shared" si="14"/>
        <v>0</v>
      </c>
      <c r="H43" s="61">
        <f t="shared" si="14"/>
        <v>1253313</v>
      </c>
      <c r="I43" s="39">
        <f t="shared" si="14"/>
        <v>1551779.35</v>
      </c>
      <c r="J43" s="61">
        <f t="shared" ref="J43:AO43" si="15">J42+J39</f>
        <v>936654</v>
      </c>
      <c r="K43" s="39">
        <f t="shared" si="15"/>
        <v>2618087.2399999998</v>
      </c>
      <c r="L43" s="61">
        <f t="shared" si="15"/>
        <v>-840</v>
      </c>
      <c r="M43" s="39">
        <f t="shared" si="15"/>
        <v>-2640.24</v>
      </c>
      <c r="N43" s="61">
        <f t="shared" si="15"/>
        <v>-848544</v>
      </c>
      <c r="O43" s="39">
        <f t="shared" si="15"/>
        <v>-202900.09000000078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4935228</v>
      </c>
      <c r="E49" s="38">
        <f>SUM(G49,I49,K49,M49,O49,Q49,S49,U49,W49,Y49,AA49,AC49,AE49)</f>
        <v>21186933.804000001</v>
      </c>
      <c r="F49" s="60">
        <f>'TIE-OUT'!J49+RECLASS!H49</f>
        <v>0</v>
      </c>
      <c r="G49" s="38">
        <f>'TIE-OUT'!K49+RECLASS!I49</f>
        <v>0</v>
      </c>
      <c r="H49" s="118">
        <f>+Actuals!E265</f>
        <v>-1345822</v>
      </c>
      <c r="I49" s="119">
        <f>+Actuals!F265</f>
        <v>-5777613.8459999999</v>
      </c>
      <c r="J49" s="118">
        <v>5796006</v>
      </c>
      <c r="K49" s="119">
        <v>24882253.760000002</v>
      </c>
      <c r="L49" s="118">
        <v>526250</v>
      </c>
      <c r="M49" s="119">
        <v>2259191.25</v>
      </c>
      <c r="N49" s="118">
        <v>-41206</v>
      </c>
      <c r="O49" s="119">
        <v>-176897.36</v>
      </c>
      <c r="P49" s="118">
        <f>+Actuals!M265</f>
        <v>0</v>
      </c>
      <c r="Q49" s="119">
        <f>+Actuals!N265</f>
        <v>0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-794469</v>
      </c>
      <c r="E51" s="38">
        <f>SUM(G51,I51,K51,M51,O51,Q51,S51,U51,W51,Y51,AA51,AC51,AE51)</f>
        <v>-3410655.4210000006</v>
      </c>
      <c r="F51" s="60">
        <f>'TIE-OUT'!J51+RECLASS!H51</f>
        <v>0</v>
      </c>
      <c r="G51" s="38">
        <f>'TIE-OUT'!K51+RECLASS!I51</f>
        <v>0</v>
      </c>
      <c r="H51" s="118">
        <f>+Actuals!E266</f>
        <v>-1084187</v>
      </c>
      <c r="I51" s="119">
        <f>+Actuals!F266</f>
        <v>-4654414.7910000002</v>
      </c>
      <c r="J51" s="118">
        <v>289011</v>
      </c>
      <c r="K51" s="119">
        <v>1240724.22</v>
      </c>
      <c r="L51" s="118">
        <v>6792</v>
      </c>
      <c r="M51" s="119">
        <v>29158.06</v>
      </c>
      <c r="N51" s="118">
        <v>-6085</v>
      </c>
      <c r="O51" s="119">
        <v>-26122.91</v>
      </c>
      <c r="P51" s="118">
        <f>+Actuals!M266</f>
        <v>0</v>
      </c>
      <c r="Q51" s="119">
        <f>+Actuals!N266</f>
        <v>0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-138037335</v>
      </c>
      <c r="E54" s="38">
        <f>SUM(G54,I54,K54,M54,O54,Q54,S54,U54,W54,Y54,AA54,AC54,AE54)</f>
        <v>2199631.6199999996</v>
      </c>
      <c r="F54" s="64">
        <f>'TIE-OUT'!J54+RECLASS!H54</f>
        <v>0</v>
      </c>
      <c r="G54" s="68">
        <f>'TIE-OUT'!K54+RECLASS!I54</f>
        <v>0</v>
      </c>
      <c r="H54" s="118">
        <f>+Actuals!E267</f>
        <v>-157970356</v>
      </c>
      <c r="I54" s="119">
        <f>+Actuals!F267</f>
        <v>-2293267.85</v>
      </c>
      <c r="J54" s="118">
        <v>20960328</v>
      </c>
      <c r="K54" s="119">
        <v>4585785.05</v>
      </c>
      <c r="L54" s="118">
        <v>3453500</v>
      </c>
      <c r="M54" s="119">
        <v>105268.73</v>
      </c>
      <c r="N54" s="118">
        <v>-4480807</v>
      </c>
      <c r="O54" s="119">
        <v>-198154.31</v>
      </c>
      <c r="P54" s="118">
        <f>+Actuals!M267</f>
        <v>0</v>
      </c>
      <c r="Q54" s="119">
        <f>+Actuals!N267</f>
        <v>0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-9220428.129999999</v>
      </c>
      <c r="F55" s="81">
        <f>'TIE-OUT'!J55+RECLASS!H55</f>
        <v>0</v>
      </c>
      <c r="G55" s="82">
        <f>'TIE-OUT'!K55+RECLASS!I55</f>
        <v>0</v>
      </c>
      <c r="H55" s="118">
        <f>+Actuals!E268</f>
        <v>0</v>
      </c>
      <c r="I55" s="119">
        <f>+Actuals!F268</f>
        <v>-5109292.5999999996</v>
      </c>
      <c r="J55" s="118">
        <f>+Actuals!G268</f>
        <v>0</v>
      </c>
      <c r="K55" s="119">
        <v>-4449769.83</v>
      </c>
      <c r="L55" s="118">
        <f>+Actuals!I268</f>
        <v>0</v>
      </c>
      <c r="M55" s="119">
        <v>333756.71999999997</v>
      </c>
      <c r="N55" s="118">
        <f>+Actuals!K268</f>
        <v>0</v>
      </c>
      <c r="O55" s="119">
        <v>4877.58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-138037335</v>
      </c>
      <c r="E56" s="39">
        <f t="shared" si="16"/>
        <v>-7020796.5099999998</v>
      </c>
      <c r="F56" s="61">
        <f t="shared" si="16"/>
        <v>0</v>
      </c>
      <c r="G56" s="39">
        <f t="shared" si="16"/>
        <v>0</v>
      </c>
      <c r="H56" s="61">
        <f t="shared" si="16"/>
        <v>-157970356</v>
      </c>
      <c r="I56" s="39">
        <f t="shared" si="16"/>
        <v>-7402560.4499999993</v>
      </c>
      <c r="J56" s="61">
        <f t="shared" ref="J56:AO56" si="17">SUM(J54:J55)</f>
        <v>20960328</v>
      </c>
      <c r="K56" s="39">
        <f t="shared" si="17"/>
        <v>136015.21999999974</v>
      </c>
      <c r="L56" s="61">
        <f t="shared" si="17"/>
        <v>3453500</v>
      </c>
      <c r="M56" s="39">
        <f t="shared" si="17"/>
        <v>439025.44999999995</v>
      </c>
      <c r="N56" s="61">
        <f t="shared" si="17"/>
        <v>-4480807</v>
      </c>
      <c r="O56" s="39">
        <f t="shared" si="17"/>
        <v>-193276.73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48847.92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48847.92</v>
      </c>
      <c r="J59" s="118">
        <f>+Actuals!G269</f>
        <v>0</v>
      </c>
      <c r="K59" s="119">
        <f>+Actuals!H269</f>
        <v>0</v>
      </c>
      <c r="L59" s="118">
        <f>+Actuals!I269</f>
        <v>0</v>
      </c>
      <c r="M59" s="119">
        <f>+Actuals!J269</f>
        <v>0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48847.92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48847.92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-5134326.63</v>
      </c>
      <c r="F70" s="64">
        <f>'TIE-OUT'!J70+RECLASS!H70</f>
        <v>0</v>
      </c>
      <c r="G70" s="68">
        <f>'TIE-OUT'!K70+RECLASS!I70</f>
        <v>-5134326.63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-14964909</v>
      </c>
      <c r="F71" s="81">
        <f>'TIE-OUT'!J71+RECLASS!H71</f>
        <v>0</v>
      </c>
      <c r="G71" s="82">
        <f>'TIE-OUT'!K71+RECLASS!I71</f>
        <v>-14964909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-20099235.629999999</v>
      </c>
      <c r="F72" s="61">
        <f t="shared" si="22"/>
        <v>0</v>
      </c>
      <c r="G72" s="39">
        <f t="shared" si="22"/>
        <v>-20099235.629999999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15790987.42</v>
      </c>
      <c r="F74" s="60">
        <f>'TIE-OUT'!J74+RECLASS!H74</f>
        <v>0</v>
      </c>
      <c r="G74" s="60">
        <f>'TIE-OUT'!K74+RECLASS!I74</f>
        <v>16031774.42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214">
        <v>-2194082</v>
      </c>
      <c r="L74" s="118">
        <f>+Actuals!I276</f>
        <v>0</v>
      </c>
      <c r="M74" s="119">
        <v>1953295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228732</v>
      </c>
      <c r="F75" s="60">
        <f>'TIE-OUT'!J75+RECLASS!H75</f>
        <v>0</v>
      </c>
      <c r="G75" s="60">
        <f>'TIE-OUT'!K75+RECLASS!I75</f>
        <v>228732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-866.58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-866.58</v>
      </c>
      <c r="J76" s="118">
        <f>+Actuals!G278</f>
        <v>0</v>
      </c>
      <c r="K76" s="119">
        <f>+Actuals!H278</f>
        <v>0</v>
      </c>
      <c r="L76" s="118">
        <f>+Actuals!I278</f>
        <v>0</v>
      </c>
      <c r="M76" s="119">
        <f>+Actuals!J278</f>
        <v>0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'TIE-OUT'!J77+RECLASS!H77</f>
        <v>0</v>
      </c>
      <c r="G77" s="60">
        <f>'TIE-OUT'!K77+RECLASS!I77</f>
        <v>0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'TIE-OUT'!J78+RECLASS!H78</f>
        <v>0</v>
      </c>
      <c r="G78" s="60">
        <f>'TIE-OUT'!K78+RECLASS!I78</f>
        <v>0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</f>
        <v>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468168.06</v>
      </c>
      <c r="F81" s="60">
        <f>'TIE-OUT'!J81+RECLASS!H81</f>
        <v>0</v>
      </c>
      <c r="G81" s="60">
        <f>'TIE-OUT'!K81+RECLASS!I81</f>
        <v>-67500</v>
      </c>
      <c r="H81" s="118">
        <f>+Actuals!E283</f>
        <v>0</v>
      </c>
      <c r="I81" s="119">
        <f>+Actuals!F283</f>
        <v>434349.81</v>
      </c>
      <c r="J81" s="118">
        <f>+Actuals!G283</f>
        <v>0</v>
      </c>
      <c r="K81" s="119">
        <v>101318.25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165</v>
      </c>
      <c r="E82" s="92">
        <f>SUM(E72:E81)+E16+E24+E29+E36+E43+E45+E47+E49+E51+E56+E61+E66</f>
        <v>-23661720.349000424</v>
      </c>
      <c r="F82" s="91">
        <f>F16+F24+F29+F36+F43+F45+F47+F49</f>
        <v>0</v>
      </c>
      <c r="G82" s="92">
        <f>SUM(G72:G81)+G16+G24+G29+G36+G43+G45+G47+G49+G51+G56+G61+G66</f>
        <v>-15239113.290000001</v>
      </c>
      <c r="H82" s="91">
        <f>H16+H24+H29+H36+H43+H45+H47+H49</f>
        <v>0</v>
      </c>
      <c r="I82" s="92">
        <f>SUM(I72:I81)+I16+I24+I29+I36+I43+I45+I47+I49+I51+I56+I61+I66</f>
        <v>-2164550.9190003397</v>
      </c>
      <c r="J82" s="91">
        <f>J16+J24+J29+J36+J43+J45+J47+J49</f>
        <v>165</v>
      </c>
      <c r="K82" s="137">
        <f>SUM(K72:K81)+K16+K24+K29+K36+K43+K45+K47+K49+K51+K56+K61+K66</f>
        <v>-7373874.6999999974</v>
      </c>
      <c r="L82" s="91">
        <f>L16+L24+L29+L36+L43+L45+L47+L49</f>
        <v>0</v>
      </c>
      <c r="M82" s="92">
        <f>SUM(M72:M81)+M16+M24+M29+M36+M43+M45+M47+M49+M51+M56+M61+M66</f>
        <v>4533721.5600000005</v>
      </c>
      <c r="N82" s="91">
        <f>N16+N24+N29+N36+N43+N45+N47+N49</f>
        <v>0</v>
      </c>
      <c r="O82" s="92">
        <f>SUM(O72:O81)+O16+O24+O29+O36+O43+O45+O47+O49+O51+O56+O61+O66</f>
        <v>-3417903.0000000005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 t="s">
        <v>160</v>
      </c>
      <c r="B85" s="3"/>
      <c r="F85" s="31"/>
      <c r="G85" s="31"/>
      <c r="H85" s="31"/>
      <c r="I85" s="31"/>
      <c r="K85"/>
      <c r="L85" s="45"/>
    </row>
    <row r="86" spans="1:41" s="3" customFormat="1" x14ac:dyDescent="0.25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-43000</v>
      </c>
      <c r="F86" s="145">
        <f>'TIE-OUT'!J86+RECLASS!H86</f>
        <v>0</v>
      </c>
      <c r="G86" s="145">
        <f>'TIE-OUT'!K86+RECLASS!I86</f>
        <v>-42632</v>
      </c>
      <c r="H86" s="145">
        <v>0</v>
      </c>
      <c r="I86" s="145">
        <v>444429</v>
      </c>
      <c r="J86" s="145">
        <v>0</v>
      </c>
      <c r="K86" s="145">
        <v>-444797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5">
      <c r="A89" s="158"/>
      <c r="B89" s="159"/>
      <c r="C89" s="157" t="s">
        <v>165</v>
      </c>
      <c r="D89" s="160">
        <f>SUM(D86:D88)</f>
        <v>0</v>
      </c>
      <c r="E89" s="160">
        <f t="shared" ref="E89:M89" si="26">SUM(E86:E88)</f>
        <v>-43000</v>
      </c>
      <c r="F89" s="160">
        <f t="shared" si="26"/>
        <v>0</v>
      </c>
      <c r="G89" s="160">
        <f t="shared" si="26"/>
        <v>-42632</v>
      </c>
      <c r="H89" s="160">
        <f t="shared" si="26"/>
        <v>0</v>
      </c>
      <c r="I89" s="160">
        <f t="shared" si="26"/>
        <v>444429</v>
      </c>
      <c r="J89" s="160">
        <f t="shared" si="26"/>
        <v>0</v>
      </c>
      <c r="K89" s="160">
        <f t="shared" si="26"/>
        <v>-444797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5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5">
      <c r="A91" s="158"/>
      <c r="B91" s="159"/>
      <c r="C91" s="157" t="s">
        <v>168</v>
      </c>
      <c r="D91" s="160">
        <f>+D82+D89</f>
        <v>165</v>
      </c>
      <c r="E91" s="160">
        <f t="shared" ref="E91:M91" si="29">+E82+E89</f>
        <v>-23704720.349000424</v>
      </c>
      <c r="F91" s="160">
        <f t="shared" si="29"/>
        <v>0</v>
      </c>
      <c r="G91" s="160">
        <f t="shared" si="29"/>
        <v>-15281745.290000001</v>
      </c>
      <c r="H91" s="160">
        <f t="shared" si="29"/>
        <v>0</v>
      </c>
      <c r="I91" s="160">
        <f t="shared" si="29"/>
        <v>-1720121.9190003397</v>
      </c>
      <c r="J91" s="160">
        <f t="shared" si="29"/>
        <v>165</v>
      </c>
      <c r="K91" s="160">
        <f t="shared" si="29"/>
        <v>-7818671.6999999974</v>
      </c>
      <c r="L91" s="160">
        <f t="shared" si="29"/>
        <v>0</v>
      </c>
      <c r="M91" s="160">
        <f t="shared" si="29"/>
        <v>4533721.5600000005</v>
      </c>
      <c r="N91" s="160">
        <f t="shared" ref="N91:AE91" si="30">+N82+N89</f>
        <v>0</v>
      </c>
      <c r="O91" s="160">
        <f t="shared" si="30"/>
        <v>-3417903.0000000005</v>
      </c>
      <c r="P91" s="160">
        <f t="shared" si="30"/>
        <v>0</v>
      </c>
      <c r="Q91" s="160">
        <f t="shared" si="30"/>
        <v>0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H175"/>
  <sheetViews>
    <sheetView zoomScale="75" workbookViewId="0">
      <pane xSplit="3" ySplit="9" topLeftCell="G19" activePane="bottomRight" state="frozen"/>
      <selection activeCell="N16" sqref="N16"/>
      <selection pane="topRight" activeCell="N16" sqref="N16"/>
      <selection pane="bottomLeft" activeCell="N16" sqref="N16"/>
      <selection pane="bottomRight" activeCell="N35" sqref="N3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14" customWidth="1"/>
    <col min="6" max="10" width="15.44140625" customWidth="1"/>
    <col min="11" max="11" width="15.44140625" style="127" customWidth="1"/>
    <col min="12" max="15" width="15.44140625" customWidth="1"/>
    <col min="16" max="41" width="15.44140625" hidden="1" customWidth="1"/>
    <col min="42" max="42" width="9.109375" hidden="1" customWidth="1"/>
    <col min="43" max="43" width="0" hidden="1" customWidth="1"/>
    <col min="44" max="60" width="9.109375" hidden="1" customWidth="1"/>
    <col min="61" max="93" width="0" hidden="1" customWidth="1"/>
    <col min="102" max="10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217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58">
        <f>F11+H11+J11+L11+N11</f>
        <v>65274394</v>
      </c>
      <c r="E11" s="15">
        <f>G11+I11+K11+M11+O11</f>
        <v>290793958.98000002</v>
      </c>
      <c r="F11" s="58">
        <f>'TIE-OUT'!N11+RECLASS!L11</f>
        <v>0</v>
      </c>
      <c r="G11" s="15">
        <f>'TIE-OUT'!O11+RECLASS!M11</f>
        <v>0</v>
      </c>
      <c r="H11" s="118">
        <f>73933269-8679509</f>
        <v>65253760</v>
      </c>
      <c r="I11" s="119">
        <f>329471702-39511966</f>
        <v>289959736</v>
      </c>
      <c r="J11" s="118">
        <v>-756343</v>
      </c>
      <c r="K11" s="119">
        <v>-4673569.45</v>
      </c>
      <c r="L11" s="118">
        <v>-9032</v>
      </c>
      <c r="M11" s="119">
        <v>-706438</v>
      </c>
      <c r="N11" s="118">
        <v>786009</v>
      </c>
      <c r="O11" s="119">
        <v>6214230.4299999997</v>
      </c>
      <c r="P11" s="118">
        <v>0</v>
      </c>
      <c r="Q11" s="119"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5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5954584.3499999996</v>
      </c>
      <c r="F12" s="58">
        <f>'TIE-OUT'!N12+RECLASS!L12</f>
        <v>0</v>
      </c>
      <c r="G12" s="15">
        <f>'TIE-OUT'!O12+RECLASS!M12</f>
        <v>6357504.1299999999</v>
      </c>
      <c r="H12" s="118">
        <v>0</v>
      </c>
      <c r="I12" s="119">
        <v>0</v>
      </c>
      <c r="J12" s="118">
        <v>0</v>
      </c>
      <c r="K12" s="139">
        <v>0</v>
      </c>
      <c r="L12" s="118">
        <v>0</v>
      </c>
      <c r="M12" s="119">
        <v>-38510</v>
      </c>
      <c r="N12" s="118">
        <v>0</v>
      </c>
      <c r="O12" s="119">
        <v>-364409.78</v>
      </c>
      <c r="P12" s="118">
        <v>0</v>
      </c>
      <c r="Q12" s="119"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5">
      <c r="A13" s="9">
        <v>3</v>
      </c>
      <c r="B13" s="7"/>
      <c r="C13" s="18" t="s">
        <v>27</v>
      </c>
      <c r="D13" s="58">
        <f t="shared" ref="D13:E15" si="0">F13+H13+J13+L13+N13</f>
        <v>8679509</v>
      </c>
      <c r="E13" s="15">
        <f t="shared" si="0"/>
        <v>39511966</v>
      </c>
      <c r="F13" s="58">
        <f>'TIE-OUT'!N13+RECLASS!L13</f>
        <v>0</v>
      </c>
      <c r="G13" s="15">
        <f>'TIE-OUT'!O13+RECLASS!M13</f>
        <v>0</v>
      </c>
      <c r="H13" s="118">
        <v>8679509</v>
      </c>
      <c r="I13" s="119">
        <v>39511966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5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'TIE-OUT'!N14+RECLASS!L14</f>
        <v>0</v>
      </c>
      <c r="G14" s="15">
        <f>'TIE-OUT'!O14+RECLASS!M14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5">
      <c r="A15" s="9">
        <v>5</v>
      </c>
      <c r="B15" s="7"/>
      <c r="C15" s="18" t="s">
        <v>29</v>
      </c>
      <c r="D15" s="58">
        <f t="shared" si="0"/>
        <v>-450000</v>
      </c>
      <c r="E15" s="15">
        <f t="shared" si="0"/>
        <v>393352.10999999993</v>
      </c>
      <c r="F15" s="58">
        <f>'TIE-OUT'!N15+RECLASS!L15</f>
        <v>0</v>
      </c>
      <c r="G15" s="15">
        <f>'TIE-OUT'!O15+RECLASS!M15</f>
        <v>0</v>
      </c>
      <c r="H15" s="118">
        <v>0</v>
      </c>
      <c r="I15" s="119">
        <v>0</v>
      </c>
      <c r="J15" s="118">
        <v>0</v>
      </c>
      <c r="K15" s="119">
        <v>572893.94999999995</v>
      </c>
      <c r="L15" s="118">
        <v>0</v>
      </c>
      <c r="M15" s="119">
        <v>276739.09999999998</v>
      </c>
      <c r="N15" s="118">
        <v>-450000</v>
      </c>
      <c r="O15" s="119">
        <v>-456280.94</v>
      </c>
      <c r="P15" s="118">
        <v>0</v>
      </c>
      <c r="Q15" s="119"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5">
      <c r="A16" s="9"/>
      <c r="B16" s="7" t="s">
        <v>30</v>
      </c>
      <c r="C16" s="6"/>
      <c r="D16" s="59">
        <f t="shared" ref="D16:AO16" si="1">SUM(D11:D15)</f>
        <v>73503903</v>
      </c>
      <c r="E16" s="23">
        <f t="shared" si="1"/>
        <v>336653861.44000006</v>
      </c>
      <c r="F16" s="59">
        <f t="shared" si="1"/>
        <v>0</v>
      </c>
      <c r="G16" s="23">
        <f t="shared" si="1"/>
        <v>6357504.1299999999</v>
      </c>
      <c r="H16" s="61">
        <f t="shared" si="1"/>
        <v>73933269</v>
      </c>
      <c r="I16" s="39">
        <f t="shared" si="1"/>
        <v>329471702</v>
      </c>
      <c r="J16" s="61">
        <f t="shared" ref="J16:Q16" si="2">SUM(J11:J15)</f>
        <v>-756343</v>
      </c>
      <c r="K16" s="39">
        <f t="shared" si="2"/>
        <v>-4100675.5</v>
      </c>
      <c r="L16" s="61">
        <f t="shared" si="2"/>
        <v>-9032</v>
      </c>
      <c r="M16" s="39">
        <f t="shared" si="2"/>
        <v>-468208.9</v>
      </c>
      <c r="N16" s="61">
        <f t="shared" si="2"/>
        <v>336009</v>
      </c>
      <c r="O16" s="39">
        <f t="shared" si="2"/>
        <v>5393539.709999999</v>
      </c>
      <c r="P16" s="61">
        <f t="shared" si="2"/>
        <v>0</v>
      </c>
      <c r="Q16" s="39">
        <f t="shared" si="2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58">
        <f t="shared" ref="D19:E23" si="3">F19+H19+J19+L19+N19</f>
        <v>-59464453</v>
      </c>
      <c r="E19" s="15">
        <f t="shared" si="3"/>
        <v>-261787815.50000003</v>
      </c>
      <c r="F19" s="58">
        <f>'TIE-OUT'!N19+RECLASS!L19</f>
        <v>0</v>
      </c>
      <c r="G19" s="15">
        <f>'TIE-OUT'!O19+RECLASS!M19</f>
        <v>0</v>
      </c>
      <c r="H19" s="118">
        <f>-75337736+15310495</f>
        <v>-60027241</v>
      </c>
      <c r="I19" s="119">
        <f>-330893326+69724975</f>
        <v>-261168351</v>
      </c>
      <c r="J19" s="118">
        <v>1896100</v>
      </c>
      <c r="K19" s="119">
        <v>4683141.41</v>
      </c>
      <c r="L19" s="118">
        <v>-1226474</v>
      </c>
      <c r="M19" s="119">
        <v>-4966413.8</v>
      </c>
      <c r="N19" s="118">
        <v>-106838</v>
      </c>
      <c r="O19" s="119">
        <v>-336192.11</v>
      </c>
      <c r="P19" s="118">
        <v>0</v>
      </c>
      <c r="Q19" s="119"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5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-11625586.74</v>
      </c>
      <c r="F20" s="58">
        <f>'TIE-OUT'!N20+RECLASS!L20</f>
        <v>0</v>
      </c>
      <c r="G20" s="15">
        <f>'TIE-OUT'!O20+RECLASS!M20</f>
        <v>-4717257.74</v>
      </c>
      <c r="H20" s="118">
        <v>0</v>
      </c>
      <c r="I20" s="119">
        <v>0</v>
      </c>
      <c r="J20" s="118">
        <v>0</v>
      </c>
      <c r="K20" s="119">
        <v>0</v>
      </c>
      <c r="L20" s="118">
        <v>0</v>
      </c>
      <c r="M20" s="119">
        <v>-7262321</v>
      </c>
      <c r="N20" s="118">
        <v>0</v>
      </c>
      <c r="O20" s="119">
        <v>353992</v>
      </c>
      <c r="P20" s="118">
        <v>0</v>
      </c>
      <c r="Q20" s="119"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5">
      <c r="A21" s="9">
        <v>8</v>
      </c>
      <c r="B21" s="7"/>
      <c r="C21" s="18" t="s">
        <v>27</v>
      </c>
      <c r="D21" s="58">
        <f t="shared" si="3"/>
        <v>-15310495</v>
      </c>
      <c r="E21" s="15">
        <f t="shared" si="3"/>
        <v>-69724975</v>
      </c>
      <c r="F21" s="58">
        <f>'TIE-OUT'!N21+RECLASS!L21</f>
        <v>0</v>
      </c>
      <c r="G21" s="15">
        <f>'TIE-OUT'!O21+RECLASS!M21</f>
        <v>0</v>
      </c>
      <c r="H21" s="118">
        <v>-15310495</v>
      </c>
      <c r="I21" s="119">
        <v>-69724975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5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'TIE-OUT'!N22+RECLASS!L22</f>
        <v>0</v>
      </c>
      <c r="G22" s="15">
        <f>'TIE-OUT'!O22+RECLASS!M22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5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58">
        <f>'TIE-OUT'!N23+RECLASS!L23</f>
        <v>0</v>
      </c>
      <c r="G23" s="15">
        <f>'TIE-OUT'!O23+RECLASS!M23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5">
      <c r="A24" s="9"/>
      <c r="B24" s="7" t="s">
        <v>33</v>
      </c>
      <c r="C24" s="6"/>
      <c r="D24" s="59">
        <f t="shared" ref="D24:AO24" si="4">SUM(D19:D23)</f>
        <v>-74774948</v>
      </c>
      <c r="E24" s="23">
        <f t="shared" si="4"/>
        <v>-343138377.24000001</v>
      </c>
      <c r="F24" s="59">
        <f t="shared" si="4"/>
        <v>0</v>
      </c>
      <c r="G24" s="23">
        <f t="shared" si="4"/>
        <v>-4717257.74</v>
      </c>
      <c r="H24" s="61">
        <f t="shared" si="4"/>
        <v>-75337736</v>
      </c>
      <c r="I24" s="39">
        <f t="shared" si="4"/>
        <v>-330893326</v>
      </c>
      <c r="J24" s="61">
        <f t="shared" ref="J24:Q24" si="5">SUM(J19:J23)</f>
        <v>1896100</v>
      </c>
      <c r="K24" s="39">
        <f t="shared" si="5"/>
        <v>4683141.41</v>
      </c>
      <c r="L24" s="61">
        <f t="shared" si="5"/>
        <v>-1226474</v>
      </c>
      <c r="M24" s="39">
        <f t="shared" si="5"/>
        <v>-12228734.800000001</v>
      </c>
      <c r="N24" s="61">
        <f t="shared" si="5"/>
        <v>-106838</v>
      </c>
      <c r="O24" s="39">
        <f t="shared" si="5"/>
        <v>17799.890000000014</v>
      </c>
      <c r="P24" s="61">
        <f t="shared" si="5"/>
        <v>0</v>
      </c>
      <c r="Q24" s="39">
        <f t="shared" si="5"/>
        <v>0</v>
      </c>
      <c r="R24" s="61">
        <f t="shared" si="4"/>
        <v>0</v>
      </c>
      <c r="S24" s="39">
        <f t="shared" si="4"/>
        <v>0</v>
      </c>
      <c r="T24" s="61">
        <f t="shared" si="4"/>
        <v>0</v>
      </c>
      <c r="U24" s="39">
        <f t="shared" si="4"/>
        <v>0</v>
      </c>
      <c r="V24" s="61">
        <f t="shared" si="4"/>
        <v>0</v>
      </c>
      <c r="W24" s="39">
        <f t="shared" si="4"/>
        <v>0</v>
      </c>
      <c r="X24" s="61">
        <f t="shared" si="4"/>
        <v>0</v>
      </c>
      <c r="Y24" s="39">
        <f t="shared" si="4"/>
        <v>0</v>
      </c>
      <c r="Z24" s="61">
        <f t="shared" si="4"/>
        <v>0</v>
      </c>
      <c r="AA24" s="39">
        <f t="shared" si="4"/>
        <v>0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5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58">
        <f>F27+H27+J27+L27+N27</f>
        <v>0</v>
      </c>
      <c r="E27" s="15">
        <f>G27+I27+K27+M27+O27</f>
        <v>0</v>
      </c>
      <c r="F27" s="58">
        <f>'TIE-OUT'!N27+RECLASS!L27</f>
        <v>0</v>
      </c>
      <c r="G27" s="15">
        <f>'TIE-OUT'!O27+RECLASS!M27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v>0</v>
      </c>
      <c r="M27" s="119">
        <v>0</v>
      </c>
      <c r="N27" s="118">
        <v>0</v>
      </c>
      <c r="O27" s="119">
        <v>0</v>
      </c>
      <c r="P27" s="118">
        <v>0</v>
      </c>
      <c r="Q27" s="119"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5">
      <c r="A28" s="9">
        <v>12</v>
      </c>
      <c r="B28" s="7"/>
      <c r="C28" s="18" t="s">
        <v>36</v>
      </c>
      <c r="D28" s="58">
        <f>F28+H28+J28+L28+N28</f>
        <v>0</v>
      </c>
      <c r="E28" s="15">
        <f>G28+I28+K28+M28+O28</f>
        <v>0</v>
      </c>
      <c r="F28" s="58">
        <f>'TIE-OUT'!N28+RECLASS!L28</f>
        <v>0</v>
      </c>
      <c r="G28" s="15">
        <f>'TIE-OUT'!O28+RECLASS!M28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v>0</v>
      </c>
      <c r="M28" s="119">
        <v>0</v>
      </c>
      <c r="N28" s="118">
        <v>0</v>
      </c>
      <c r="O28" s="119">
        <v>0</v>
      </c>
      <c r="P28" s="118">
        <v>0</v>
      </c>
      <c r="Q28" s="119"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5">
      <c r="A29" s="9"/>
      <c r="B29" s="7" t="s">
        <v>37</v>
      </c>
      <c r="C29" s="18"/>
      <c r="D29" s="59">
        <f t="shared" ref="D29:AO29" si="6">SUM(D27:D28)</f>
        <v>0</v>
      </c>
      <c r="E29" s="23">
        <f t="shared" si="6"/>
        <v>0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Q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58">
        <f>F32+H32+J32+L32+N32</f>
        <v>1404467</v>
      </c>
      <c r="E32" s="15">
        <f>G32+I32+K32+M32+O32</f>
        <v>6334146</v>
      </c>
      <c r="F32" s="58">
        <f>'TIE-OUT'!N32+RECLASS!L32</f>
        <v>0</v>
      </c>
      <c r="G32" s="15">
        <f>'TIE-OUT'!O32+RECLASS!M32</f>
        <v>0</v>
      </c>
      <c r="H32" s="118">
        <v>1404467</v>
      </c>
      <c r="I32" s="119">
        <v>6334146</v>
      </c>
      <c r="J32" s="118">
        <v>0</v>
      </c>
      <c r="K32" s="119">
        <v>0</v>
      </c>
      <c r="L32" s="118">
        <v>0</v>
      </c>
      <c r="M32" s="119">
        <v>0</v>
      </c>
      <c r="N32" s="118">
        <v>0</v>
      </c>
      <c r="O32" s="119">
        <v>0</v>
      </c>
      <c r="P32" s="118">
        <v>0</v>
      </c>
      <c r="Q32" s="119"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5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'TIE-OUT'!N33+RECLASS!L33</f>
        <v>0</v>
      </c>
      <c r="G33" s="15">
        <f>'TIE-OUT'!O33+RECLASS!M33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5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'TIE-OUT'!N34+RECLASS!L34</f>
        <v>0</v>
      </c>
      <c r="G34" s="15">
        <f>'TIE-OUT'!O34+RECLASS!M34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5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1408174.91</v>
      </c>
      <c r="F35" s="58">
        <f>'TIE-OUT'!N35+RECLASS!L35</f>
        <v>0</v>
      </c>
      <c r="G35" s="15">
        <f>'TIE-OUT'!O35+RECLASS!M35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v>0</v>
      </c>
      <c r="M35" s="119">
        <v>0</v>
      </c>
      <c r="N35" s="118"/>
      <c r="O35" s="119">
        <v>1408174.91</v>
      </c>
      <c r="P35" s="118">
        <v>0</v>
      </c>
      <c r="Q35" s="119"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5">
      <c r="A36" s="9"/>
      <c r="B36" s="7" t="s">
        <v>43</v>
      </c>
      <c r="C36" s="6"/>
      <c r="D36" s="59">
        <f t="shared" ref="D36:AO36" si="9">SUM(D32:D35)</f>
        <v>1404467</v>
      </c>
      <c r="E36" s="23">
        <f t="shared" si="9"/>
        <v>7742320.9100000001</v>
      </c>
      <c r="F36" s="59">
        <f t="shared" si="9"/>
        <v>0</v>
      </c>
      <c r="G36" s="23">
        <f t="shared" si="9"/>
        <v>0</v>
      </c>
      <c r="H36" s="61">
        <f t="shared" si="9"/>
        <v>1404467</v>
      </c>
      <c r="I36" s="39">
        <f t="shared" si="9"/>
        <v>6334146</v>
      </c>
      <c r="J36" s="61">
        <f t="shared" ref="J36:Q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1408174.91</v>
      </c>
      <c r="P36" s="61">
        <f t="shared" si="10"/>
        <v>0</v>
      </c>
      <c r="Q36" s="39">
        <f t="shared" si="10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58">
        <f>'TIE-OUT'!N39+RECLASS!L39</f>
        <v>0</v>
      </c>
      <c r="G39" s="15">
        <f>'TIE-OUT'!O39+RECLASS!M39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'TIE-OUT'!N40+RECLASS!L40</f>
        <v>0</v>
      </c>
      <c r="G40" s="15">
        <f>'TIE-OUT'!O40+RECLASS!M40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5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58">
        <f>'TIE-OUT'!N41+RECLASS!L41</f>
        <v>0</v>
      </c>
      <c r="G41" s="15">
        <f>'TIE-OUT'!O41+RECLASS!M41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5">
      <c r="A42" s="9"/>
      <c r="B42" s="7"/>
      <c r="C42" s="53" t="s">
        <v>48</v>
      </c>
      <c r="D42" s="59">
        <f t="shared" ref="D42:AO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Q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59">
        <f t="shared" ref="D43:AO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Q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58">
        <f>'TIE-OUT'!N45+RECLASS!L45</f>
        <v>0</v>
      </c>
      <c r="G45" s="15">
        <f>'TIE-OUT'!O45+RECLASS!M45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5">
      <c r="A46" s="9"/>
      <c r="B46" s="11"/>
      <c r="C46" s="6"/>
      <c r="D46" s="58"/>
      <c r="E46" s="15"/>
      <c r="F46" s="58"/>
      <c r="G46" s="15"/>
      <c r="H46" s="118"/>
      <c r="I46" s="119"/>
      <c r="J46" s="118"/>
      <c r="K46" s="119"/>
      <c r="L46" s="118"/>
      <c r="M46" s="119"/>
      <c r="N46" s="118"/>
      <c r="O46" s="119"/>
      <c r="P46" s="118"/>
      <c r="Q46" s="119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'TIE-OUT'!N47+RECLASS!L47</f>
        <v>0</v>
      </c>
      <c r="G47" s="15">
        <f>'TIE-OUT'!O47+RECLASS!M47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5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58">
        <f>F49+H49+J49+L49+N49</f>
        <v>-133422</v>
      </c>
      <c r="E49" s="15">
        <f>G49+I49+K49+M49+O49</f>
        <v>-601733.22000000067</v>
      </c>
      <c r="F49" s="58">
        <f>'TIE-OUT'!N49+RECLASS!L49</f>
        <v>0</v>
      </c>
      <c r="G49" s="15">
        <f>'TIE-OUT'!O49+RECLASS!M49</f>
        <v>0</v>
      </c>
      <c r="H49" s="118">
        <v>0</v>
      </c>
      <c r="I49" s="119">
        <v>0</v>
      </c>
      <c r="J49" s="118">
        <v>-1139757</v>
      </c>
      <c r="K49" s="119">
        <v>-5140304.07</v>
      </c>
      <c r="L49" s="118">
        <v>1235506</v>
      </c>
      <c r="M49" s="119">
        <v>5572132.0599999996</v>
      </c>
      <c r="N49" s="118">
        <v>-229171</v>
      </c>
      <c r="O49" s="119">
        <v>-1033561.21</v>
      </c>
      <c r="P49" s="118">
        <v>0</v>
      </c>
      <c r="Q49" s="119"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5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'TIE-OUT'!N51+RECLASS!L51</f>
        <v>0</v>
      </c>
      <c r="G51" s="15">
        <f>'TIE-OUT'!O51+RECLASS!M51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5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58">
        <f>F54+H54+J54+L54+N54</f>
        <v>-9092424</v>
      </c>
      <c r="E54" s="15">
        <f>G54+I54+K54+M54+O54</f>
        <v>1060535.17</v>
      </c>
      <c r="F54" s="58">
        <f>'TIE-OUT'!N54+RECLASS!L54</f>
        <v>0</v>
      </c>
      <c r="G54" s="15">
        <f>'TIE-OUT'!O54+RECLASS!M54</f>
        <v>0</v>
      </c>
      <c r="H54" s="118">
        <f>-7849093-1382732</f>
        <v>-9231825</v>
      </c>
      <c r="I54" s="119">
        <f>-115296-138239-25072</f>
        <v>-278607</v>
      </c>
      <c r="J54" s="118">
        <v>459146</v>
      </c>
      <c r="K54" s="119">
        <v>1425906.92</v>
      </c>
      <c r="L54" s="118">
        <v>446748</v>
      </c>
      <c r="M54" s="119">
        <v>-78417.320000000007</v>
      </c>
      <c r="N54" s="118">
        <v>-766493</v>
      </c>
      <c r="O54" s="119">
        <v>-8347.43</v>
      </c>
      <c r="P54" s="118">
        <v>0</v>
      </c>
      <c r="Q54" s="119"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5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-3479497.4699999997</v>
      </c>
      <c r="F55" s="58">
        <f>'TIE-OUT'!N55+RECLASS!L55</f>
        <v>0</v>
      </c>
      <c r="G55" s="15">
        <f>'TIE-OUT'!O55+RECLASS!M55</f>
        <v>0</v>
      </c>
      <c r="H55" s="118">
        <v>0</v>
      </c>
      <c r="I55" s="119">
        <f>-1394346-366851</f>
        <v>-1761197</v>
      </c>
      <c r="J55" s="118">
        <v>0</v>
      </c>
      <c r="K55" s="119">
        <v>-1372047.09</v>
      </c>
      <c r="L55" s="118">
        <v>0</v>
      </c>
      <c r="M55" s="119">
        <v>-299944.27</v>
      </c>
      <c r="N55" s="118">
        <v>0</v>
      </c>
      <c r="O55" s="119">
        <v>-46309.11</v>
      </c>
      <c r="P55" s="118">
        <v>0</v>
      </c>
      <c r="Q55" s="119"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5">
      <c r="A56" s="9"/>
      <c r="B56" s="7" t="s">
        <v>57</v>
      </c>
      <c r="C56" s="6"/>
      <c r="D56" s="59">
        <f t="shared" ref="D56:AO56" si="16">SUM(D54:D55)</f>
        <v>-9092424</v>
      </c>
      <c r="E56" s="23">
        <f t="shared" si="16"/>
        <v>-2418962.2999999998</v>
      </c>
      <c r="F56" s="59">
        <f t="shared" si="16"/>
        <v>0</v>
      </c>
      <c r="G56" s="23">
        <f t="shared" si="16"/>
        <v>0</v>
      </c>
      <c r="H56" s="61">
        <f t="shared" si="16"/>
        <v>-9231825</v>
      </c>
      <c r="I56" s="39">
        <f t="shared" si="16"/>
        <v>-2039804</v>
      </c>
      <c r="J56" s="61">
        <f t="shared" ref="J56:Q56" si="17">SUM(J54:J55)</f>
        <v>459146</v>
      </c>
      <c r="K56" s="39">
        <f t="shared" si="17"/>
        <v>53859.829999999842</v>
      </c>
      <c r="L56" s="61">
        <f t="shared" si="17"/>
        <v>446748</v>
      </c>
      <c r="M56" s="39">
        <f t="shared" si="17"/>
        <v>-378361.59</v>
      </c>
      <c r="N56" s="61">
        <f t="shared" si="17"/>
        <v>-766493</v>
      </c>
      <c r="O56" s="39">
        <f t="shared" si="17"/>
        <v>-54656.54</v>
      </c>
      <c r="P56" s="61">
        <f t="shared" si="17"/>
        <v>0</v>
      </c>
      <c r="Q56" s="39">
        <f t="shared" si="17"/>
        <v>0</v>
      </c>
      <c r="R56" s="61">
        <f t="shared" si="16"/>
        <v>0</v>
      </c>
      <c r="S56" s="39">
        <f t="shared" si="16"/>
        <v>0</v>
      </c>
      <c r="T56" s="61">
        <f t="shared" si="16"/>
        <v>0</v>
      </c>
      <c r="U56" s="39">
        <f t="shared" si="16"/>
        <v>0</v>
      </c>
      <c r="V56" s="61">
        <f t="shared" si="16"/>
        <v>0</v>
      </c>
      <c r="W56" s="39">
        <f t="shared" si="16"/>
        <v>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5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58">
        <f>'TIE-OUT'!N59+RECLASS!L59</f>
        <v>0</v>
      </c>
      <c r="G59" s="15">
        <f>'TIE-OUT'!O59+RECLASS!M59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5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58">
        <f>'TIE-OUT'!N60+RECLASS!L60</f>
        <v>0</v>
      </c>
      <c r="G60" s="15">
        <f>'TIE-OUT'!O60+RECLASS!M60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5">
      <c r="A61" s="9"/>
      <c r="B61" s="62" t="s">
        <v>61</v>
      </c>
      <c r="C61" s="6"/>
      <c r="D61" s="59">
        <f t="shared" ref="D61:AO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Q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8"/>
        <v>0</v>
      </c>
      <c r="S61" s="39">
        <f t="shared" si="18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5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58">
        <f>'TIE-OUT'!N64+RECLASS!L64</f>
        <v>0</v>
      </c>
      <c r="G64" s="15">
        <f>'TIE-OUT'!O64+RECLASS!M64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5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58">
        <f>'TIE-OUT'!N65+RECLASS!L65</f>
        <v>0</v>
      </c>
      <c r="G65" s="15">
        <f>'TIE-OUT'!O65+RECLASS!M65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5">
      <c r="A66" s="9"/>
      <c r="B66" s="7" t="s">
        <v>64</v>
      </c>
      <c r="C66" s="6"/>
      <c r="D66" s="59">
        <f t="shared" ref="D66:AO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Q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0"/>
        <v>0</v>
      </c>
      <c r="S66" s="39">
        <f t="shared" si="20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5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1198403.77</v>
      </c>
      <c r="F70" s="58">
        <f>'TIE-OUT'!N70+RECLASS!L70</f>
        <v>0</v>
      </c>
      <c r="G70" s="15">
        <f>'TIE-OUT'!O70+RECLASS!M70</f>
        <v>1198403.77</v>
      </c>
      <c r="H70" s="118">
        <v>0</v>
      </c>
      <c r="I70" s="119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5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-6919990</v>
      </c>
      <c r="F71" s="58">
        <f>'TIE-OUT'!N71+RECLASS!L71</f>
        <v>0</v>
      </c>
      <c r="G71" s="15">
        <f>'TIE-OUT'!O71+RECLASS!M71</f>
        <v>-6919990</v>
      </c>
      <c r="H71" s="118">
        <v>0</v>
      </c>
      <c r="I71" s="119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5">
      <c r="A72" s="9"/>
      <c r="B72" s="3"/>
      <c r="C72" s="55" t="s">
        <v>69</v>
      </c>
      <c r="D72" s="59">
        <f t="shared" ref="D72:AO72" si="22">SUM(D70:D71)</f>
        <v>0</v>
      </c>
      <c r="E72" s="23">
        <f t="shared" si="22"/>
        <v>-5721586.2300000004</v>
      </c>
      <c r="F72" s="59">
        <f t="shared" si="22"/>
        <v>0</v>
      </c>
      <c r="G72" s="23">
        <f t="shared" si="22"/>
        <v>-5721586.2300000004</v>
      </c>
      <c r="H72" s="61">
        <f t="shared" si="22"/>
        <v>0</v>
      </c>
      <c r="I72" s="39">
        <f t="shared" si="22"/>
        <v>0</v>
      </c>
      <c r="J72" s="61">
        <f t="shared" ref="J72:Q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2"/>
        <v>0</v>
      </c>
      <c r="S72" s="39">
        <f t="shared" si="22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5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'TIE-OUT'!N73+RECLASS!L73</f>
        <v>0</v>
      </c>
      <c r="G73" s="15">
        <f>'TIE-OUT'!O73+RECLASS!M73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5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6991821.2100000009</v>
      </c>
      <c r="F74" s="58">
        <f>'TIE-OUT'!N74+RECLASS!L74</f>
        <v>0</v>
      </c>
      <c r="G74" s="15">
        <f>'TIE-OUT'!O74+RECLASS!M74</f>
        <v>8945116.2100000009</v>
      </c>
      <c r="H74" s="118">
        <v>0</v>
      </c>
      <c r="I74" s="119">
        <v>0</v>
      </c>
      <c r="J74" s="118">
        <v>0</v>
      </c>
      <c r="K74" s="119">
        <v>0</v>
      </c>
      <c r="L74" s="118">
        <v>0</v>
      </c>
      <c r="M74" s="119">
        <v>-1953295</v>
      </c>
      <c r="N74" s="118">
        <v>0</v>
      </c>
      <c r="O74" s="119">
        <v>0</v>
      </c>
      <c r="P74" s="118">
        <v>0</v>
      </c>
      <c r="Q74" s="119"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5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'TIE-OUT'!N75+RECLASS!L75</f>
        <v>0</v>
      </c>
      <c r="G75" s="15">
        <f>'TIE-OUT'!O75+RECLASS!M75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5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'TIE-OUT'!N76+RECLASS!L76</f>
        <v>0</v>
      </c>
      <c r="G76" s="15">
        <f>'TIE-OUT'!O76+RECLASS!M76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5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'TIE-OUT'!N77+RECLASS!L77</f>
        <v>0</v>
      </c>
      <c r="G77" s="15">
        <f>'TIE-OUT'!O77+RECLASS!M77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5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'TIE-OUT'!N78+RECLASS!L78</f>
        <v>0</v>
      </c>
      <c r="G78" s="15">
        <f>'TIE-OUT'!O78+RECLASS!M78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5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'TIE-OUT'!N79+RECLASS!L79</f>
        <v>0</v>
      </c>
      <c r="G79" s="15">
        <f>'TIE-OUT'!O79+RECLASS!M79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5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'TIE-OUT'!N80+RECLASS!L80</f>
        <v>0</v>
      </c>
      <c r="G80" s="15">
        <f>'TIE-OUT'!O80+RECLASS!M80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5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'TIE-OUT'!N81+RECLASS!L81</f>
        <v>0</v>
      </c>
      <c r="G81" s="15">
        <f>'TIE-OUT'!O81+RECLASS!M81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-492655.42999993358</v>
      </c>
      <c r="F82" s="91">
        <f>F16+F24+F29+F36+F43+F45+F47+F49</f>
        <v>0</v>
      </c>
      <c r="G82" s="92">
        <f>SUM(G72:G81)+G16+G24+G29+G36+G43+G45+G47+G49+G51+G56+G61+G66</f>
        <v>4863776.3699999992</v>
      </c>
      <c r="H82" s="91">
        <f>H16+H24+H29+H36+H43+H45+H47+H49</f>
        <v>0</v>
      </c>
      <c r="I82" s="92">
        <f>SUM(I72:I81)+I16+I24+I29+I36+I43+I45+I47+I49+I51+I56+I61+I66</f>
        <v>2872718</v>
      </c>
      <c r="J82" s="91">
        <f>J16+J24+J29+J36+J43+J45+J47+J49</f>
        <v>0</v>
      </c>
      <c r="K82" s="92">
        <f>SUM(K72:K81)+K16+K24+K29+K36+K43+K45+K47+K49+K51+K56+K61+K66</f>
        <v>-4503978.33</v>
      </c>
      <c r="L82" s="91">
        <f>L16+L24+L29+L36+L43+L45+L47+L49</f>
        <v>0</v>
      </c>
      <c r="M82" s="92">
        <f>SUM(M72:M81)+M16+M24+M29+M36+M43+M45+M47+M49+M51+M56+M61+M66</f>
        <v>-9456468.2300000004</v>
      </c>
      <c r="N82" s="91">
        <f>N16+N24+N29+N36+N43+N45+N47+N49</f>
        <v>0</v>
      </c>
      <c r="O82" s="92">
        <f>SUM(O72:O81)+O16+O24+O29+O36+O43+O45+O47+O49+O51+O56+O61+O66</f>
        <v>5731296.7599999988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E84" s="14">
        <f>+E74+E12+E20</f>
        <v>1320818.8200000003</v>
      </c>
      <c r="I84" s="45"/>
      <c r="K84" s="131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75" right="0.75" top="1" bottom="1" header="0.5" footer="0.5"/>
  <pageSetup paperSize="5" scale="41" orientation="landscape" verticalDpi="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P175"/>
  <sheetViews>
    <sheetView zoomScale="75" workbookViewId="0">
      <pane xSplit="3" ySplit="9" topLeftCell="E79" activePane="bottomRight" state="frozen"/>
      <selection activeCell="N16" sqref="N16"/>
      <selection pane="topRight" activeCell="N16" sqref="N16"/>
      <selection pane="bottomLeft" activeCell="N16" sqref="N16"/>
      <selection pane="bottomRight" activeCell="H92" sqref="H9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14" customWidth="1"/>
    <col min="6" max="10" width="15.44140625" customWidth="1"/>
    <col min="11" max="11" width="15.44140625" style="127" customWidth="1"/>
    <col min="12" max="15" width="15.44140625" customWidth="1"/>
    <col min="16" max="41" width="15.44140625" hidden="1" customWidth="1"/>
    <col min="42" max="42" width="9.109375" hidden="1" customWidth="1"/>
    <col min="43" max="60" width="0" hidden="1" customWidth="1"/>
    <col min="102" max="10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58">
        <f>F11+H11+J11+L11+N11</f>
        <v>0</v>
      </c>
      <c r="E11" s="15">
        <f>G11+I11+K11+M11+O11</f>
        <v>0</v>
      </c>
      <c r="F11" s="58">
        <f>'TIE-OUT'!L11+RECLASS!J11</f>
        <v>0</v>
      </c>
      <c r="G11" s="15">
        <f>'TIE-OUT'!M11+RECLASS!K11</f>
        <v>0</v>
      </c>
      <c r="H11" s="118">
        <f>+Actuals!E44</f>
        <v>0</v>
      </c>
      <c r="I11" s="119">
        <f>+Actuals!F44</f>
        <v>0</v>
      </c>
      <c r="J11" s="118">
        <f>+Actuals!G44</f>
        <v>0</v>
      </c>
      <c r="K11" s="119">
        <f>+Actuals!H44</f>
        <v>0</v>
      </c>
      <c r="L11" s="118">
        <f>+Actuals!I44</f>
        <v>0</v>
      </c>
      <c r="M11" s="119">
        <f>+Actuals!J44</f>
        <v>0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5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-33856.559999999998</v>
      </c>
      <c r="F12" s="58">
        <f>'TIE-OUT'!L12+RECLASS!J12</f>
        <v>0</v>
      </c>
      <c r="G12" s="15">
        <f>'TIE-OUT'!M12+RECLASS!K12</f>
        <v>-33856.559999999998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5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5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5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5">
      <c r="A16" s="9"/>
      <c r="B16" s="7" t="s">
        <v>30</v>
      </c>
      <c r="C16" s="6"/>
      <c r="D16" s="59">
        <f t="shared" ref="D16:I16" si="1">SUM(D11:D15)</f>
        <v>0</v>
      </c>
      <c r="E16" s="23">
        <f t="shared" si="1"/>
        <v>-33856.559999999998</v>
      </c>
      <c r="F16" s="59">
        <f t="shared" si="1"/>
        <v>0</v>
      </c>
      <c r="G16" s="23">
        <f t="shared" si="1"/>
        <v>-33856.559999999998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0</v>
      </c>
      <c r="K16" s="39">
        <f t="shared" si="2"/>
        <v>0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58">
        <f t="shared" ref="D19:E23" si="3">F19+H19+J19+L19+N19</f>
        <v>0</v>
      </c>
      <c r="E19" s="15">
        <f t="shared" si="3"/>
        <v>0</v>
      </c>
      <c r="F19" s="84">
        <f>'TIE-OUT'!L19+RECLASS!J19</f>
        <v>0</v>
      </c>
      <c r="G19" s="85">
        <f>'TIE-OUT'!M19+RECLASS!K19</f>
        <v>0</v>
      </c>
      <c r="H19" s="118">
        <f>+Actuals!E49</f>
        <v>0</v>
      </c>
      <c r="I19" s="119">
        <f>+Actuals!F49</f>
        <v>0</v>
      </c>
      <c r="J19" s="118">
        <f>+Actuals!G49</f>
        <v>0</v>
      </c>
      <c r="K19" s="119">
        <f>+Actuals!H49</f>
        <v>0</v>
      </c>
      <c r="L19" s="118">
        <f>+Actuals!I49</f>
        <v>0</v>
      </c>
      <c r="M19" s="119">
        <f>+Actuals!J49</f>
        <v>0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5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5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5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5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0</v>
      </c>
      <c r="K23" s="119">
        <f>+Actuals!H53</f>
        <v>0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5">
      <c r="A24" s="9"/>
      <c r="B24" s="7" t="s">
        <v>33</v>
      </c>
      <c r="C24" s="6"/>
      <c r="D24" s="59">
        <f t="shared" ref="D24:I24" si="4">SUM(D19:D23)</f>
        <v>0</v>
      </c>
      <c r="E24" s="23">
        <f t="shared" si="4"/>
        <v>0</v>
      </c>
      <c r="F24" s="59">
        <f t="shared" si="4"/>
        <v>0</v>
      </c>
      <c r="G24" s="23">
        <f t="shared" si="4"/>
        <v>0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58">
        <f>F27+H27+J27+L27+N27</f>
        <v>0</v>
      </c>
      <c r="E27" s="15">
        <f>G27+I27+K27+M27+O27</f>
        <v>0</v>
      </c>
      <c r="F27" s="84">
        <f>'TIE-OUT'!L27+RECLASS!J27</f>
        <v>0</v>
      </c>
      <c r="G27" s="85">
        <f>'TIE-OUT'!M27+RECLASS!K27</f>
        <v>0</v>
      </c>
      <c r="H27" s="118">
        <f>+Actuals!E54</f>
        <v>0</v>
      </c>
      <c r="I27" s="119">
        <f>+Actuals!F54</f>
        <v>0</v>
      </c>
      <c r="J27" s="118">
        <f>+Actuals!G54</f>
        <v>0</v>
      </c>
      <c r="K27" s="119">
        <f>+Actuals!H54</f>
        <v>0</v>
      </c>
      <c r="L27" s="118">
        <f>+Actuals!I54</f>
        <v>0</v>
      </c>
      <c r="M27" s="119">
        <f>+Actuals!J54</f>
        <v>0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5">
      <c r="A28" s="9">
        <v>12</v>
      </c>
      <c r="B28" s="7"/>
      <c r="C28" s="18" t="s">
        <v>36</v>
      </c>
      <c r="D28" s="58">
        <f>F28+H28+J28+L28+N28</f>
        <v>0</v>
      </c>
      <c r="E28" s="15">
        <f>G28+I28+K28+M28+O28</f>
        <v>0</v>
      </c>
      <c r="F28" s="97">
        <f>'TIE-OUT'!L28+RECLASS!J28</f>
        <v>0</v>
      </c>
      <c r="G28" s="98">
        <f>'TIE-OUT'!M28+RECLASS!K28</f>
        <v>0</v>
      </c>
      <c r="H28" s="118">
        <f>+Actuals!E55</f>
        <v>0</v>
      </c>
      <c r="I28" s="119">
        <f>+Actuals!F55</f>
        <v>0</v>
      </c>
      <c r="J28" s="118">
        <f>+Actuals!G55</f>
        <v>0</v>
      </c>
      <c r="K28" s="119">
        <f>+Actuals!H55</f>
        <v>0</v>
      </c>
      <c r="L28" s="118">
        <f>+Actuals!I55</f>
        <v>0</v>
      </c>
      <c r="M28" s="119">
        <f>+Actuals!J55</f>
        <v>0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5">
      <c r="A29" s="9"/>
      <c r="B29" s="7" t="s">
        <v>37</v>
      </c>
      <c r="C29" s="18"/>
      <c r="D29" s="59">
        <f t="shared" ref="D29:I29" si="6">SUM(D27:D28)</f>
        <v>0</v>
      </c>
      <c r="E29" s="23">
        <f t="shared" si="6"/>
        <v>0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58">
        <f>F32+H32+J32+L32+N32</f>
        <v>0</v>
      </c>
      <c r="E32" s="15">
        <f>G32+I32+K32+M32+O32</f>
        <v>0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0</v>
      </c>
      <c r="K32" s="119">
        <f>+Actuals!H56</f>
        <v>0</v>
      </c>
      <c r="L32" s="118">
        <f>+Actuals!I56</f>
        <v>0</v>
      </c>
      <c r="M32" s="119">
        <f>+Actuals!J56</f>
        <v>0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5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5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5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5">
      <c r="A36" s="9"/>
      <c r="B36" s="7" t="s">
        <v>43</v>
      </c>
      <c r="C36" s="6"/>
      <c r="D36" s="59">
        <f t="shared" ref="D36:I36" si="9">SUM(D32:D35)</f>
        <v>0</v>
      </c>
      <c r="E36" s="23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0</v>
      </c>
      <c r="K39" s="119">
        <f>+Actuals!H60</f>
        <v>0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0</v>
      </c>
      <c r="K40" s="119">
        <f>+Actuals!H61</f>
        <v>0</v>
      </c>
      <c r="L40" s="118">
        <f>+Actuals!I61</f>
        <v>0</v>
      </c>
      <c r="M40" s="119">
        <f>+Actuals!J61</f>
        <v>0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5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5">
      <c r="A42" s="9"/>
      <c r="B42" s="7"/>
      <c r="C42" s="53" t="s">
        <v>48</v>
      </c>
      <c r="D42" s="59">
        <f t="shared" ref="D42:I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59">
        <f t="shared" ref="D43:I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0</v>
      </c>
      <c r="K45" s="119">
        <f>+Actuals!H63</f>
        <v>0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5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5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58">
        <f>F49+H49+J49+L49+N49</f>
        <v>0</v>
      </c>
      <c r="E49" s="15">
        <f>G49+I49+K49+M49+O49</f>
        <v>0</v>
      </c>
      <c r="F49" s="58">
        <f>'TIE-OUT'!L49+RECLASS!J49</f>
        <v>0</v>
      </c>
      <c r="G49" s="15">
        <f>'TIE-OUT'!M49+RECLASS!K49</f>
        <v>0</v>
      </c>
      <c r="H49" s="118">
        <f>+Actuals!E65</f>
        <v>0</v>
      </c>
      <c r="I49" s="119">
        <f>+Actuals!F65</f>
        <v>0</v>
      </c>
      <c r="J49" s="118">
        <f>+Actuals!G65</f>
        <v>0</v>
      </c>
      <c r="K49" s="119">
        <f>+Actuals!H65</f>
        <v>0</v>
      </c>
      <c r="L49" s="118">
        <f>+Actuals!I65</f>
        <v>0</v>
      </c>
      <c r="M49" s="119">
        <f>+Actuals!J65</f>
        <v>0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5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</f>
        <v>0</v>
      </c>
      <c r="K51" s="119">
        <f>+Actuals!H66</f>
        <v>0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5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58">
        <f>F54+H54+J54+L54+N54</f>
        <v>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5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f>+Actuals!E68</f>
        <v>0</v>
      </c>
      <c r="I55" s="119">
        <f>+Actuals!F68</f>
        <v>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5">
      <c r="A56" s="9"/>
      <c r="B56" s="7" t="s">
        <v>57</v>
      </c>
      <c r="C56" s="6"/>
      <c r="D56" s="59">
        <f t="shared" ref="D56:I56" si="16">SUM(D54:D55)</f>
        <v>0</v>
      </c>
      <c r="E56" s="23">
        <f t="shared" si="16"/>
        <v>0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84">
        <f>'TIE-OUT'!L59+RECLASS!J59</f>
        <v>0</v>
      </c>
      <c r="G59" s="85">
        <f>'TIE-OUT'!M59+RECLASS!K59</f>
        <v>0</v>
      </c>
      <c r="H59" s="118">
        <f>+Actuals!E69</f>
        <v>0</v>
      </c>
      <c r="I59" s="119">
        <f>+Actuals!F69</f>
        <v>0</v>
      </c>
      <c r="J59" s="118">
        <f>+Actuals!G69</f>
        <v>0</v>
      </c>
      <c r="K59" s="119">
        <f>+Actuals!H69</f>
        <v>0</v>
      </c>
      <c r="L59" s="118">
        <f>+Actuals!I69</f>
        <v>0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5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f>+Actuals!E70</f>
        <v>0</v>
      </c>
      <c r="I60" s="119">
        <f>+Actuals!F70</f>
        <v>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5">
      <c r="A61" s="9"/>
      <c r="B61" s="62" t="s">
        <v>61</v>
      </c>
      <c r="C61" s="6"/>
      <c r="D61" s="59">
        <f t="shared" ref="D61:I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84">
        <f>'TIE-OUT'!L64+RECLASS!J64</f>
        <v>0</v>
      </c>
      <c r="G64" s="85">
        <f>'TIE-OUT'!M64+RECLASS!K64</f>
        <v>0</v>
      </c>
      <c r="H64" s="118">
        <f>+Actuals!E71</f>
        <v>0</v>
      </c>
      <c r="I64" s="119">
        <f>+Actuals!F71</f>
        <v>0</v>
      </c>
      <c r="J64" s="118">
        <f>+Actuals!G71</f>
        <v>0</v>
      </c>
      <c r="K64" s="119">
        <f>+Actuals!H71</f>
        <v>0</v>
      </c>
      <c r="L64" s="118">
        <f>+Actuals!I71</f>
        <v>0</v>
      </c>
      <c r="M64" s="119">
        <f>+Actuals!J71</f>
        <v>0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5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97">
        <f>'TIE-OUT'!L65+RECLASS!J65</f>
        <v>0</v>
      </c>
      <c r="G65" s="98">
        <f>'TIE-OUT'!M65+RECLASS!K65</f>
        <v>0</v>
      </c>
      <c r="H65" s="118">
        <f>+Actuals!E72</f>
        <v>0</v>
      </c>
      <c r="I65" s="119">
        <f>+Actuals!F72</f>
        <v>0</v>
      </c>
      <c r="J65" s="118">
        <f>+Actuals!G72</f>
        <v>0</v>
      </c>
      <c r="K65" s="119">
        <f>+Actuals!H72</f>
        <v>0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5">
      <c r="A66" s="9"/>
      <c r="B66" s="7" t="s">
        <v>64</v>
      </c>
      <c r="C66" s="6"/>
      <c r="D66" s="59">
        <f t="shared" ref="D66:I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5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5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5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5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5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5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5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5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5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5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v>3331023</v>
      </c>
      <c r="J81" s="118">
        <f>+Actuals!G83</f>
        <v>0</v>
      </c>
      <c r="K81" s="119">
        <v>-3331023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-33856.559999999998</v>
      </c>
      <c r="F82" s="91">
        <f>F16+F24+F29+F36+F43+F45+F47+F49</f>
        <v>0</v>
      </c>
      <c r="G82" s="92">
        <f>SUM(G72:G81)+G16+G24+G29+G36+G43+G45+G47+G49+G51+G56+G61+G66</f>
        <v>-33856.559999999998</v>
      </c>
      <c r="H82" s="91">
        <f>H16+H24+H29+H36+H43+H45+H47+H49</f>
        <v>0</v>
      </c>
      <c r="I82" s="92">
        <f>SUM(I72:I81)+I16+I24+I29+I36+I43+I45+I47+I49+I51+I56+I61+I66</f>
        <v>3331023</v>
      </c>
      <c r="J82" s="91">
        <f>J16+J24+J29+J36+J43+J45+J47+J49</f>
        <v>0</v>
      </c>
      <c r="K82" s="110">
        <f>SUM(K72:K81)+K16+K24+K29+K36+K43+K45+K47+K49+K51+K56+K61+K66</f>
        <v>-3331023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I84" s="45"/>
      <c r="K84" s="131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D78" activePane="bottomRight" state="frozen"/>
      <selection activeCell="N16" sqref="N16"/>
      <selection pane="topRight" activeCell="N16" sqref="N16"/>
      <selection pane="bottomLeft" activeCell="N16" sqref="N16"/>
      <selection pane="bottomRight" activeCell="N16" sqref="N1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15" width="15.44140625" customWidth="1"/>
    <col min="16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157990573</v>
      </c>
      <c r="E11" s="38">
        <f>SUM(G11,I11,K11,M11,O11,Q11,S11,U11,W11,Y11,AA11,AC11,AE11)</f>
        <v>662241506.25999987</v>
      </c>
      <c r="F11" s="60">
        <f>('TIE-OUT'!L11+'TIE-OUT'!J11)+(RECLASS!J11+RECLASS!H11)</f>
        <v>0</v>
      </c>
      <c r="G11" s="38">
        <f>('TIE-OUT'!M11+'TIE-OUT'!K11)+(RECLASS!K11+RECLASS!I11)</f>
        <v>0</v>
      </c>
      <c r="H11" s="60">
        <f>'EAST-EGM-GL'!H11+'EAST-LRC-GL'!H11</f>
        <v>158135451</v>
      </c>
      <c r="I11" s="38">
        <f>'EAST-EGM-GL'!I11+'EAST-LRC-GL'!I11</f>
        <v>677982083.13999999</v>
      </c>
      <c r="J11" s="60">
        <f>'EAST-EGM-GL'!J11+'EAST-LRC-GL'!J11</f>
        <v>-182977</v>
      </c>
      <c r="K11" s="38">
        <f>'EAST-EGM-GL'!K11+'EAST-LRC-GL'!K11</f>
        <v>-1674533.73</v>
      </c>
      <c r="L11" s="60">
        <f>'EAST-EGM-GL'!L11+'EAST-LRC-GL'!L11</f>
        <v>38099</v>
      </c>
      <c r="M11" s="38">
        <f>'EAST-EGM-GL'!M11+'EAST-LRC-GL'!M11</f>
        <v>-14062752.689999999</v>
      </c>
      <c r="N11" s="60">
        <f>'EAST-EGM-GL'!N11+'EAST-LRC-GL'!N11</f>
        <v>0</v>
      </c>
      <c r="O11" s="38">
        <f>'EAST-EGM-GL'!O11+'EAST-LRC-GL'!O11</f>
        <v>-3290.46</v>
      </c>
      <c r="P11" s="60">
        <f>'EAST-EGM-GL'!P11+'EAST-LRC-GL'!P11</f>
        <v>0</v>
      </c>
      <c r="Q11" s="38">
        <f>'EAST-EGM-GL'!Q11+'EAST-LRC-GL'!Q11</f>
        <v>0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20291970.23</v>
      </c>
      <c r="F12" s="60">
        <f>('TIE-OUT'!L12+'TIE-OUT'!J12)+(RECLASS!J12+RECLASS!H12)</f>
        <v>0</v>
      </c>
      <c r="G12" s="38">
        <f>('TIE-OUT'!M12+'TIE-OUT'!K12)+(RECLASS!K12+RECLASS!I12)</f>
        <v>20291970.23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0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98199788</v>
      </c>
      <c r="E13" s="38">
        <f t="shared" si="0"/>
        <v>425874002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98199788</v>
      </c>
      <c r="I13" s="38">
        <f>'EAST-EGM-GL'!I13+'EAST-LRC-GL'!I13</f>
        <v>425874002</v>
      </c>
      <c r="J13" s="60">
        <f>'EAST-EGM-GL'!J13+'EAST-LRC-GL'!J13</f>
        <v>0</v>
      </c>
      <c r="K13" s="38">
        <f>'EAST-EGM-GL'!K13+'EAST-LRC-GL'!K13</f>
        <v>0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4853957.24</v>
      </c>
      <c r="F15" s="81">
        <f>('TIE-OUT'!L15+'TIE-OUT'!J15)+(RECLASS!J15+RECLASS!H15)</f>
        <v>0</v>
      </c>
      <c r="G15" s="82">
        <f>('TIE-OUT'!M15+'TIE-OUT'!K15)+(RECLASS!K15+RECLASS!I15)</f>
        <v>0</v>
      </c>
      <c r="H15" s="60">
        <f>'EAST-EGM-GL'!H15+'EAST-LRC-GL'!H15</f>
        <v>0</v>
      </c>
      <c r="I15" s="38">
        <f>'EAST-EGM-GL'!I15+'EAST-LRC-GL'!I15</f>
        <v>1694730.88</v>
      </c>
      <c r="J15" s="60">
        <f>'EAST-EGM-GL'!J15+'EAST-LRC-GL'!J15</f>
        <v>0</v>
      </c>
      <c r="K15" s="38">
        <f>'EAST-EGM-GL'!K15+'EAST-LRC-GL'!K15</f>
        <v>1831527.13</v>
      </c>
      <c r="L15" s="60">
        <f>'EAST-EGM-GL'!L15+'EAST-LRC-GL'!L15</f>
        <v>0</v>
      </c>
      <c r="M15" s="38">
        <f>'EAST-EGM-GL'!M15+'EAST-LRC-GL'!M15</f>
        <v>797763.29</v>
      </c>
      <c r="N15" s="60">
        <f>'EAST-EGM-GL'!N15+'EAST-LRC-GL'!N15</f>
        <v>0</v>
      </c>
      <c r="O15" s="38">
        <f>'EAST-EGM-GL'!O15+'EAST-LRC-GL'!O15</f>
        <v>529935.93999999994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256190361</v>
      </c>
      <c r="E16" s="39">
        <f t="shared" si="1"/>
        <v>1113261435.7299998</v>
      </c>
      <c r="F16" s="61">
        <f t="shared" si="1"/>
        <v>0</v>
      </c>
      <c r="G16" s="39">
        <f t="shared" si="1"/>
        <v>20291970.23</v>
      </c>
      <c r="H16" s="61">
        <f t="shared" si="1"/>
        <v>256335239</v>
      </c>
      <c r="I16" s="39">
        <f t="shared" si="1"/>
        <v>1105550816.02</v>
      </c>
      <c r="J16" s="61">
        <f t="shared" si="1"/>
        <v>-182977</v>
      </c>
      <c r="K16" s="39">
        <f t="shared" si="1"/>
        <v>156993.39999999991</v>
      </c>
      <c r="L16" s="61">
        <f t="shared" si="1"/>
        <v>38099</v>
      </c>
      <c r="M16" s="39">
        <f t="shared" si="1"/>
        <v>-13264989.399999999</v>
      </c>
      <c r="N16" s="61">
        <f t="shared" si="1"/>
        <v>0</v>
      </c>
      <c r="O16" s="39">
        <f t="shared" si="1"/>
        <v>526645.48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-170771873</v>
      </c>
      <c r="E19" s="38">
        <f t="shared" si="2"/>
        <v>-719038282.99000013</v>
      </c>
      <c r="F19" s="64">
        <f>('TIE-OUT'!L19+'TIE-OUT'!J19)+(RECLASS!J19+RECLASS!H19)</f>
        <v>0</v>
      </c>
      <c r="G19" s="68">
        <f>('TIE-OUT'!M19+'TIE-OUT'!K19)+(RECLASS!K19+RECLASS!I19)</f>
        <v>0</v>
      </c>
      <c r="H19" s="60">
        <f>'EAST-EGM-GL'!H19+'EAST-LRC-GL'!H19</f>
        <v>-164921265</v>
      </c>
      <c r="I19" s="38">
        <f>'EAST-EGM-GL'!I19+'EAST-LRC-GL'!I19</f>
        <v>-697288081.51000011</v>
      </c>
      <c r="J19" s="60">
        <f>'EAST-EGM-GL'!J19+'EAST-LRC-GL'!J19</f>
        <v>-4728827</v>
      </c>
      <c r="K19" s="38">
        <f>'EAST-EGM-GL'!K19+'EAST-LRC-GL'!K19</f>
        <v>-26736731.030000001</v>
      </c>
      <c r="L19" s="60">
        <f>'EAST-EGM-GL'!L19+'EAST-LRC-GL'!L19</f>
        <v>-1772015</v>
      </c>
      <c r="M19" s="38">
        <f>'EAST-EGM-GL'!M19+'EAST-LRC-GL'!M19</f>
        <v>4628221.37</v>
      </c>
      <c r="N19" s="60">
        <f>'EAST-EGM-GL'!N19+'EAST-LRC-GL'!N19</f>
        <v>650234</v>
      </c>
      <c r="O19" s="38">
        <f>'EAST-EGM-GL'!O19+'EAST-LRC-GL'!O19</f>
        <v>358308.18</v>
      </c>
      <c r="P19" s="60">
        <f>'EAST-EGM-GL'!P19+'EAST-LRC-GL'!P19</f>
        <v>0</v>
      </c>
      <c r="Q19" s="38">
        <f>'EAST-EGM-GL'!Q19+'EAST-LRC-GL'!Q19</f>
        <v>0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-31658710.870000001</v>
      </c>
      <c r="F20" s="60">
        <f>('TIE-OUT'!L20+'TIE-OUT'!J20)+(RECLASS!J20+RECLASS!H20)</f>
        <v>0</v>
      </c>
      <c r="G20" s="38">
        <f>('TIE-OUT'!M20+'TIE-OUT'!K20)+(RECLASS!K20+RECLASS!I20)</f>
        <v>-31658710.870000001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0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-92207938</v>
      </c>
      <c r="E21" s="38">
        <f t="shared" si="2"/>
        <v>-398424782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-92207938</v>
      </c>
      <c r="I21" s="38">
        <f>'EAST-EGM-GL'!I21+'EAST-LRC-GL'!I21</f>
        <v>-398424782</v>
      </c>
      <c r="J21" s="60">
        <f>'EAST-EGM-GL'!J21+'EAST-LRC-GL'!J21</f>
        <v>0</v>
      </c>
      <c r="K21" s="38">
        <f>'EAST-EGM-GL'!K21+'EAST-LRC-GL'!K21</f>
        <v>0</v>
      </c>
      <c r="L21" s="60">
        <f>'EAST-EGM-GL'!L21+'EAST-LRC-GL'!L21</f>
        <v>0</v>
      </c>
      <c r="M21" s="38">
        <f>'EAST-EGM-GL'!M21+'EAST-LRC-GL'!M21</f>
        <v>0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794469</v>
      </c>
      <c r="E23" s="38">
        <f t="shared" si="2"/>
        <v>3410655.4210000006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1084187</v>
      </c>
      <c r="I23" s="38">
        <f>'EAST-EGM-GL'!I23+'EAST-LRC-GL'!I23</f>
        <v>4654414.7910000002</v>
      </c>
      <c r="J23" s="60">
        <f>'EAST-EGM-GL'!J23+'EAST-LRC-GL'!J23</f>
        <v>-289011</v>
      </c>
      <c r="K23" s="38">
        <f>'EAST-EGM-GL'!K23+'EAST-LRC-GL'!K23</f>
        <v>-1240724.22</v>
      </c>
      <c r="L23" s="60">
        <f>'EAST-EGM-GL'!L23+'EAST-LRC-GL'!L23</f>
        <v>-6792</v>
      </c>
      <c r="M23" s="38">
        <f>'EAST-EGM-GL'!M23+'EAST-LRC-GL'!M23</f>
        <v>-29158.06</v>
      </c>
      <c r="N23" s="60">
        <f>'EAST-EGM-GL'!N23+'EAST-LRC-GL'!N23</f>
        <v>6085</v>
      </c>
      <c r="O23" s="38">
        <f>'EAST-EGM-GL'!O23+'EAST-LRC-GL'!O23</f>
        <v>26122.91</v>
      </c>
      <c r="P23" s="60">
        <f>'EAST-EGM-GL'!P23+'EAST-LRC-GL'!P23</f>
        <v>0</v>
      </c>
      <c r="Q23" s="38">
        <f>'EAST-EGM-GL'!Q23+'EAST-LRC-GL'!Q23</f>
        <v>0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-262185342</v>
      </c>
      <c r="E24" s="39">
        <f t="shared" si="3"/>
        <v>-1145711120.4390001</v>
      </c>
      <c r="F24" s="61">
        <f t="shared" si="3"/>
        <v>0</v>
      </c>
      <c r="G24" s="39">
        <f t="shared" si="3"/>
        <v>-31658710.870000001</v>
      </c>
      <c r="H24" s="61">
        <f t="shared" si="3"/>
        <v>-256045016</v>
      </c>
      <c r="I24" s="39">
        <f t="shared" si="3"/>
        <v>-1091058448.7190003</v>
      </c>
      <c r="J24" s="61">
        <f t="shared" si="3"/>
        <v>-5017838</v>
      </c>
      <c r="K24" s="39">
        <f t="shared" si="3"/>
        <v>-27977455.25</v>
      </c>
      <c r="L24" s="61">
        <f t="shared" si="3"/>
        <v>-1778807</v>
      </c>
      <c r="M24" s="39">
        <f t="shared" si="3"/>
        <v>4599063.3100000005</v>
      </c>
      <c r="N24" s="61">
        <f t="shared" si="3"/>
        <v>656319</v>
      </c>
      <c r="O24" s="39">
        <f t="shared" si="3"/>
        <v>384431.08999999997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139825</v>
      </c>
      <c r="E27" s="38">
        <f>SUM(G27,I27,K27,M27,O27,Q27,S27,U27,W27,Y27,AA27,AC27,AE27)</f>
        <v>578895.73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140099</v>
      </c>
      <c r="I27" s="38">
        <f>'EAST-EGM-GL'!I27+'EAST-LRC-GL'!I27</f>
        <v>579768.34</v>
      </c>
      <c r="J27" s="60">
        <f>'EAST-EGM-GL'!J27+'EAST-LRC-GL'!J27</f>
        <v>-274</v>
      </c>
      <c r="K27" s="38">
        <f>'EAST-EGM-GL'!K27+'EAST-LRC-GL'!K27</f>
        <v>-872.61</v>
      </c>
      <c r="L27" s="60">
        <f>'EAST-EGM-GL'!L27+'EAST-LRC-GL'!L27</f>
        <v>0</v>
      </c>
      <c r="M27" s="38">
        <f>'EAST-EGM-GL'!M27+'EAST-LRC-GL'!M27</f>
        <v>0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-89332</v>
      </c>
      <c r="E28" s="38">
        <f>SUM(G28,I28,K28,M28,O28,Q28,S28,U28,W28,Y28,AA28,AC28,AE28)</f>
        <v>-369479.04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-89332</v>
      </c>
      <c r="I28" s="38">
        <f>'EAST-EGM-GL'!I28+'EAST-LRC-GL'!I28</f>
        <v>-369479.04</v>
      </c>
      <c r="J28" s="60">
        <f>'EAST-EGM-GL'!J28+'EAST-LRC-GL'!J28</f>
        <v>0</v>
      </c>
      <c r="K28" s="38">
        <f>'EAST-EGM-GL'!K28+'EAST-LRC-GL'!K28</f>
        <v>0</v>
      </c>
      <c r="L28" s="60">
        <f>'EAST-EGM-GL'!L28+'EAST-LRC-GL'!L28</f>
        <v>0</v>
      </c>
      <c r="M28" s="38">
        <f>'EAST-EGM-GL'!M28+'EAST-LRC-GL'!M28</f>
        <v>0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50493</v>
      </c>
      <c r="E29" s="39">
        <f t="shared" si="4"/>
        <v>209416.69</v>
      </c>
      <c r="F29" s="61">
        <f t="shared" si="4"/>
        <v>0</v>
      </c>
      <c r="G29" s="39">
        <f t="shared" si="4"/>
        <v>0</v>
      </c>
      <c r="H29" s="61">
        <f t="shared" si="4"/>
        <v>50767</v>
      </c>
      <c r="I29" s="39">
        <f t="shared" si="4"/>
        <v>210289.3</v>
      </c>
      <c r="J29" s="61">
        <f t="shared" si="4"/>
        <v>-274</v>
      </c>
      <c r="K29" s="39">
        <f t="shared" si="4"/>
        <v>-872.61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-1193931</v>
      </c>
      <c r="E32" s="38">
        <f t="shared" si="5"/>
        <v>-5125414.9930000007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-248481</v>
      </c>
      <c r="I32" s="38">
        <f>'EAST-EGM-GL'!I32+'EAST-LRC-GL'!I32</f>
        <v>-1066728.933</v>
      </c>
      <c r="J32" s="60">
        <f>'EAST-EGM-GL'!J32+'EAST-LRC-GL'!J32</f>
        <v>-1450908</v>
      </c>
      <c r="K32" s="38">
        <f>'EAST-EGM-GL'!K32+'EAST-LRC-GL'!K32</f>
        <v>-6228748.04</v>
      </c>
      <c r="L32" s="60">
        <f>'EAST-EGM-GL'!L32+'EAST-LRC-GL'!L32</f>
        <v>1140478</v>
      </c>
      <c r="M32" s="38">
        <f>'EAST-EGM-GL'!M32+'EAST-LRC-GL'!M32</f>
        <v>4896072.05</v>
      </c>
      <c r="N32" s="60">
        <f>'EAST-EGM-GL'!N32+'EAST-LRC-GL'!N32</f>
        <v>-635020</v>
      </c>
      <c r="O32" s="38">
        <f>'EAST-EGM-GL'!O32+'EAST-LRC-GL'!O32</f>
        <v>-2726010.07</v>
      </c>
      <c r="P32" s="60">
        <f>'EAST-EGM-GL'!P32+'EAST-LRC-GL'!P32</f>
        <v>0</v>
      </c>
      <c r="Q32" s="38">
        <f>'EAST-EGM-GL'!Q32+'EAST-LRC-GL'!Q32</f>
        <v>0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-377965</v>
      </c>
      <c r="E33" s="38">
        <f t="shared" si="5"/>
        <v>-1489667.72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-200882</v>
      </c>
      <c r="K33" s="38">
        <f>'EAST-EGM-GL'!K33+'EAST-LRC-GL'!K33</f>
        <v>-764665.59</v>
      </c>
      <c r="L33" s="60">
        <f>'EAST-EGM-GL'!L33+'EAST-LRC-GL'!L33</f>
        <v>-107656</v>
      </c>
      <c r="M33" s="38">
        <f>'EAST-EGM-GL'!M33+'EAST-LRC-GL'!M33</f>
        <v>-426182.05</v>
      </c>
      <c r="N33" s="60">
        <f>'EAST-EGM-GL'!N33+'EAST-LRC-GL'!N33</f>
        <v>-69427</v>
      </c>
      <c r="O33" s="38">
        <f>'EAST-EGM-GL'!O33+'EAST-LRC-GL'!O33</f>
        <v>-298820.08</v>
      </c>
      <c r="P33" s="60">
        <f>'EAST-EGM-GL'!P33+'EAST-LRC-GL'!P33</f>
        <v>0</v>
      </c>
      <c r="Q33" s="38">
        <f>'EAST-EGM-GL'!Q33+'EAST-LRC-GL'!Q33</f>
        <v>0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462391</v>
      </c>
      <c r="E34" s="38">
        <f t="shared" si="5"/>
        <v>1779892.4100000001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182394</v>
      </c>
      <c r="K34" s="38">
        <f>'EAST-EGM-GL'!K34+'EAST-LRC-GL'!K34</f>
        <v>656556.69999999995</v>
      </c>
      <c r="L34" s="60">
        <f>'EAST-EGM-GL'!L34+'EAST-LRC-GL'!L34</f>
        <v>120476</v>
      </c>
      <c r="M34" s="38">
        <f>'EAST-EGM-GL'!M34+'EAST-LRC-GL'!M34</f>
        <v>462428.09</v>
      </c>
      <c r="N34" s="60">
        <f>'EAST-EGM-GL'!N34+'EAST-LRC-GL'!N34</f>
        <v>159521</v>
      </c>
      <c r="O34" s="38">
        <f>'EAST-EGM-GL'!O34+'EAST-LRC-GL'!O34</f>
        <v>660907.62</v>
      </c>
      <c r="P34" s="60">
        <f>'EAST-EGM-GL'!P34+'EAST-LRC-GL'!P34</f>
        <v>0</v>
      </c>
      <c r="Q34" s="38">
        <f>'EAST-EGM-GL'!Q34+'EAST-LRC-GL'!Q34</f>
        <v>0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778347</v>
      </c>
      <c r="E35" s="38">
        <f t="shared" si="5"/>
        <v>2223440.09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-62010</v>
      </c>
      <c r="K35" s="38">
        <f>'EAST-EGM-GL'!K35+'EAST-LRC-GL'!K35</f>
        <v>0</v>
      </c>
      <c r="L35" s="60">
        <f>'EAST-EGM-GL'!L35+'EAST-LRC-GL'!L35</f>
        <v>62000</v>
      </c>
      <c r="M35" s="38">
        <f>'EAST-EGM-GL'!M35+'EAST-LRC-GL'!M35</f>
        <v>3589300.04</v>
      </c>
      <c r="N35" s="60">
        <f>'EAST-EGM-GL'!N35+'EAST-LRC-GL'!N35</f>
        <v>778357</v>
      </c>
      <c r="O35" s="38">
        <f>'EAST-EGM-GL'!O35+'EAST-LRC-GL'!O35</f>
        <v>-1365859.95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-331158</v>
      </c>
      <c r="E36" s="39">
        <f t="shared" si="6"/>
        <v>-2611750.2130000005</v>
      </c>
      <c r="F36" s="61">
        <f t="shared" si="6"/>
        <v>0</v>
      </c>
      <c r="G36" s="39">
        <f t="shared" si="6"/>
        <v>0</v>
      </c>
      <c r="H36" s="61">
        <f t="shared" si="6"/>
        <v>-248481</v>
      </c>
      <c r="I36" s="39">
        <f t="shared" si="6"/>
        <v>-1066728.933</v>
      </c>
      <c r="J36" s="61">
        <f t="shared" si="6"/>
        <v>-1531406</v>
      </c>
      <c r="K36" s="39">
        <f t="shared" si="6"/>
        <v>-6336856.9299999997</v>
      </c>
      <c r="L36" s="61">
        <f t="shared" si="6"/>
        <v>1215298</v>
      </c>
      <c r="M36" s="39">
        <f t="shared" si="6"/>
        <v>8521618.129999999</v>
      </c>
      <c r="N36" s="61">
        <f t="shared" si="6"/>
        <v>233431</v>
      </c>
      <c r="O36" s="39">
        <f t="shared" si="6"/>
        <v>-3729782.4799999995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2505480</v>
      </c>
      <c r="E39" s="38">
        <f t="shared" si="7"/>
        <v>9351594.2799999993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1566417</v>
      </c>
      <c r="I39" s="38">
        <f>'EAST-EGM-GL'!I39+'EAST-LRC-GL'!I39</f>
        <v>2045215.29</v>
      </c>
      <c r="J39" s="60">
        <f>'EAST-EGM-GL'!J39+'EAST-LRC-GL'!J39</f>
        <v>935993</v>
      </c>
      <c r="K39" s="38">
        <f>'EAST-EGM-GL'!K39+'EAST-LRC-GL'!K39</f>
        <v>2612820.67</v>
      </c>
      <c r="L39" s="60">
        <f>'EAST-EGM-GL'!L39+'EAST-LRC-GL'!L39</f>
        <v>-840</v>
      </c>
      <c r="M39" s="38">
        <f>'EAST-EGM-GL'!M39+'EAST-LRC-GL'!M39</f>
        <v>-2640.24</v>
      </c>
      <c r="N39" s="60">
        <f>'EAST-EGM-GL'!N39+'EAST-LRC-GL'!N39</f>
        <v>3910</v>
      </c>
      <c r="O39" s="38">
        <f>'EAST-EGM-GL'!O39+'EAST-LRC-GL'!O39</f>
        <v>4696198.5599999996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-1164897</v>
      </c>
      <c r="E40" s="38">
        <f t="shared" si="7"/>
        <v>-5387268.0200000005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-313104</v>
      </c>
      <c r="I40" s="38">
        <f>'EAST-EGM-GL'!I40+'EAST-LRC-GL'!I40</f>
        <v>-493435.94</v>
      </c>
      <c r="J40" s="60">
        <f>'EAST-EGM-GL'!J40+'EAST-LRC-GL'!J40</f>
        <v>661</v>
      </c>
      <c r="K40" s="38">
        <f>'EAST-EGM-GL'!K40+'EAST-LRC-GL'!K40</f>
        <v>5266.57</v>
      </c>
      <c r="L40" s="60">
        <f>'EAST-EGM-GL'!L40+'EAST-LRC-GL'!L40</f>
        <v>0</v>
      </c>
      <c r="M40" s="38">
        <f>'EAST-EGM-GL'!M40+'EAST-LRC-GL'!M40</f>
        <v>0</v>
      </c>
      <c r="N40" s="60">
        <f>'EAST-EGM-GL'!N40+'EAST-LRC-GL'!N40</f>
        <v>-852454</v>
      </c>
      <c r="O40" s="38">
        <f>'EAST-EGM-GL'!O40+'EAST-LRC-GL'!O40</f>
        <v>-4899098.6500000004</v>
      </c>
      <c r="P40" s="60">
        <f>'EAST-EGM-GL'!P40+'EAST-LRC-GL'!P40</f>
        <v>0</v>
      </c>
      <c r="Q40" s="38">
        <f>'EAST-EGM-GL'!Q40+'EAST-LRC-GL'!Q40</f>
        <v>0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-1164897</v>
      </c>
      <c r="E42" s="39">
        <f t="shared" si="8"/>
        <v>-5387268.0200000005</v>
      </c>
      <c r="F42" s="61">
        <f t="shared" si="8"/>
        <v>0</v>
      </c>
      <c r="G42" s="39">
        <f t="shared" si="8"/>
        <v>0</v>
      </c>
      <c r="H42" s="61">
        <f t="shared" si="8"/>
        <v>-313104</v>
      </c>
      <c r="I42" s="39">
        <f t="shared" si="8"/>
        <v>-493435.94</v>
      </c>
      <c r="J42" s="61">
        <f t="shared" si="8"/>
        <v>661</v>
      </c>
      <c r="K42" s="39">
        <f t="shared" si="8"/>
        <v>5266.57</v>
      </c>
      <c r="L42" s="61">
        <f t="shared" si="8"/>
        <v>0</v>
      </c>
      <c r="M42" s="39">
        <f t="shared" si="8"/>
        <v>0</v>
      </c>
      <c r="N42" s="61">
        <f t="shared" si="8"/>
        <v>-852454</v>
      </c>
      <c r="O42" s="39">
        <f t="shared" si="8"/>
        <v>-4899098.6500000004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1340583</v>
      </c>
      <c r="E43" s="39">
        <f t="shared" si="9"/>
        <v>3964326.2599999988</v>
      </c>
      <c r="F43" s="61">
        <f t="shared" si="9"/>
        <v>0</v>
      </c>
      <c r="G43" s="39">
        <f t="shared" si="9"/>
        <v>0</v>
      </c>
      <c r="H43" s="61">
        <f t="shared" si="9"/>
        <v>1253313</v>
      </c>
      <c r="I43" s="39">
        <f t="shared" si="9"/>
        <v>1551779.35</v>
      </c>
      <c r="J43" s="61">
        <f t="shared" si="9"/>
        <v>936654</v>
      </c>
      <c r="K43" s="39">
        <f t="shared" si="9"/>
        <v>2618087.2399999998</v>
      </c>
      <c r="L43" s="61">
        <f t="shared" si="9"/>
        <v>-840</v>
      </c>
      <c r="M43" s="39">
        <f t="shared" si="9"/>
        <v>-2640.24</v>
      </c>
      <c r="N43" s="61">
        <f t="shared" si="9"/>
        <v>-848544</v>
      </c>
      <c r="O43" s="39">
        <f t="shared" si="9"/>
        <v>-202900.09000000078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0</v>
      </c>
      <c r="K45" s="38">
        <f>'EAST-EGM-GL'!K45+'EAST-LRC-GL'!K45</f>
        <v>0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4935228</v>
      </c>
      <c r="E49" s="38">
        <f>SUM(G49,I49,K49,M49,O49,Q49,S49,U49,W49,Y49,AA49,AC49,AE49)</f>
        <v>21186933.804000001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-1345822</v>
      </c>
      <c r="I49" s="38">
        <f>'EAST-EGM-GL'!I49+'EAST-LRC-GL'!I49</f>
        <v>-5777613.8459999999</v>
      </c>
      <c r="J49" s="60">
        <f>'EAST-EGM-GL'!J49+'EAST-LRC-GL'!J49</f>
        <v>5796006</v>
      </c>
      <c r="K49" s="38">
        <f>'EAST-EGM-GL'!K49+'EAST-LRC-GL'!K49</f>
        <v>24882253.760000002</v>
      </c>
      <c r="L49" s="60">
        <f>'EAST-EGM-GL'!L49+'EAST-LRC-GL'!L49</f>
        <v>526250</v>
      </c>
      <c r="M49" s="38">
        <f>'EAST-EGM-GL'!M49+'EAST-LRC-GL'!M49</f>
        <v>2259191.25</v>
      </c>
      <c r="N49" s="60">
        <f>'EAST-EGM-GL'!N49+'EAST-LRC-GL'!N49</f>
        <v>-41206</v>
      </c>
      <c r="O49" s="38">
        <f>'EAST-EGM-GL'!O49+'EAST-LRC-GL'!O49</f>
        <v>-176897.36</v>
      </c>
      <c r="P49" s="60">
        <f>'EAST-EGM-GL'!P49+'EAST-LRC-GL'!P49</f>
        <v>0</v>
      </c>
      <c r="Q49" s="38">
        <f>'EAST-EGM-GL'!Q49+'EAST-LRC-GL'!Q49</f>
        <v>0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-794469</v>
      </c>
      <c r="E51" s="38">
        <f>SUM(G51,I51,K51,M51,O51,Q51,S51,U51,W51,Y51,AA51,AC51,AE51)</f>
        <v>-3410655.4210000006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-1084187</v>
      </c>
      <c r="I51" s="38">
        <f>'EAST-EGM-GL'!I51+'EAST-LRC-GL'!I51</f>
        <v>-4654414.7910000002</v>
      </c>
      <c r="J51" s="60">
        <f>'EAST-EGM-GL'!J51+'EAST-LRC-GL'!J51</f>
        <v>289011</v>
      </c>
      <c r="K51" s="38">
        <f>'EAST-EGM-GL'!K51+'EAST-LRC-GL'!K51</f>
        <v>1240724.22</v>
      </c>
      <c r="L51" s="60">
        <f>'EAST-EGM-GL'!L51+'EAST-LRC-GL'!L51</f>
        <v>6792</v>
      </c>
      <c r="M51" s="38">
        <f>'EAST-EGM-GL'!M51+'EAST-LRC-GL'!M51</f>
        <v>29158.06</v>
      </c>
      <c r="N51" s="60">
        <f>'EAST-EGM-GL'!N51+'EAST-LRC-GL'!N51</f>
        <v>-6085</v>
      </c>
      <c r="O51" s="38">
        <f>'EAST-EGM-GL'!O51+'EAST-LRC-GL'!O51</f>
        <v>-26122.91</v>
      </c>
      <c r="P51" s="60">
        <f>'EAST-EGM-GL'!P51+'EAST-LRC-GL'!P51</f>
        <v>0</v>
      </c>
      <c r="Q51" s="38">
        <f>'EAST-EGM-GL'!Q51+'EAST-LRC-GL'!Q51</f>
        <v>0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-138037335</v>
      </c>
      <c r="E54" s="38">
        <f>SUM(G54,I54,K54,M54,O54,Q54,S54,U54,W54,Y54,AA54,AC54,AE54)</f>
        <v>2199631.6199999996</v>
      </c>
      <c r="F54" s="64">
        <f>('TIE-OUT'!L54+'TIE-OUT'!J54)+(RECLASS!J54+RECLASS!H54)</f>
        <v>0</v>
      </c>
      <c r="G54" s="68">
        <f>('TIE-OUT'!M54+'TIE-OUT'!K54)+(RECLASS!K54+RECLASS!I54)</f>
        <v>0</v>
      </c>
      <c r="H54" s="60">
        <f>'EAST-EGM-GL'!H54+'EAST-LRC-GL'!H54</f>
        <v>-157970356</v>
      </c>
      <c r="I54" s="38">
        <f>'EAST-EGM-GL'!I54+'EAST-LRC-GL'!I54</f>
        <v>-2293267.85</v>
      </c>
      <c r="J54" s="60">
        <f>'EAST-EGM-GL'!J54+'EAST-LRC-GL'!J54</f>
        <v>20960328</v>
      </c>
      <c r="K54" s="38">
        <f>'EAST-EGM-GL'!K54+'EAST-LRC-GL'!K54</f>
        <v>4585785.05</v>
      </c>
      <c r="L54" s="60">
        <f>'EAST-EGM-GL'!L54+'EAST-LRC-GL'!L54</f>
        <v>3453500</v>
      </c>
      <c r="M54" s="38">
        <f>'EAST-EGM-GL'!M54+'EAST-LRC-GL'!M54</f>
        <v>105268.73</v>
      </c>
      <c r="N54" s="60">
        <f>'EAST-EGM-GL'!N54+'EAST-LRC-GL'!N54</f>
        <v>-4480807</v>
      </c>
      <c r="O54" s="38">
        <f>'EAST-EGM-GL'!O54+'EAST-LRC-GL'!O54</f>
        <v>-198154.31</v>
      </c>
      <c r="P54" s="60">
        <f>'EAST-EGM-GL'!P54+'EAST-LRC-GL'!P54</f>
        <v>0</v>
      </c>
      <c r="Q54" s="38">
        <f>'EAST-EGM-GL'!Q54+'EAST-LRC-GL'!Q54</f>
        <v>0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-9220428.129999999</v>
      </c>
      <c r="F55" s="81">
        <f>('TIE-OUT'!L55+'TIE-OUT'!J55)+(RECLASS!J55+RECLASS!H55)</f>
        <v>0</v>
      </c>
      <c r="G55" s="82">
        <f>('TIE-OUT'!M55+'TIE-OUT'!K55)+(RECLASS!K55+RECLASS!I55)</f>
        <v>0</v>
      </c>
      <c r="H55" s="60">
        <f>'EAST-EGM-GL'!H55+'EAST-LRC-GL'!H55</f>
        <v>0</v>
      </c>
      <c r="I55" s="38">
        <f>'EAST-EGM-GL'!I55+'EAST-LRC-GL'!I55</f>
        <v>-5109292.5999999996</v>
      </c>
      <c r="J55" s="60">
        <f>'EAST-EGM-GL'!J55+'EAST-LRC-GL'!J55</f>
        <v>0</v>
      </c>
      <c r="K55" s="38">
        <f>'EAST-EGM-GL'!K55+'EAST-LRC-GL'!K55</f>
        <v>-4449769.83</v>
      </c>
      <c r="L55" s="60">
        <f>'EAST-EGM-GL'!L55+'EAST-LRC-GL'!L55</f>
        <v>0</v>
      </c>
      <c r="M55" s="38">
        <f>'EAST-EGM-GL'!M55+'EAST-LRC-GL'!M55</f>
        <v>333756.71999999997</v>
      </c>
      <c r="N55" s="60">
        <f>'EAST-EGM-GL'!N55+'EAST-LRC-GL'!N55</f>
        <v>0</v>
      </c>
      <c r="O55" s="38">
        <f>'EAST-EGM-GL'!O55+'EAST-LRC-GL'!O55</f>
        <v>4877.58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-138037335</v>
      </c>
      <c r="E56" s="39">
        <f t="shared" si="10"/>
        <v>-7020796.5099999998</v>
      </c>
      <c r="F56" s="61">
        <f t="shared" si="10"/>
        <v>0</v>
      </c>
      <c r="G56" s="39">
        <f t="shared" si="10"/>
        <v>0</v>
      </c>
      <c r="H56" s="61">
        <f t="shared" si="10"/>
        <v>-157970356</v>
      </c>
      <c r="I56" s="39">
        <f t="shared" si="10"/>
        <v>-7402560.4499999993</v>
      </c>
      <c r="J56" s="61">
        <f t="shared" si="10"/>
        <v>20960328</v>
      </c>
      <c r="K56" s="39">
        <f t="shared" si="10"/>
        <v>136015.21999999974</v>
      </c>
      <c r="L56" s="61">
        <f t="shared" si="10"/>
        <v>3453500</v>
      </c>
      <c r="M56" s="39">
        <f t="shared" si="10"/>
        <v>439025.44999999995</v>
      </c>
      <c r="N56" s="61">
        <f t="shared" si="10"/>
        <v>-4480807</v>
      </c>
      <c r="O56" s="39">
        <f t="shared" si="10"/>
        <v>-193276.73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48847.92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0</v>
      </c>
      <c r="I59" s="38">
        <f>'EAST-EGM-GL'!I59+'EAST-LRC-GL'!I59</f>
        <v>48847.92</v>
      </c>
      <c r="J59" s="60">
        <f>'EAST-EGM-GL'!J59+'EAST-LRC-GL'!J59</f>
        <v>0</v>
      </c>
      <c r="K59" s="38">
        <f>'EAST-EGM-GL'!K59+'EAST-LRC-GL'!K59</f>
        <v>0</v>
      </c>
      <c r="L59" s="60">
        <f>'EAST-EGM-GL'!L59+'EAST-LRC-GL'!L59</f>
        <v>0</v>
      </c>
      <c r="M59" s="38">
        <f>'EAST-EGM-GL'!M59+'EAST-LRC-GL'!M59</f>
        <v>0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48847.92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48847.92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0</v>
      </c>
      <c r="I64" s="38">
        <f>'EAST-EGM-GL'!I64+'EAST-LRC-GL'!I64</f>
        <v>0</v>
      </c>
      <c r="J64" s="60">
        <f>'EAST-EGM-GL'!J64+'EAST-LRC-GL'!J64</f>
        <v>0</v>
      </c>
      <c r="K64" s="38">
        <f>'EAST-EGM-GL'!K64+'EAST-LRC-GL'!K64</f>
        <v>0</v>
      </c>
      <c r="L64" s="60">
        <f>'EAST-EGM-GL'!L64+'EAST-LRC-GL'!L64</f>
        <v>0</v>
      </c>
      <c r="M64" s="38">
        <f>'EAST-EGM-GL'!M64+'EAST-LRC-GL'!M64</f>
        <v>0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0</v>
      </c>
      <c r="I65" s="38">
        <f>'EAST-EGM-GL'!I65+'EAST-LRC-GL'!I65</f>
        <v>0</v>
      </c>
      <c r="J65" s="60">
        <f>'EAST-EGM-GL'!J65+'EAST-LRC-GL'!J65</f>
        <v>0</v>
      </c>
      <c r="K65" s="38">
        <f>'EAST-EGM-GL'!K65+'EAST-LRC-GL'!K65</f>
        <v>0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-5134326.63</v>
      </c>
      <c r="F70" s="64">
        <f>('TIE-OUT'!L70+'TIE-OUT'!J70)+(RECLASS!J70+RECLASS!H70)</f>
        <v>0</v>
      </c>
      <c r="G70" s="68">
        <f>('TIE-OUT'!M70+'TIE-OUT'!K70)+(RECLASS!K70+RECLASS!I70)</f>
        <v>-5134326.63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-14964909</v>
      </c>
      <c r="F71" s="81">
        <f>('TIE-OUT'!L71+'TIE-OUT'!J71)+(RECLASS!J71+RECLASS!H71)</f>
        <v>0</v>
      </c>
      <c r="G71" s="82">
        <f>('TIE-OUT'!M71+'TIE-OUT'!K71)+(RECLASS!K71+RECLASS!I71)</f>
        <v>-14964909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-20099235.629999999</v>
      </c>
      <c r="F72" s="61">
        <f t="shared" si="13"/>
        <v>0</v>
      </c>
      <c r="G72" s="39">
        <f t="shared" si="13"/>
        <v>-20099235.629999999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15790987.42</v>
      </c>
      <c r="F74" s="60">
        <f>('TIE-OUT'!L74+'TIE-OUT'!J74)+(RECLASS!J74+RECLASS!H74)</f>
        <v>0</v>
      </c>
      <c r="G74" s="60">
        <f>('TIE-OUT'!M74+'TIE-OUT'!K74)+(RECLASS!K74+RECLASS!I74)</f>
        <v>16031774.42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-2194082</v>
      </c>
      <c r="L74" s="60">
        <f>'EAST-EGM-GL'!L74+'EAST-LRC-GL'!L74</f>
        <v>0</v>
      </c>
      <c r="M74" s="38">
        <f>'EAST-EGM-GL'!M74+'EAST-LRC-GL'!M74</f>
        <v>1953295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228732</v>
      </c>
      <c r="F75" s="60">
        <f>('TIE-OUT'!L75+'TIE-OUT'!J75)+(RECLASS!J75+RECLASS!H75)</f>
        <v>0</v>
      </c>
      <c r="G75" s="60">
        <f>('TIE-OUT'!M75+'TIE-OUT'!K75)+(RECLASS!K75+RECLASS!I75)</f>
        <v>228732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-866.58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-866.58</v>
      </c>
      <c r="J76" s="60">
        <f>'EAST-EGM-GL'!J76+'EAST-LRC-GL'!J76</f>
        <v>0</v>
      </c>
      <c r="K76" s="38">
        <f>'EAST-EGM-GL'!K76+'EAST-LRC-GL'!K76</f>
        <v>0</v>
      </c>
      <c r="L76" s="60">
        <f>'EAST-EGM-GL'!L76+'EAST-LRC-GL'!L76</f>
        <v>0</v>
      </c>
      <c r="M76" s="38">
        <f>'EAST-EGM-GL'!M76+'EAST-LRC-GL'!M76</f>
        <v>0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('TIE-OUT'!L77+'TIE-OUT'!J77)+(RECLASS!J77+RECLASS!H77)</f>
        <v>0</v>
      </c>
      <c r="G77" s="60">
        <f>('TIE-OUT'!M77+'TIE-OUT'!K77)+(RECLASS!K77+RECLASS!I77)</f>
        <v>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('TIE-OUT'!L78+'TIE-OUT'!J78)+(RECLASS!J78+RECLASS!H78)</f>
        <v>0</v>
      </c>
      <c r="G78" s="60">
        <f>('TIE-OUT'!M78+'TIE-OUT'!K78)+(RECLASS!K78+RECLASS!I78)</f>
        <v>0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468168.06000000006</v>
      </c>
      <c r="F81" s="60">
        <f>('TIE-OUT'!L81+'TIE-OUT'!J81)+(RECLASS!J81+RECLASS!H81)</f>
        <v>0</v>
      </c>
      <c r="G81" s="60">
        <f>('TIE-OUT'!M81+'TIE-OUT'!K81)+(RECLASS!K81+RECLASS!I81)</f>
        <v>-67500</v>
      </c>
      <c r="H81" s="60">
        <f>'EAST-EGM-GL'!H81+'EAST-LRC-GL'!H81</f>
        <v>0</v>
      </c>
      <c r="I81" s="38">
        <f>'EAST-EGM-GL'!I81+'EAST-LRC-GL'!I81</f>
        <v>3765372.81</v>
      </c>
      <c r="J81" s="60">
        <f>'EAST-EGM-GL'!J81+'EAST-LRC-GL'!J81</f>
        <v>0</v>
      </c>
      <c r="K81" s="38">
        <f>'EAST-EGM-GL'!K81+'EAST-LRC-GL'!K81</f>
        <v>-3229704.75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165</v>
      </c>
      <c r="E82" s="92">
        <f>SUM(E72:E81)+E16+E24+E29+E36+E43+E45+E47+E49+E51+E56+E61+E66</f>
        <v>-23695576.909000367</v>
      </c>
      <c r="F82" s="91">
        <f>F16+F24+F29+F36+F43+F45+F47+F49</f>
        <v>0</v>
      </c>
      <c r="G82" s="92">
        <f>SUM(G72:G81)+G16+G24+G29+G36+G43+G45+G47+G49+G51+G56+G61+G66</f>
        <v>-15272969.85</v>
      </c>
      <c r="H82" s="91">
        <f>H16+H24+H29+H36+H43+H45+H47+H49</f>
        <v>0</v>
      </c>
      <c r="I82" s="92">
        <f>SUM(I72:I81)+I16+I24+I29+I36+I43+I45+I47+I49+I51+I56+I61+I66</f>
        <v>1166472.0809996631</v>
      </c>
      <c r="J82" s="91">
        <f>J16+J24+J29+J36+J43+J45+J47+J49</f>
        <v>165</v>
      </c>
      <c r="K82" s="92">
        <f>SUM(K72:K81)+K16+K24+K29+K36+K43+K45+K47+K49+K51+K56+K61+K66</f>
        <v>-10704897.699999996</v>
      </c>
      <c r="L82" s="91">
        <f>L16+L24+L29+L36+L43+L45+L47+L49</f>
        <v>0</v>
      </c>
      <c r="M82" s="92">
        <f>SUM(M72:M81)+M16+M24+M29+M36+M43+M45+M47+M49+M51+M56+M61+M66</f>
        <v>4533721.5600000005</v>
      </c>
      <c r="N82" s="91">
        <f>N16+N24+N29+N36+N43+N45+N47+N49</f>
        <v>0</v>
      </c>
      <c r="O82" s="92">
        <f>SUM(O72:O81)+O16+O24+O29+O36+O43+O45+O47+O49+O51+O56+O61+O66</f>
        <v>-3417903.0000000005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E84" s="14">
        <f>+'EAST-LRC-GL'!E82+'EAST-EGM-GL'!E82</f>
        <v>-23695576.909000423</v>
      </c>
      <c r="G84" s="14">
        <f>+'EAST-LRC-GL'!G82+'EAST-EGM-GL'!G82</f>
        <v>-15272969.850000001</v>
      </c>
      <c r="I84" s="14">
        <f>+'EAST-LRC-GL'!I82+'EAST-EGM-GL'!I82</f>
        <v>1166472.0809996603</v>
      </c>
      <c r="K84" s="14">
        <f>+'EAST-LRC-GL'!K82+'EAST-EGM-GL'!K82</f>
        <v>-10704897.699999997</v>
      </c>
    </row>
    <row r="85" spans="1:77" x14ac:dyDescent="0.25">
      <c r="A85" s="4" t="s">
        <v>169</v>
      </c>
      <c r="B85" s="3"/>
      <c r="F85" s="31"/>
      <c r="G85" s="31"/>
      <c r="H85" s="31"/>
      <c r="I85" s="31"/>
      <c r="L85" s="45"/>
    </row>
    <row r="86" spans="1:77" s="3" customFormat="1" x14ac:dyDescent="0.25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-43000</v>
      </c>
      <c r="F86" s="145">
        <f>'EAST-EGM-GL'!F86+'EAST-LRC-GL'!F86</f>
        <v>0</v>
      </c>
      <c r="G86" s="145">
        <f>'EAST-EGM-GL'!G86+'EAST-LRC-GL'!G86</f>
        <v>-42632</v>
      </c>
      <c r="H86" s="145">
        <f>'EAST-EGM-GL'!H86+'EAST-LRC-GL'!H86</f>
        <v>0</v>
      </c>
      <c r="I86" s="145">
        <v>444429</v>
      </c>
      <c r="J86" s="145">
        <f>'EAST-EGM-GL'!J86+'EAST-LRC-GL'!J86</f>
        <v>0</v>
      </c>
      <c r="K86" s="145">
        <f>'EAST-EGM-GL'!K86+'EAST-LRC-GL'!K86</f>
        <v>-444797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-43000</v>
      </c>
      <c r="F89" s="155">
        <f t="shared" si="16"/>
        <v>0</v>
      </c>
      <c r="G89" s="155">
        <f t="shared" si="16"/>
        <v>-42632</v>
      </c>
      <c r="H89" s="155">
        <f t="shared" si="16"/>
        <v>0</v>
      </c>
      <c r="I89" s="155">
        <f t="shared" si="16"/>
        <v>444429</v>
      </c>
      <c r="J89" s="155">
        <f t="shared" si="16"/>
        <v>0</v>
      </c>
      <c r="K89" s="155">
        <f t="shared" si="16"/>
        <v>-444797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</row>
    <row r="91" spans="1:77" s="127" customFormat="1" ht="20.25" customHeight="1" x14ac:dyDescent="0.25">
      <c r="A91" s="158"/>
      <c r="B91" s="159"/>
      <c r="C91" s="157" t="s">
        <v>168</v>
      </c>
      <c r="D91" s="160">
        <f>+D82+D89</f>
        <v>165</v>
      </c>
      <c r="E91" s="160">
        <f t="shared" ref="E91:M91" si="19">+E82+E89</f>
        <v>-23738576.909000367</v>
      </c>
      <c r="F91" s="160">
        <f t="shared" si="19"/>
        <v>0</v>
      </c>
      <c r="G91" s="160">
        <f t="shared" si="19"/>
        <v>-15315601.85</v>
      </c>
      <c r="H91" s="160">
        <f t="shared" si="19"/>
        <v>0</v>
      </c>
      <c r="I91" s="160">
        <f t="shared" si="19"/>
        <v>1610901.0809996631</v>
      </c>
      <c r="J91" s="160">
        <f t="shared" si="19"/>
        <v>165</v>
      </c>
      <c r="K91" s="160">
        <f t="shared" si="19"/>
        <v>-11149694.699999996</v>
      </c>
      <c r="L91" s="160">
        <f t="shared" si="19"/>
        <v>0</v>
      </c>
      <c r="M91" s="160">
        <f t="shared" si="19"/>
        <v>4533721.5600000005</v>
      </c>
      <c r="N91" s="160">
        <f t="shared" ref="N91:AE91" si="20">+N82+N89</f>
        <v>0</v>
      </c>
      <c r="O91" s="160">
        <f t="shared" si="20"/>
        <v>-3417903.0000000005</v>
      </c>
      <c r="P91" s="160">
        <f t="shared" si="20"/>
        <v>0</v>
      </c>
      <c r="Q91" s="160">
        <f t="shared" si="20"/>
        <v>0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P179"/>
  <sheetViews>
    <sheetView zoomScale="75" workbookViewId="0">
      <pane xSplit="3" ySplit="9" topLeftCell="D42" activePane="bottomRight" state="frozen"/>
      <selection activeCell="N16" sqref="N16"/>
      <selection pane="topRight" activeCell="N16" sqref="N16"/>
      <selection pane="bottomLeft" activeCell="N16" sqref="N16"/>
      <selection pane="bottomRight" activeCell="D47" sqref="D4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  <col min="16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v>0</v>
      </c>
      <c r="G11" s="60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v>0</v>
      </c>
      <c r="G12" s="60"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v>0</v>
      </c>
      <c r="G13" s="60"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v>0</v>
      </c>
      <c r="G14" s="60"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60">
        <v>0</v>
      </c>
      <c r="G15" s="60"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0">
        <v>0</v>
      </c>
      <c r="G19" s="60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v>0</v>
      </c>
      <c r="G20" s="60"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v>0</v>
      </c>
      <c r="G21" s="60"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v>0</v>
      </c>
      <c r="G22" s="60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60">
        <v>0</v>
      </c>
      <c r="G23" s="60"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v>0</v>
      </c>
      <c r="G27" s="60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v>0</v>
      </c>
      <c r="G28" s="60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v>0</v>
      </c>
      <c r="G32" s="60"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v>0</v>
      </c>
      <c r="G33" s="60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v>0</v>
      </c>
      <c r="G34" s="60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v>0</v>
      </c>
      <c r="G35" s="60"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v>0</v>
      </c>
      <c r="G39" s="60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v>0</v>
      </c>
      <c r="G40" s="60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v>0</v>
      </c>
      <c r="G41" s="60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v>0</v>
      </c>
      <c r="G45" s="60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v>0</v>
      </c>
      <c r="G47" s="60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v>0</v>
      </c>
      <c r="G49" s="60"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v>0</v>
      </c>
      <c r="G51" s="60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0">
        <v>0</v>
      </c>
      <c r="G54" s="60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60">
        <v>0</v>
      </c>
      <c r="G55" s="60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v>0</v>
      </c>
      <c r="G59" s="60"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v>0</v>
      </c>
      <c r="G60" s="60"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v>0</v>
      </c>
      <c r="G64" s="60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v>0</v>
      </c>
      <c r="G65" s="60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0">
        <v>0</v>
      </c>
      <c r="G70" s="60"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60">
        <v>0</v>
      </c>
      <c r="G71" s="60"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v>0</v>
      </c>
      <c r="G73" s="60"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v>0</v>
      </c>
      <c r="G74" s="60"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v>0</v>
      </c>
      <c r="G75" s="60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v>0</v>
      </c>
      <c r="G76" s="60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v>0</v>
      </c>
      <c r="G77" s="60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v>0</v>
      </c>
      <c r="G78" s="60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v>0</v>
      </c>
      <c r="G79" s="60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v>0</v>
      </c>
      <c r="G80" s="60"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v>0</v>
      </c>
      <c r="G81" s="60"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D58" activePane="bottomRight" state="frozen"/>
      <selection activeCell="N16" sqref="N16"/>
      <selection pane="topRight" activeCell="N16" sqref="N16"/>
      <selection pane="bottomLeft" activeCell="N16" sqref="N16"/>
      <selection pane="bottomRight" activeCell="A71" sqref="A7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5" width="15.44140625" customWidth="1"/>
    <col min="16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14711696</v>
      </c>
      <c r="E11" s="38">
        <f>SUM(G11,I11,K11,M11,O11,Q11,S11,U11,W11,Y11,AA11,AC11,AE11)</f>
        <v>60584597.840000004</v>
      </c>
      <c r="F11" s="60">
        <f>'TIE-OUT'!V11+RECLASS!T11</f>
        <v>0</v>
      </c>
      <c r="G11" s="38">
        <f>'TIE-OUT'!W11+RECLASS!U11</f>
        <v>0</v>
      </c>
      <c r="H11" s="118">
        <f>+Actuals!E444</f>
        <v>15034964</v>
      </c>
      <c r="I11" s="119">
        <f>+Actuals!F444</f>
        <v>62442853.840000004</v>
      </c>
      <c r="J11" s="118">
        <v>-372007</v>
      </c>
      <c r="K11" s="119">
        <v>-1815488.22</v>
      </c>
      <c r="L11" s="118">
        <v>63027</v>
      </c>
      <c r="M11" s="119">
        <v>56017.97</v>
      </c>
      <c r="N11" s="118">
        <v>-14288</v>
      </c>
      <c r="O11" s="119">
        <v>-98785.75</v>
      </c>
      <c r="P11" s="118">
        <f>+Actuals!M444</f>
        <v>0</v>
      </c>
      <c r="Q11" s="119">
        <f>+Actuals!N444</f>
        <v>0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3737063.63</v>
      </c>
      <c r="F12" s="60">
        <f>'TIE-OUT'!V12+RECLASS!T12</f>
        <v>0</v>
      </c>
      <c r="G12" s="38">
        <f>'TIE-OUT'!W12+RECLASS!U12</f>
        <v>3737063.63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4">
        <f>+Actuals!H445</f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12450000</v>
      </c>
      <c r="E13" s="38">
        <f t="shared" si="0"/>
        <v>43694930</v>
      </c>
      <c r="F13" s="60">
        <f>'TIE-OUT'!V13+RECLASS!T13</f>
        <v>0</v>
      </c>
      <c r="G13" s="38">
        <f>'TIE-OUT'!W13+RECLASS!U13</f>
        <v>0</v>
      </c>
      <c r="H13" s="118">
        <f>+Actuals!E446</f>
        <v>10189948</v>
      </c>
      <c r="I13" s="119">
        <f>+Actuals!F446</f>
        <v>43284349</v>
      </c>
      <c r="J13" s="118">
        <f>+Actuals!G446</f>
        <v>0</v>
      </c>
      <c r="K13" s="119">
        <f>+Actuals!H446</f>
        <v>0</v>
      </c>
      <c r="L13" s="118">
        <f>+Actuals!I446</f>
        <v>0</v>
      </c>
      <c r="M13" s="119">
        <f>+Actuals!J446</f>
        <v>0</v>
      </c>
      <c r="N13" s="118">
        <v>2260052</v>
      </c>
      <c r="O13" s="119">
        <v>410581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1708322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1554000</v>
      </c>
      <c r="J15" s="118">
        <f>+Actuals!G448</f>
        <v>0</v>
      </c>
      <c r="K15" s="119">
        <v>107100</v>
      </c>
      <c r="L15" s="118">
        <f>+Actuals!I448</f>
        <v>0</v>
      </c>
      <c r="M15" s="119">
        <v>47222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27161696</v>
      </c>
      <c r="E16" s="39">
        <f t="shared" si="1"/>
        <v>109724913.47</v>
      </c>
      <c r="F16" s="61">
        <f t="shared" si="1"/>
        <v>0</v>
      </c>
      <c r="G16" s="39">
        <f t="shared" si="1"/>
        <v>3737063.63</v>
      </c>
      <c r="H16" s="61">
        <f t="shared" si="1"/>
        <v>25224912</v>
      </c>
      <c r="I16" s="39">
        <f t="shared" si="1"/>
        <v>107281202.84</v>
      </c>
      <c r="J16" s="61">
        <f t="shared" ref="J16:AO16" si="2">SUM(J11:J15)</f>
        <v>-372007</v>
      </c>
      <c r="K16" s="39">
        <f t="shared" si="2"/>
        <v>-1708388.22</v>
      </c>
      <c r="L16" s="61">
        <f t="shared" si="2"/>
        <v>63027</v>
      </c>
      <c r="M16" s="39">
        <f t="shared" si="2"/>
        <v>103239.97</v>
      </c>
      <c r="N16" s="61">
        <f t="shared" si="2"/>
        <v>2245764</v>
      </c>
      <c r="O16" s="39">
        <f t="shared" si="2"/>
        <v>311795.25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-8014020</v>
      </c>
      <c r="E19" s="38">
        <f t="shared" si="3"/>
        <v>-34835907.419999994</v>
      </c>
      <c r="F19" s="64">
        <f>'TIE-OUT'!V19+RECLASS!T19</f>
        <v>0</v>
      </c>
      <c r="G19" s="68">
        <f>'TIE-OUT'!W19+RECLASS!U19</f>
        <v>0</v>
      </c>
      <c r="H19" s="118">
        <f>+Actuals!E449</f>
        <v>-7962551</v>
      </c>
      <c r="I19" s="119">
        <f>+Actuals!F449</f>
        <v>-33244105.52</v>
      </c>
      <c r="J19" s="118">
        <f>-187792+136800</f>
        <v>-50992</v>
      </c>
      <c r="K19" s="119">
        <f>-723167.57-599143</f>
        <v>-1322310.5699999998</v>
      </c>
      <c r="L19" s="118">
        <v>-954</v>
      </c>
      <c r="M19" s="119">
        <v>-271509.03999999998</v>
      </c>
      <c r="N19" s="118">
        <v>477</v>
      </c>
      <c r="O19" s="119">
        <v>2017.71</v>
      </c>
      <c r="P19" s="118">
        <f>+Actuals!M449</f>
        <v>0</v>
      </c>
      <c r="Q19" s="119">
        <f>+Actuals!N449</f>
        <v>0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120337.63</v>
      </c>
      <c r="F20" s="60">
        <f>'TIE-OUT'!V20+RECLASS!T20</f>
        <v>0</v>
      </c>
      <c r="G20" s="38">
        <f>'TIE-OUT'!W20+RECLASS!U20</f>
        <v>120337.63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4">
        <v>0</v>
      </c>
      <c r="L20" s="118">
        <f>+Actuals!I450</f>
        <v>0</v>
      </c>
      <c r="M20" s="119">
        <f>+Actuals!J450</f>
        <v>0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-12450000</v>
      </c>
      <c r="E21" s="38">
        <f t="shared" si="3"/>
        <v>-43694930</v>
      </c>
      <c r="F21" s="60">
        <f>'TIE-OUT'!V21+RECLASS!T21</f>
        <v>0</v>
      </c>
      <c r="G21" s="38">
        <f>'TIE-OUT'!W21+RECLASS!U21</f>
        <v>0</v>
      </c>
      <c r="H21" s="118">
        <f>+Actuals!E451</f>
        <v>-10189948</v>
      </c>
      <c r="I21" s="119">
        <f>+Actuals!F451</f>
        <v>-43284349</v>
      </c>
      <c r="J21" s="118">
        <f>+Actuals!G451</f>
        <v>0</v>
      </c>
      <c r="K21" s="119">
        <f>+Actuals!H451</f>
        <v>0</v>
      </c>
      <c r="L21" s="118">
        <f>+Actuals!I451</f>
        <v>0</v>
      </c>
      <c r="M21" s="119">
        <f>+Actuals!J451</f>
        <v>0</v>
      </c>
      <c r="N21" s="118">
        <v>-2260052</v>
      </c>
      <c r="O21" s="119">
        <v>-410581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144584</v>
      </c>
      <c r="E23" s="38">
        <f t="shared" si="3"/>
        <v>632481.84299999999</v>
      </c>
      <c r="F23" s="81">
        <f>'TIE-OUT'!V23+RECLASS!T23</f>
        <v>0</v>
      </c>
      <c r="G23" s="82">
        <f>'TIE-OUT'!W23+RECLASS!U23</f>
        <v>0</v>
      </c>
      <c r="H23" s="118">
        <f>+Actuals!E453</f>
        <v>12541</v>
      </c>
      <c r="I23" s="119">
        <f>+Actuals!F453</f>
        <v>53713.103000000003</v>
      </c>
      <c r="J23" s="118">
        <v>136800</v>
      </c>
      <c r="K23" s="119">
        <v>599142.97</v>
      </c>
      <c r="L23" s="118">
        <v>-4757</v>
      </c>
      <c r="M23" s="119">
        <v>-20374.23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-20319436</v>
      </c>
      <c r="E24" s="39">
        <f t="shared" si="4"/>
        <v>-77778017.946999997</v>
      </c>
      <c r="F24" s="61">
        <f t="shared" si="4"/>
        <v>0</v>
      </c>
      <c r="G24" s="39">
        <f t="shared" si="4"/>
        <v>120337.63</v>
      </c>
      <c r="H24" s="61">
        <f t="shared" si="4"/>
        <v>-18139958</v>
      </c>
      <c r="I24" s="39">
        <f t="shared" si="4"/>
        <v>-76474741.416999996</v>
      </c>
      <c r="J24" s="61">
        <f t="shared" ref="J24:AO24" si="5">SUM(J19:J23)</f>
        <v>85808</v>
      </c>
      <c r="K24" s="39">
        <f t="shared" si="5"/>
        <v>-723167.59999999986</v>
      </c>
      <c r="L24" s="61">
        <f t="shared" si="5"/>
        <v>-5711</v>
      </c>
      <c r="M24" s="39">
        <f t="shared" si="5"/>
        <v>-291883.26999999996</v>
      </c>
      <c r="N24" s="61">
        <f t="shared" si="5"/>
        <v>-2259575</v>
      </c>
      <c r="O24" s="39">
        <f t="shared" si="5"/>
        <v>-408563.29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13507668</v>
      </c>
      <c r="E27" s="38">
        <f>SUM(G27,I27,K27,M27,O27,Q27,S27,U27,W27,Y27,AA27,AC27,AE27)</f>
        <v>57872197.150000006</v>
      </c>
      <c r="F27" s="64">
        <f>'TIE-OUT'!V27+RECLASS!T27</f>
        <v>0</v>
      </c>
      <c r="G27" s="68">
        <f>'TIE-OUT'!W27+RECLASS!U27</f>
        <v>0</v>
      </c>
      <c r="H27" s="118">
        <f>+Actuals!E454</f>
        <v>11718416</v>
      </c>
      <c r="I27" s="119">
        <f>+Actuals!F454</f>
        <v>50214070.700000003</v>
      </c>
      <c r="J27" s="118">
        <v>1824315</v>
      </c>
      <c r="K27" s="119">
        <v>7808729.5899999999</v>
      </c>
      <c r="L27" s="118">
        <v>-34586</v>
      </c>
      <c r="M27" s="119">
        <v>-148560.42000000001</v>
      </c>
      <c r="N27" s="118">
        <v>-477</v>
      </c>
      <c r="O27" s="119">
        <v>-2042.72</v>
      </c>
      <c r="P27" s="118">
        <f>+Actuals!M454</f>
        <v>0</v>
      </c>
      <c r="Q27" s="119">
        <f>+Actuals!N454</f>
        <v>0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-19974087</v>
      </c>
      <c r="E28" s="38">
        <f>SUM(G28,I28,K28,M28,O28,Q28,S28,U28,W28,Y28,AA28,AC28,AE28)</f>
        <v>-85676158.66399999</v>
      </c>
      <c r="F28" s="81">
        <f>'TIE-OUT'!V28+RECLASS!T28</f>
        <v>0</v>
      </c>
      <c r="G28" s="82">
        <f>'TIE-OUT'!W28+RECLASS!U28</f>
        <v>0</v>
      </c>
      <c r="H28" s="118">
        <f>+Actuals!E455</f>
        <v>-12619803</v>
      </c>
      <c r="I28" s="119">
        <f>+Actuals!F455</f>
        <v>-54182409.409999996</v>
      </c>
      <c r="J28" s="118">
        <v>-7309109</v>
      </c>
      <c r="K28" s="119">
        <v>-31302014.66</v>
      </c>
      <c r="L28" s="118">
        <v>-21499</v>
      </c>
      <c r="M28" s="119">
        <v>-93237.873999999996</v>
      </c>
      <c r="N28" s="118">
        <v>-23676</v>
      </c>
      <c r="O28" s="119">
        <v>-98496.72</v>
      </c>
      <c r="P28" s="118">
        <f>+Actuals!M455</f>
        <v>0</v>
      </c>
      <c r="Q28" s="119">
        <f>+Actuals!N455</f>
        <v>0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-6466419</v>
      </c>
      <c r="E29" s="39">
        <f t="shared" si="6"/>
        <v>-27803961.513999984</v>
      </c>
      <c r="F29" s="61">
        <f t="shared" si="6"/>
        <v>0</v>
      </c>
      <c r="G29" s="39">
        <f t="shared" si="6"/>
        <v>0</v>
      </c>
      <c r="H29" s="61">
        <f t="shared" si="6"/>
        <v>-901387</v>
      </c>
      <c r="I29" s="39">
        <f t="shared" si="6"/>
        <v>-3968338.7099999934</v>
      </c>
      <c r="J29" s="61">
        <f t="shared" ref="J29:AO29" si="7">SUM(J27:J28)</f>
        <v>-5484794</v>
      </c>
      <c r="K29" s="39">
        <f t="shared" si="7"/>
        <v>-23493285.07</v>
      </c>
      <c r="L29" s="61">
        <f t="shared" si="7"/>
        <v>-56085</v>
      </c>
      <c r="M29" s="39">
        <f t="shared" si="7"/>
        <v>-241798.29399999999</v>
      </c>
      <c r="N29" s="61">
        <f t="shared" si="7"/>
        <v>-24153</v>
      </c>
      <c r="O29" s="39">
        <f t="shared" si="7"/>
        <v>-100539.44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-43781</v>
      </c>
      <c r="E32" s="38">
        <f t="shared" si="8"/>
        <v>-196308.19899999816</v>
      </c>
      <c r="F32" s="64">
        <f>'TIE-OUT'!V32+RECLASS!T32</f>
        <v>0</v>
      </c>
      <c r="G32" s="68">
        <f>'TIE-OUT'!W32+RECLASS!U32</f>
        <v>0</v>
      </c>
      <c r="H32" s="118">
        <f>+Actuals!E456</f>
        <v>-5948543</v>
      </c>
      <c r="I32" s="119">
        <f>+Actuals!F456</f>
        <v>-25477609.669</v>
      </c>
      <c r="J32" s="118">
        <v>5749053</v>
      </c>
      <c r="K32" s="119">
        <v>24614328.760000002</v>
      </c>
      <c r="L32" s="118">
        <v>93526</v>
      </c>
      <c r="M32" s="119">
        <v>400642.92</v>
      </c>
      <c r="N32" s="118">
        <v>62183</v>
      </c>
      <c r="O32" s="119">
        <v>266329.78999999998</v>
      </c>
      <c r="P32" s="118">
        <f>+Actuals!M456</f>
        <v>0</v>
      </c>
      <c r="Q32" s="119">
        <f>+Actuals!N456</f>
        <v>0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-6870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v>-183064</v>
      </c>
      <c r="M35" s="119">
        <f>+Actuals!J459</f>
        <v>0</v>
      </c>
      <c r="N35" s="118">
        <v>176194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-50651</v>
      </c>
      <c r="E36" s="39">
        <f t="shared" si="9"/>
        <v>-196308.19899999816</v>
      </c>
      <c r="F36" s="61">
        <f t="shared" si="9"/>
        <v>0</v>
      </c>
      <c r="G36" s="39">
        <f t="shared" si="9"/>
        <v>0</v>
      </c>
      <c r="H36" s="61">
        <f t="shared" si="9"/>
        <v>-5948543</v>
      </c>
      <c r="I36" s="39">
        <f t="shared" si="9"/>
        <v>-25477609.669</v>
      </c>
      <c r="J36" s="61">
        <f t="shared" ref="J36:AO36" si="10">SUM(J32:J35)</f>
        <v>5749053</v>
      </c>
      <c r="K36" s="39">
        <f t="shared" si="10"/>
        <v>24614328.760000002</v>
      </c>
      <c r="L36" s="61">
        <f t="shared" si="10"/>
        <v>-89538</v>
      </c>
      <c r="M36" s="39">
        <f t="shared" si="10"/>
        <v>400642.92</v>
      </c>
      <c r="N36" s="61">
        <f t="shared" si="10"/>
        <v>238377</v>
      </c>
      <c r="O36" s="39">
        <f t="shared" si="10"/>
        <v>266329.78999999998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-31402</v>
      </c>
      <c r="E39" s="38">
        <f t="shared" si="11"/>
        <v>-0.01</v>
      </c>
      <c r="F39" s="64">
        <f>'TIE-OUT'!V39+RECLASS!T39</f>
        <v>0</v>
      </c>
      <c r="G39" s="68">
        <f>'TIE-OUT'!W39+RECLASS!U39</f>
        <v>0</v>
      </c>
      <c r="H39" s="118">
        <f>+Actuals!E460</f>
        <v>-31402</v>
      </c>
      <c r="I39" s="119">
        <f>+Actuals!F460</f>
        <v>-0.01</v>
      </c>
      <c r="J39" s="118">
        <f>+Actuals!G460</f>
        <v>0</v>
      </c>
      <c r="K39" s="119">
        <f>+Actuals!H460</f>
        <v>0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-20000</v>
      </c>
      <c r="E40" s="38">
        <f t="shared" si="11"/>
        <v>-45190.889999999992</v>
      </c>
      <c r="F40" s="60">
        <f>'TIE-OUT'!V40+RECLASS!T40</f>
        <v>0</v>
      </c>
      <c r="G40" s="38">
        <f>'TIE-OUT'!W40+RECLASS!U40</f>
        <v>0</v>
      </c>
      <c r="H40" s="118">
        <f>+Actuals!E461</f>
        <v>-40000</v>
      </c>
      <c r="I40" s="119">
        <f>+Actuals!F461</f>
        <v>-90381.79</v>
      </c>
      <c r="J40" s="118">
        <v>20000</v>
      </c>
      <c r="K40" s="119">
        <v>45190.9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-20000</v>
      </c>
      <c r="E42" s="39">
        <f t="shared" si="12"/>
        <v>-45190.889999999992</v>
      </c>
      <c r="F42" s="61">
        <f t="shared" si="12"/>
        <v>0</v>
      </c>
      <c r="G42" s="39">
        <f t="shared" si="12"/>
        <v>0</v>
      </c>
      <c r="H42" s="61">
        <f t="shared" si="12"/>
        <v>-40000</v>
      </c>
      <c r="I42" s="39">
        <f t="shared" si="12"/>
        <v>-90381.79</v>
      </c>
      <c r="J42" s="61">
        <f t="shared" ref="J42:AO42" si="13">SUM(J40:J41)</f>
        <v>20000</v>
      </c>
      <c r="K42" s="39">
        <f t="shared" si="13"/>
        <v>45190.9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-51402</v>
      </c>
      <c r="E43" s="39">
        <f t="shared" si="14"/>
        <v>-45190.899999999994</v>
      </c>
      <c r="F43" s="61">
        <f t="shared" si="14"/>
        <v>0</v>
      </c>
      <c r="G43" s="39">
        <f t="shared" si="14"/>
        <v>0</v>
      </c>
      <c r="H43" s="61">
        <f t="shared" si="14"/>
        <v>-71402</v>
      </c>
      <c r="I43" s="39">
        <f t="shared" si="14"/>
        <v>-90381.799999999988</v>
      </c>
      <c r="J43" s="61">
        <f t="shared" ref="J43:AO43" si="15">J42+J39</f>
        <v>20000</v>
      </c>
      <c r="K43" s="39">
        <f t="shared" si="15"/>
        <v>45190.9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-188</v>
      </c>
      <c r="E49" s="38">
        <f>SUM(G49,I49,K49,M49,O49,Q49,S49,U49,W49,Y49,AA49,AC49,AE49)</f>
        <v>-805.20599999988917</v>
      </c>
      <c r="F49" s="60">
        <f>'TIE-OUT'!V49+RECLASS!T49</f>
        <v>0</v>
      </c>
      <c r="G49" s="38">
        <f>'TIE-OUT'!W49+RECLASS!U49</f>
        <v>0</v>
      </c>
      <c r="H49" s="118">
        <f>+Actuals!E465</f>
        <v>-163622</v>
      </c>
      <c r="I49" s="119">
        <f>+Actuals!F465</f>
        <v>-700793.02599999995</v>
      </c>
      <c r="J49" s="118">
        <v>275540</v>
      </c>
      <c r="K49" s="119">
        <v>1180137.82</v>
      </c>
      <c r="L49" s="118">
        <v>88307</v>
      </c>
      <c r="M49" s="119">
        <v>378218.88</v>
      </c>
      <c r="N49" s="118">
        <v>-200413</v>
      </c>
      <c r="O49" s="119">
        <v>-858368.88</v>
      </c>
      <c r="P49" s="118">
        <f>+Actuals!M465</f>
        <v>0</v>
      </c>
      <c r="Q49" s="119">
        <f>+Actuals!N465</f>
        <v>0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-8207</v>
      </c>
      <c r="E51" s="38">
        <f>SUM(G51,I51,K51,M51,O51,Q51,S51,U51,W51,Y51,AA51,AC51,AE51)</f>
        <v>-35150.582999999999</v>
      </c>
      <c r="F51" s="60">
        <f>'TIE-OUT'!V51+RECLASS!T51</f>
        <v>0</v>
      </c>
      <c r="G51" s="38">
        <f>'TIE-OUT'!W51+RECLASS!U51</f>
        <v>0</v>
      </c>
      <c r="H51" s="118">
        <f>+Actuals!E466</f>
        <v>-12541</v>
      </c>
      <c r="I51" s="119">
        <f>+Actuals!F466</f>
        <v>-53713.103000000003</v>
      </c>
      <c r="J51" s="118">
        <v>-423</v>
      </c>
      <c r="K51" s="119">
        <v>-1811.71</v>
      </c>
      <c r="L51" s="118">
        <v>4757</v>
      </c>
      <c r="M51" s="119">
        <v>20374.23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-28043834</v>
      </c>
      <c r="E54" s="38">
        <f>SUM(G54,I54,K54,M54,O54,Q54,S54,U54,W54,Y54,AA54,AC54,AE54)</f>
        <v>-345652.11000000004</v>
      </c>
      <c r="F54" s="64">
        <f>'TIE-OUT'!V54+RECLASS!T54</f>
        <v>0</v>
      </c>
      <c r="G54" s="68">
        <f>'TIE-OUT'!W54+RECLASS!U54</f>
        <v>0</v>
      </c>
      <c r="H54" s="118">
        <f>+Actuals!E467</f>
        <v>-15438557</v>
      </c>
      <c r="I54" s="119">
        <f>+Actuals!F467</f>
        <v>-276381.89</v>
      </c>
      <c r="J54" s="118">
        <v>-11993472</v>
      </c>
      <c r="K54" s="119">
        <v>-57418.32</v>
      </c>
      <c r="L54" s="118">
        <v>-769210</v>
      </c>
      <c r="M54" s="119">
        <v>-17290.7</v>
      </c>
      <c r="N54" s="118">
        <v>157405</v>
      </c>
      <c r="O54" s="119">
        <v>5438.8</v>
      </c>
      <c r="P54" s="118">
        <f>+Actuals!M467</f>
        <v>0</v>
      </c>
      <c r="Q54" s="119">
        <f>+Actuals!N467</f>
        <v>0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23344</v>
      </c>
      <c r="E55" s="38">
        <f>SUM(G55,I55,K55,M55,O55,Q55,S55,U55,W55,Y55,AA55,AC55,AE55)</f>
        <v>-278635.11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-160800</v>
      </c>
      <c r="J55" s="118">
        <f>+Actuals!G468</f>
        <v>0</v>
      </c>
      <c r="K55" s="119">
        <v>-117559.38</v>
      </c>
      <c r="L55" s="118">
        <v>23344</v>
      </c>
      <c r="M55" s="119">
        <v>-275.73</v>
      </c>
      <c r="N55" s="118">
        <f>+Actuals!K468</f>
        <v>0</v>
      </c>
      <c r="O55" s="119">
        <f>+Actuals!L468</f>
        <v>0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-28020490</v>
      </c>
      <c r="E56" s="39">
        <f t="shared" si="16"/>
        <v>-624287.22</v>
      </c>
      <c r="F56" s="61">
        <f t="shared" si="16"/>
        <v>0</v>
      </c>
      <c r="G56" s="39">
        <f t="shared" si="16"/>
        <v>0</v>
      </c>
      <c r="H56" s="61">
        <f t="shared" si="16"/>
        <v>-15438557</v>
      </c>
      <c r="I56" s="39">
        <f t="shared" si="16"/>
        <v>-437181.89</v>
      </c>
      <c r="J56" s="61">
        <f t="shared" ref="J56:AO56" si="17">SUM(J54:J55)</f>
        <v>-11993472</v>
      </c>
      <c r="K56" s="39">
        <f t="shared" si="17"/>
        <v>-174977.7</v>
      </c>
      <c r="L56" s="61">
        <f t="shared" si="17"/>
        <v>-745866</v>
      </c>
      <c r="M56" s="39">
        <f t="shared" si="17"/>
        <v>-17566.43</v>
      </c>
      <c r="N56" s="61">
        <f t="shared" si="17"/>
        <v>157405</v>
      </c>
      <c r="O56" s="39">
        <f t="shared" si="17"/>
        <v>5438.8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0</v>
      </c>
      <c r="J64" s="118">
        <f>+Actuals!G471</f>
        <v>0</v>
      </c>
      <c r="K64" s="119">
        <f>+Actuals!H471</f>
        <v>0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519130.8</v>
      </c>
      <c r="F70" s="64">
        <f>'TIE-OUT'!V70+RECLASS!T70</f>
        <v>0</v>
      </c>
      <c r="G70" s="68">
        <f>'TIE-OUT'!W70+RECLASS!U70</f>
        <v>519130.8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-6550905</v>
      </c>
      <c r="F71" s="81">
        <f>'TIE-OUT'!V71+RECLASS!T71</f>
        <v>0</v>
      </c>
      <c r="G71" s="82">
        <f>'TIE-OUT'!W71+RECLASS!U71</f>
        <v>-6550905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-6031774.2000000002</v>
      </c>
      <c r="F72" s="61">
        <f t="shared" si="22"/>
        <v>0</v>
      </c>
      <c r="G72" s="39">
        <f t="shared" si="22"/>
        <v>-6031774.2000000002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-70463.97</v>
      </c>
      <c r="F74" s="60">
        <f>'TIE-OUT'!V74+RECLASS!T74</f>
        <v>0</v>
      </c>
      <c r="G74" s="60">
        <f>'TIE-OUT'!W74+RECLASS!U74</f>
        <v>-70463.97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308</v>
      </c>
      <c r="F75" s="60">
        <f>'TIE-OUT'!V75+RECLASS!T75</f>
        <v>0</v>
      </c>
      <c r="G75" s="60">
        <f>'TIE-OUT'!W75+RECLASS!U75</f>
        <v>308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0</v>
      </c>
      <c r="J76" s="118">
        <f>+Actuals!G478</f>
        <v>0</v>
      </c>
      <c r="K76" s="119">
        <f>+Actuals!H478</f>
        <v>0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273600</v>
      </c>
      <c r="E82" s="92">
        <f>SUM(E72:E81)+E16+E24+E29+E36+E43+E45+E47+E49+E51+E56+E61+E66</f>
        <v>-2860738.2689999817</v>
      </c>
      <c r="F82" s="91">
        <f>F16+F24+F29+F36+F43+F45+F47+F49</f>
        <v>0</v>
      </c>
      <c r="G82" s="92">
        <f>SUM(G72:G81)+G16+G24+G29+G36+G43+G45+G47+G49+G51+G56+G61+G66</f>
        <v>-2244528.91</v>
      </c>
      <c r="H82" s="91">
        <f>H16+H24+H29+H36+H43+H45+H47+H49</f>
        <v>0</v>
      </c>
      <c r="I82" s="92">
        <f>SUM(I72:I81)+I16+I24+I29+I36+I43+I45+I47+I49+I51+I56+I61+I66</f>
        <v>78443.225000014645</v>
      </c>
      <c r="J82" s="91">
        <f>J16+J24+J29+J36+J43+J45+J47+J49</f>
        <v>273600</v>
      </c>
      <c r="K82" s="140">
        <f>SUM(K72:K81)+K16+K24+K29+K36+K43+K45+K47+K49+K51+K56+K61+K66</f>
        <v>-261972.81999999902</v>
      </c>
      <c r="L82" s="91">
        <f>L16+L24+L29+L36+L43+L45+L47+L49</f>
        <v>0</v>
      </c>
      <c r="M82" s="92">
        <f>SUM(M72:M81)+M16+M24+M29+M36+M43+M45+M47+M49+M51+M56+M61+M66</f>
        <v>351228.00600000005</v>
      </c>
      <c r="N82" s="91">
        <f>N16+N24+N29+N36+N43+N45+N47+N49</f>
        <v>0</v>
      </c>
      <c r="O82" s="92">
        <f>SUM(O72:O81)+O16+O24+O29+O36+O43+O45+O47+O49+O51+O56+O61+O66</f>
        <v>-783907.77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I84" s="45"/>
    </row>
    <row r="85" spans="1:77" x14ac:dyDescent="0.25">
      <c r="A85" s="4" t="s">
        <v>166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273600</v>
      </c>
      <c r="E91" s="155">
        <f t="shared" ref="E91:M91" si="29">+E82+E89</f>
        <v>-2860738.2689999817</v>
      </c>
      <c r="F91" s="155">
        <f t="shared" si="29"/>
        <v>0</v>
      </c>
      <c r="G91" s="155">
        <f t="shared" si="29"/>
        <v>-2244528.91</v>
      </c>
      <c r="H91" s="155">
        <f t="shared" si="29"/>
        <v>0</v>
      </c>
      <c r="I91" s="155">
        <f t="shared" si="29"/>
        <v>78443.225000014645</v>
      </c>
      <c r="J91" s="155">
        <f t="shared" si="29"/>
        <v>273600</v>
      </c>
      <c r="K91" s="155">
        <f t="shared" si="29"/>
        <v>-261972.81999999902</v>
      </c>
      <c r="L91" s="155">
        <f t="shared" si="29"/>
        <v>0</v>
      </c>
      <c r="M91" s="155">
        <f t="shared" si="29"/>
        <v>351228.00600000005</v>
      </c>
      <c r="N91" s="155">
        <f t="shared" ref="N91:AE91" si="30">+N82+N89</f>
        <v>0</v>
      </c>
      <c r="O91" s="155">
        <f t="shared" si="30"/>
        <v>-783907.77</v>
      </c>
      <c r="P91" s="155">
        <f t="shared" si="30"/>
        <v>0</v>
      </c>
      <c r="Q91" s="155">
        <f t="shared" si="30"/>
        <v>0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AP176"/>
  <sheetViews>
    <sheetView zoomScale="75" workbookViewId="0">
      <pane xSplit="3" ySplit="9" topLeftCell="E50" activePane="bottomRight" state="frozen"/>
      <selection activeCell="N16" sqref="N16"/>
      <selection pane="topRight" activeCell="N16" sqref="N16"/>
      <selection pane="bottomLeft" activeCell="N16" sqref="N16"/>
      <selection pane="bottomRight" activeCell="E82" sqref="E82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15" width="15.44140625" customWidth="1"/>
    <col min="16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114127</v>
      </c>
      <c r="E11" s="38">
        <f>SUM(G11,I11,K11,M11,O11,Q11,S11,U11,W11,Y11,AA11,AC11,AE11)</f>
        <v>502272.93</v>
      </c>
      <c r="F11" s="60">
        <f>'TIE-OUT'!T11+RECLASS!R11</f>
        <v>0</v>
      </c>
      <c r="G11" s="38">
        <f>'TIE-OUT'!U11+RECLASS!S11</f>
        <v>0</v>
      </c>
      <c r="H11" s="118">
        <f>+Actuals!E4</f>
        <v>111855</v>
      </c>
      <c r="I11" s="119">
        <f>+Actuals!F4</f>
        <v>492273.86</v>
      </c>
      <c r="J11" s="118">
        <v>2272</v>
      </c>
      <c r="K11" s="119">
        <v>9999.07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-1728</v>
      </c>
      <c r="F12" s="60">
        <f>'TIE-OUT'!T12+RECLASS!R12</f>
        <v>0</v>
      </c>
      <c r="G12" s="38">
        <f>'TIE-OUT'!U12+RECLASS!S12</f>
        <v>-1728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114127</v>
      </c>
      <c r="E16" s="39">
        <f t="shared" si="1"/>
        <v>500544.93</v>
      </c>
      <c r="F16" s="61">
        <f t="shared" si="1"/>
        <v>0</v>
      </c>
      <c r="G16" s="39">
        <f t="shared" si="1"/>
        <v>-1728</v>
      </c>
      <c r="H16" s="61">
        <f t="shared" si="1"/>
        <v>111855</v>
      </c>
      <c r="I16" s="39">
        <f t="shared" si="1"/>
        <v>492273.86</v>
      </c>
      <c r="J16" s="61">
        <f t="shared" si="1"/>
        <v>2272</v>
      </c>
      <c r="K16" s="39">
        <f t="shared" si="1"/>
        <v>9999.07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9717.56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</f>
        <v>0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v>9717.56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9717.56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39">
        <f t="shared" si="3"/>
        <v>0</v>
      </c>
      <c r="L24" s="61">
        <f t="shared" si="3"/>
        <v>0</v>
      </c>
      <c r="M24" s="39">
        <f t="shared" si="3"/>
        <v>9717.56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-114127</v>
      </c>
      <c r="E28" s="38">
        <f>SUM(G28,I28,K28,M28,O28,Q28,S28,U28,W28,Y28,AA28,AC28,AE28)</f>
        <v>-499876.26</v>
      </c>
      <c r="F28" s="81">
        <f>'TIE-OUT'!T28+RECLASS!R28</f>
        <v>0</v>
      </c>
      <c r="G28" s="82">
        <f>'TIE-OUT'!U28+RECLASS!S28</f>
        <v>0</v>
      </c>
      <c r="H28" s="118">
        <f>+Actuals!E15</f>
        <v>-111855</v>
      </c>
      <c r="I28" s="119">
        <f>+Actuals!F15</f>
        <v>-489924.9</v>
      </c>
      <c r="J28" s="118">
        <v>-2272</v>
      </c>
      <c r="K28" s="119">
        <v>-9951.36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-114127</v>
      </c>
      <c r="E29" s="39">
        <f t="shared" si="4"/>
        <v>-499876.26</v>
      </c>
      <c r="F29" s="61">
        <f t="shared" si="4"/>
        <v>0</v>
      </c>
      <c r="G29" s="39">
        <f t="shared" si="4"/>
        <v>0</v>
      </c>
      <c r="H29" s="61">
        <f t="shared" si="4"/>
        <v>-111855</v>
      </c>
      <c r="I29" s="39">
        <f t="shared" si="4"/>
        <v>-489924.9</v>
      </c>
      <c r="J29" s="61">
        <f t="shared" si="4"/>
        <v>-2272</v>
      </c>
      <c r="K29" s="39">
        <f t="shared" si="4"/>
        <v>-9951.36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</f>
        <v>0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-271480</v>
      </c>
      <c r="E54" s="38">
        <f>SUM(G54,I54,K54,M54,O54,Q54,S54,U54,W54,Y54,AA54,AC54,AE54)</f>
        <v>-1172793.6000000001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v>-271480</v>
      </c>
      <c r="K54" s="119">
        <v>-1172793.6000000001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-271480</v>
      </c>
      <c r="E56" s="39">
        <f t="shared" si="10"/>
        <v>-1172793.6000000001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-271480</v>
      </c>
      <c r="K56" s="39">
        <f t="shared" si="10"/>
        <v>-1172793.6000000001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+Actuals!F43-24836</f>
        <v>-24836</v>
      </c>
      <c r="J81" s="118">
        <f>+Actuals!G43</f>
        <v>0</v>
      </c>
      <c r="K81" s="139">
        <v>24836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-1162407.3700000001</v>
      </c>
      <c r="F82" s="91">
        <f>F16+F24+F29+F36+F43+F45+F47+F49</f>
        <v>0</v>
      </c>
      <c r="G82" s="92">
        <f>SUM(G72:G81)+G16+G24+G29+G36+G43+G45+G47+G49+G51+G56+G61+G66</f>
        <v>-1728</v>
      </c>
      <c r="H82" s="91">
        <f>H16+H24+H29+H36+H43+H45+H47+H49</f>
        <v>0</v>
      </c>
      <c r="I82" s="92">
        <f>SUM(I72:I81)+I16+I24+I29+I36+I43+I45+I47+I49+I51+I56+I61+I66</f>
        <v>-22487.040000000037</v>
      </c>
      <c r="J82" s="91">
        <f>J16+J24+J29+J36+J43+J45+J47+J49</f>
        <v>0</v>
      </c>
      <c r="K82" s="110">
        <f>SUM(K72:K81)+K16+K24+K29+K36+K43+K45+K47+K49+K51+K56+K61+K66</f>
        <v>-1147909.8900000001</v>
      </c>
      <c r="L82" s="91">
        <f>L16+L24+L29+L36+L43+L45+L47+L49</f>
        <v>0</v>
      </c>
      <c r="M82" s="92">
        <f>SUM(M72:M81)+M16+M24+M29+M36+M43+M45+M47+M49+M51+M56+M61+M66</f>
        <v>9717.56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I58" activePane="bottomRight" state="frozen"/>
      <selection activeCell="N16" sqref="N16"/>
      <selection pane="topRight" activeCell="N16" sqref="N16"/>
      <selection pane="bottomLeft" activeCell="N16" sqref="N16"/>
      <selection pane="bottomRight" activeCell="AV74" sqref="AV74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15" width="15.44140625" customWidth="1"/>
    <col min="16" max="41" width="15.44140625" hidden="1" customWidth="1"/>
    <col min="42" max="42" width="9.109375" hidden="1" customWidth="1"/>
    <col min="43" max="43" width="10.33203125" hidden="1" customWidth="1"/>
    <col min="44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54006730</v>
      </c>
      <c r="E11" s="38">
        <f>SUM(G11,I11,K11,M11,O11,Q11,S11,U11,W11,Y11,AA11,AC11,AE11)</f>
        <v>230193991.70999998</v>
      </c>
      <c r="F11" s="60">
        <f>'TIE-OUT'!X11+RECLASS!V11</f>
        <v>0</v>
      </c>
      <c r="G11" s="38">
        <f>'TIE-OUT'!Y11+RECLASS!W11</f>
        <v>0</v>
      </c>
      <c r="H11" s="118">
        <v>53658744</v>
      </c>
      <c r="I11" s="118">
        <v>228503241</v>
      </c>
      <c r="J11" s="118">
        <v>882005</v>
      </c>
      <c r="K11" s="119">
        <v>3289716.53</v>
      </c>
      <c r="L11" s="118">
        <v>-546723</v>
      </c>
      <c r="M11" s="119">
        <v>-1670554.74</v>
      </c>
      <c r="N11" s="118">
        <v>12704</v>
      </c>
      <c r="O11" s="119">
        <f>60913.92+10675</f>
        <v>71588.92</v>
      </c>
      <c r="P11" s="118">
        <v>0</v>
      </c>
      <c r="Q11" s="119">
        <v>0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4145252.62</v>
      </c>
      <c r="F12" s="60">
        <f>'TIE-OUT'!X12+RECLASS!V12</f>
        <v>0</v>
      </c>
      <c r="G12" s="38">
        <f>'TIE-OUT'!Y12+RECLASS!W12</f>
        <v>2725515.13</v>
      </c>
      <c r="H12" s="118">
        <v>0</v>
      </c>
      <c r="I12" s="118">
        <v>0</v>
      </c>
      <c r="J12" s="118">
        <v>0</v>
      </c>
      <c r="K12" s="214">
        <v>0</v>
      </c>
      <c r="L12" s="118">
        <v>0</v>
      </c>
      <c r="M12" s="119">
        <v>1419737.49</v>
      </c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-1695135.94</v>
      </c>
      <c r="F15" s="81">
        <f>'TIE-OUT'!X15+RECLASS!V15</f>
        <v>0</v>
      </c>
      <c r="G15" s="82">
        <f>'TIE-OUT'!Y15+RECLASS!W15</f>
        <v>0</v>
      </c>
      <c r="H15" s="118">
        <v>0</v>
      </c>
      <c r="I15" s="118">
        <v>0</v>
      </c>
      <c r="J15" s="118">
        <v>0</v>
      </c>
      <c r="K15" s="119">
        <v>398744.4</v>
      </c>
      <c r="L15" s="118">
        <v>0</v>
      </c>
      <c r="M15" s="119">
        <v>-2015492.46</v>
      </c>
      <c r="N15" s="118">
        <v>0</v>
      </c>
      <c r="O15" s="119">
        <v>-78387.88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54006730</v>
      </c>
      <c r="E16" s="39">
        <f t="shared" si="1"/>
        <v>232644108.38999999</v>
      </c>
      <c r="F16" s="61">
        <f t="shared" si="1"/>
        <v>0</v>
      </c>
      <c r="G16" s="39">
        <f t="shared" si="1"/>
        <v>2725515.13</v>
      </c>
      <c r="H16" s="61">
        <f t="shared" si="1"/>
        <v>53658744</v>
      </c>
      <c r="I16" s="61">
        <f t="shared" si="1"/>
        <v>228503241</v>
      </c>
      <c r="J16" s="61">
        <f t="shared" si="1"/>
        <v>882005</v>
      </c>
      <c r="K16" s="39">
        <f t="shared" si="1"/>
        <v>3688460.9299999997</v>
      </c>
      <c r="L16" s="61">
        <f t="shared" si="1"/>
        <v>-546723</v>
      </c>
      <c r="M16" s="39">
        <f t="shared" si="1"/>
        <v>-2266309.71</v>
      </c>
      <c r="N16" s="61">
        <f t="shared" si="1"/>
        <v>12704</v>
      </c>
      <c r="O16" s="39">
        <f t="shared" si="1"/>
        <v>-6798.9600000000064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-60194608</v>
      </c>
      <c r="E19" s="38">
        <f t="shared" si="2"/>
        <v>-254139411.01000002</v>
      </c>
      <c r="F19" s="64">
        <f>'TIE-OUT'!X19+RECLASS!V19</f>
        <v>0</v>
      </c>
      <c r="G19" s="68">
        <f>'TIE-OUT'!Y19+RECLASS!W19</f>
        <v>0</v>
      </c>
      <c r="H19" s="118">
        <v>-60894954</v>
      </c>
      <c r="I19" s="118">
        <v>-257546382</v>
      </c>
      <c r="J19" s="118">
        <v>281238</v>
      </c>
      <c r="K19" s="119">
        <v>1419973.53</v>
      </c>
      <c r="L19" s="118">
        <v>381191</v>
      </c>
      <c r="M19" s="119">
        <v>1719976.67</v>
      </c>
      <c r="N19" s="118">
        <v>37917</v>
      </c>
      <c r="O19" s="119">
        <v>267020.78999999998</v>
      </c>
      <c r="P19" s="118">
        <v>0</v>
      </c>
      <c r="Q19" s="119">
        <v>0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2639119.3500000006</v>
      </c>
      <c r="F20" s="60">
        <f>'TIE-OUT'!X20+RECLASS!V20</f>
        <v>0</v>
      </c>
      <c r="G20" s="38">
        <f>'TIE-OUT'!Y20+RECLASS!W20</f>
        <v>-9988575.4499999993</v>
      </c>
      <c r="H20" s="118">
        <v>0</v>
      </c>
      <c r="I20" s="118">
        <v>0</v>
      </c>
      <c r="J20" s="118">
        <v>0</v>
      </c>
      <c r="K20" s="214">
        <v>0</v>
      </c>
      <c r="L20" s="118">
        <v>0</v>
      </c>
      <c r="M20" s="119">
        <v>5756986.21</v>
      </c>
      <c r="N20" s="118">
        <v>0</v>
      </c>
      <c r="O20" s="139">
        <v>6870708.5899999999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-60194608</v>
      </c>
      <c r="E24" s="39">
        <f t="shared" si="3"/>
        <v>-251500291.66000003</v>
      </c>
      <c r="F24" s="61">
        <f t="shared" si="3"/>
        <v>0</v>
      </c>
      <c r="G24" s="39">
        <f t="shared" si="3"/>
        <v>-9988575.4499999993</v>
      </c>
      <c r="H24" s="61">
        <f>SUM(H19:H23)</f>
        <v>-60894954</v>
      </c>
      <c r="I24" s="39">
        <f>SUM(I19:I23)</f>
        <v>-257546382</v>
      </c>
      <c r="J24" s="61">
        <f t="shared" si="3"/>
        <v>281238</v>
      </c>
      <c r="K24" s="39">
        <f t="shared" si="3"/>
        <v>1419973.53</v>
      </c>
      <c r="L24" s="61">
        <f t="shared" si="3"/>
        <v>381191</v>
      </c>
      <c r="M24" s="39">
        <f t="shared" si="3"/>
        <v>7476962.8799999999</v>
      </c>
      <c r="N24" s="61">
        <f t="shared" si="3"/>
        <v>37917</v>
      </c>
      <c r="O24" s="39">
        <f t="shared" si="3"/>
        <v>7137729.3799999999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20623297</v>
      </c>
      <c r="E27" s="38">
        <f>SUM(G27,I27,K27,M27,O27,Q27,S27,U27,W27,Y27,AA27,AC27,AE27)</f>
        <v>87297113.010000005</v>
      </c>
      <c r="F27" s="64">
        <f>'TIE-OUT'!X27+RECLASS!V27</f>
        <v>0</v>
      </c>
      <c r="G27" s="68">
        <f>'TIE-OUT'!Y27+RECLASS!W27</f>
        <v>0</v>
      </c>
      <c r="H27" s="118">
        <f>13145771+111855</f>
        <v>13257626</v>
      </c>
      <c r="I27" s="118">
        <f>56253194+489925</f>
        <v>56743119</v>
      </c>
      <c r="J27" s="118">
        <v>7346990</v>
      </c>
      <c r="K27" s="119">
        <v>30471797.059999999</v>
      </c>
      <c r="L27" s="118">
        <v>21499</v>
      </c>
      <c r="M27" s="119">
        <v>93237.87</v>
      </c>
      <c r="N27" s="118">
        <v>-2818</v>
      </c>
      <c r="O27" s="119">
        <v>-11040.92</v>
      </c>
      <c r="P27" s="118">
        <v>0</v>
      </c>
      <c r="Q27" s="119">
        <v>0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-14935817</v>
      </c>
      <c r="E28" s="38">
        <f>SUM(G28,I28,K28,M28,O28,Q28,S28,U28,W28,Y28,AA28,AC28,AE28)</f>
        <v>-63918296.479999997</v>
      </c>
      <c r="F28" s="81">
        <f>'TIE-OUT'!X28+RECLASS!V28</f>
        <v>0</v>
      </c>
      <c r="G28" s="82">
        <f>'TIE-OUT'!Y28+RECLASS!W28</f>
        <v>0</v>
      </c>
      <c r="H28" s="118">
        <v>-13087628</v>
      </c>
      <c r="I28" s="118">
        <v>-56015070</v>
      </c>
      <c r="J28" s="118">
        <v>-1852065</v>
      </c>
      <c r="K28" s="119">
        <v>-7914307.4000000004</v>
      </c>
      <c r="L28" s="118">
        <v>27539</v>
      </c>
      <c r="M28" s="119">
        <v>109096.09</v>
      </c>
      <c r="N28" s="118">
        <v>-23663</v>
      </c>
      <c r="O28" s="119">
        <v>-98015.17</v>
      </c>
      <c r="P28" s="118">
        <v>0</v>
      </c>
      <c r="Q28" s="119">
        <v>0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5687480</v>
      </c>
      <c r="E29" s="39">
        <f t="shared" si="4"/>
        <v>23378816.530000009</v>
      </c>
      <c r="F29" s="61">
        <f t="shared" si="4"/>
        <v>0</v>
      </c>
      <c r="G29" s="39">
        <f t="shared" si="4"/>
        <v>0</v>
      </c>
      <c r="H29" s="61">
        <f t="shared" si="4"/>
        <v>169998</v>
      </c>
      <c r="I29" s="61">
        <f t="shared" si="4"/>
        <v>728049</v>
      </c>
      <c r="J29" s="61">
        <f t="shared" si="4"/>
        <v>5494925</v>
      </c>
      <c r="K29" s="39">
        <f t="shared" si="4"/>
        <v>22557489.659999996</v>
      </c>
      <c r="L29" s="61">
        <f t="shared" si="4"/>
        <v>49038</v>
      </c>
      <c r="M29" s="39">
        <f t="shared" si="4"/>
        <v>202333.96</v>
      </c>
      <c r="N29" s="61">
        <f t="shared" si="4"/>
        <v>-26481</v>
      </c>
      <c r="O29" s="39">
        <f t="shared" si="4"/>
        <v>-109056.09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254194</v>
      </c>
      <c r="E32" s="38">
        <f t="shared" si="5"/>
        <v>1088712.9100000001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32379</v>
      </c>
      <c r="K32" s="119">
        <v>138679.26</v>
      </c>
      <c r="L32" s="118">
        <v>94196</v>
      </c>
      <c r="M32" s="119">
        <v>403441.47</v>
      </c>
      <c r="N32" s="118">
        <v>127619</v>
      </c>
      <c r="O32" s="119">
        <v>546592.18000000005</v>
      </c>
      <c r="P32" s="118">
        <v>0</v>
      </c>
      <c r="Q32" s="119">
        <v>0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254194</v>
      </c>
      <c r="E36" s="39">
        <f t="shared" si="6"/>
        <v>1088712.9100000001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32379</v>
      </c>
      <c r="K36" s="39">
        <f t="shared" si="6"/>
        <v>138679.26</v>
      </c>
      <c r="L36" s="61">
        <f t="shared" si="6"/>
        <v>94196</v>
      </c>
      <c r="M36" s="39">
        <f t="shared" si="6"/>
        <v>403441.47</v>
      </c>
      <c r="N36" s="61">
        <f t="shared" si="6"/>
        <v>127619</v>
      </c>
      <c r="O36" s="39">
        <f t="shared" si="6"/>
        <v>546592.18000000005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319106</v>
      </c>
      <c r="E39" s="38">
        <f t="shared" si="7"/>
        <v>1347643.23</v>
      </c>
      <c r="F39" s="64">
        <f>'TIE-OUT'!X39+RECLASS!V39</f>
        <v>0</v>
      </c>
      <c r="G39" s="68">
        <f>'TIE-OUT'!Y39+RECLASS!W39</f>
        <v>0</v>
      </c>
      <c r="H39" s="118">
        <v>339373</v>
      </c>
      <c r="I39" s="118">
        <v>1498170</v>
      </c>
      <c r="J39" s="118">
        <v>-20267</v>
      </c>
      <c r="K39" s="119">
        <v>-88359.77</v>
      </c>
      <c r="L39" s="118">
        <v>0</v>
      </c>
      <c r="M39" s="119">
        <v>-62167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'TIE-OUT'!X41+RECLASS!V41</f>
        <v>0</v>
      </c>
      <c r="G41" s="82">
        <f>'TIE-OUT'!Y41+RECLASS!W41</f>
        <v>0</v>
      </c>
      <c r="H41" s="118">
        <v>0</v>
      </c>
      <c r="I41" s="118">
        <v>0</v>
      </c>
      <c r="J41" s="118">
        <v>0</v>
      </c>
      <c r="K41" s="214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319106</v>
      </c>
      <c r="E43" s="39">
        <f t="shared" si="9"/>
        <v>1347643.23</v>
      </c>
      <c r="F43" s="61">
        <f t="shared" si="9"/>
        <v>0</v>
      </c>
      <c r="G43" s="39">
        <f t="shared" si="9"/>
        <v>0</v>
      </c>
      <c r="H43" s="61">
        <f t="shared" si="9"/>
        <v>339373</v>
      </c>
      <c r="I43" s="61">
        <f t="shared" si="9"/>
        <v>1498170</v>
      </c>
      <c r="J43" s="61">
        <f t="shared" si="9"/>
        <v>-20267</v>
      </c>
      <c r="K43" s="39">
        <f t="shared" si="9"/>
        <v>-88359.77</v>
      </c>
      <c r="L43" s="61">
        <f t="shared" si="9"/>
        <v>0</v>
      </c>
      <c r="M43" s="39">
        <f t="shared" si="9"/>
        <v>-62167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-72902</v>
      </c>
      <c r="E49" s="38">
        <f>SUM(G49,I49,K49,M49,O49,Q49,S49,U49,W49,Y49,AA49,AC49,AE49)</f>
        <v>-312239.70999999839</v>
      </c>
      <c r="F49" s="60">
        <f>'TIE-OUT'!X49+RECLASS!V49</f>
        <v>0</v>
      </c>
      <c r="G49" s="38">
        <f>'TIE-OUT'!Y49+RECLASS!W49</f>
        <v>0</v>
      </c>
      <c r="H49" s="118">
        <v>6726839</v>
      </c>
      <c r="I49" s="118">
        <v>28811051</v>
      </c>
      <c r="J49" s="118">
        <v>-6670280</v>
      </c>
      <c r="K49" s="119">
        <v>-28568809.239999998</v>
      </c>
      <c r="L49" s="118">
        <v>22298</v>
      </c>
      <c r="M49" s="119">
        <v>95502.33</v>
      </c>
      <c r="N49" s="118">
        <v>-151759</v>
      </c>
      <c r="O49" s="119">
        <v>-649983.80000000005</v>
      </c>
      <c r="P49" s="118">
        <v>0</v>
      </c>
      <c r="Q49" s="119">
        <v>0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-20992972</v>
      </c>
      <c r="E54" s="38">
        <f>SUM(G54,I54,K54,M54,O54,Q54,S54,U54,W54,Y54,AA54,AC54,AE54)</f>
        <v>-1248478.1599999999</v>
      </c>
      <c r="F54" s="64">
        <f>'TIE-OUT'!X54+RECLASS!V54</f>
        <v>0</v>
      </c>
      <c r="G54" s="68">
        <f>'TIE-OUT'!Y54+RECLASS!W54</f>
        <v>-1526566</v>
      </c>
      <c r="H54" s="118">
        <v>0</v>
      </c>
      <c r="I54" s="118">
        <v>0</v>
      </c>
      <c r="J54" s="118">
        <v>-20631207</v>
      </c>
      <c r="K54" s="214">
        <v>-321321.99</v>
      </c>
      <c r="L54" s="118">
        <v>-56097</v>
      </c>
      <c r="M54" s="119">
        <v>599114.65</v>
      </c>
      <c r="N54" s="118">
        <v>-305668</v>
      </c>
      <c r="O54" s="119">
        <v>295.18</v>
      </c>
      <c r="P54" s="118">
        <v>0</v>
      </c>
      <c r="Q54" s="119">
        <v>0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109406.29000000001</v>
      </c>
      <c r="F55" s="81">
        <f>'TIE-OUT'!X55+RECLASS!V55</f>
        <v>0</v>
      </c>
      <c r="G55" s="82">
        <f>'TIE-OUT'!Y55+RECLASS!W55</f>
        <v>0</v>
      </c>
      <c r="H55" s="118">
        <v>0</v>
      </c>
      <c r="I55" s="118">
        <v>0</v>
      </c>
      <c r="J55" s="118">
        <v>0</v>
      </c>
      <c r="K55" s="119">
        <v>16191.49</v>
      </c>
      <c r="L55" s="118">
        <v>0</v>
      </c>
      <c r="M55" s="119">
        <v>93300</v>
      </c>
      <c r="N55" s="118">
        <v>0</v>
      </c>
      <c r="O55" s="119">
        <v>-85.2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-20992972</v>
      </c>
      <c r="E56" s="39">
        <f t="shared" si="10"/>
        <v>-1139071.8699999999</v>
      </c>
      <c r="F56" s="61">
        <f t="shared" si="10"/>
        <v>0</v>
      </c>
      <c r="G56" s="39">
        <f t="shared" si="10"/>
        <v>-1526566</v>
      </c>
      <c r="H56" s="61">
        <f t="shared" si="10"/>
        <v>0</v>
      </c>
      <c r="I56" s="61">
        <f t="shared" si="10"/>
        <v>0</v>
      </c>
      <c r="J56" s="61">
        <f t="shared" si="10"/>
        <v>-20631207</v>
      </c>
      <c r="K56" s="39">
        <f t="shared" si="10"/>
        <v>-305130.5</v>
      </c>
      <c r="L56" s="61">
        <f t="shared" si="10"/>
        <v>-56097</v>
      </c>
      <c r="M56" s="39">
        <f t="shared" si="10"/>
        <v>692414.65</v>
      </c>
      <c r="N56" s="61">
        <f t="shared" si="10"/>
        <v>-305668</v>
      </c>
      <c r="O56" s="39">
        <f t="shared" si="10"/>
        <v>209.98000000000002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-1031464.8500000006</v>
      </c>
      <c r="F74" s="60">
        <f>'TIE-OUT'!X74+RECLASS!V74</f>
        <v>0</v>
      </c>
      <c r="G74" s="60">
        <f>'TIE-OUT'!Y74+RECLASS!W74</f>
        <v>3407406.01</v>
      </c>
      <c r="H74" s="118">
        <v>0</v>
      </c>
      <c r="I74" s="118">
        <v>0</v>
      </c>
      <c r="J74" s="118">
        <v>0</v>
      </c>
      <c r="K74" s="214">
        <v>0</v>
      </c>
      <c r="L74" s="118">
        <v>0</v>
      </c>
      <c r="M74" s="119">
        <v>2396540</v>
      </c>
      <c r="N74" s="118">
        <v>0</v>
      </c>
      <c r="O74" s="119">
        <v>-6835410.8600000003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-39</v>
      </c>
      <c r="F76" s="60">
        <f>'TIE-OUT'!X76+RECLASS!V76</f>
        <v>0</v>
      </c>
      <c r="G76" s="60">
        <f>'TIE-OUT'!Y76+RECLASS!W76</f>
        <v>-39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-98300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-740250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214">
        <v>0</v>
      </c>
      <c r="L80" s="118">
        <v>0</v>
      </c>
      <c r="M80" s="119">
        <v>0</v>
      </c>
      <c r="N80" s="118">
        <v>0</v>
      </c>
      <c r="O80" s="139">
        <v>-740250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-0.3999999999996362</v>
      </c>
      <c r="F81" s="60">
        <f>'TIE-OUT'!X81+RECLASS!V81</f>
        <v>0</v>
      </c>
      <c r="G81" s="60">
        <f>'TIE-OUT'!Y81+RECLASS!W81</f>
        <v>0</v>
      </c>
      <c r="H81" s="118">
        <v>0</v>
      </c>
      <c r="I81" s="215">
        <v>0</v>
      </c>
      <c r="J81" s="118">
        <v>0</v>
      </c>
      <c r="K81" s="119">
        <v>10674.6</v>
      </c>
      <c r="L81" s="118">
        <v>0</v>
      </c>
      <c r="M81" s="119">
        <v>0</v>
      </c>
      <c r="N81" s="118">
        <v>0</v>
      </c>
      <c r="O81" s="119">
        <v>-10675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3637623.5699999705</v>
      </c>
      <c r="F82" s="91">
        <f>F16+F24+F29+F36+F43+F45+F47+F49</f>
        <v>0</v>
      </c>
      <c r="G82" s="92">
        <f>SUM(G72:G81)+G16+G24+G29+G36+G43+G45+G47+G49+G51+G56+G61+G66</f>
        <v>-5382259.3099999996</v>
      </c>
      <c r="H82" s="91">
        <f>H16+H24+H29+H36+H43+H45+H47+H49</f>
        <v>0</v>
      </c>
      <c r="I82" s="92">
        <f>SUM(I72:I81)+I16+I24+I29+I36+I43+I45+I47+I49+I51+I56+I61+I66</f>
        <v>1994129</v>
      </c>
      <c r="J82" s="91">
        <f>J16+J24+J29+J36+J43+J45+J47+J49</f>
        <v>0</v>
      </c>
      <c r="K82" s="110">
        <f>SUM(K72:K81)+K16+K24+K29+K36+K43+K45+K47+K49+K51+K56+K61+K66</f>
        <v>-1147021.5300000012</v>
      </c>
      <c r="L82" s="91">
        <f>L16+L24+L29+L36+L43+L45+L47+L49</f>
        <v>0</v>
      </c>
      <c r="M82" s="92">
        <f>SUM(M72:M81)+M16+M24+M29+M36+M43+M45+M47+M49+M51+M56+M61+M66</f>
        <v>8840418.5800000001</v>
      </c>
      <c r="N82" s="91">
        <f>N16+N24+N29+N36+N43+N45+N47+N49</f>
        <v>0</v>
      </c>
      <c r="O82" s="92">
        <f>SUM(O72:O81)+O16+O24+O29+O36+O43+O45+O47+O49+O51+O56+O61+O66</f>
        <v>-667643.17000000039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8" thickTop="1" x14ac:dyDescent="0.25">
      <c r="A83" s="4"/>
      <c r="B83" s="3"/>
    </row>
    <row r="84" spans="1:43" x14ac:dyDescent="0.25">
      <c r="A84" s="4"/>
      <c r="B84" s="3"/>
    </row>
    <row r="85" spans="1:43" x14ac:dyDescent="0.25">
      <c r="A85" s="4" t="s">
        <v>166</v>
      </c>
      <c r="B85" s="3"/>
      <c r="F85" s="31"/>
      <c r="G85" s="31"/>
      <c r="H85" s="31"/>
      <c r="I85" s="31"/>
      <c r="K85"/>
    </row>
    <row r="86" spans="1:43" x14ac:dyDescent="0.25">
      <c r="A86" s="144"/>
      <c r="B86" s="3"/>
      <c r="C86" s="10" t="s">
        <v>162</v>
      </c>
      <c r="D86" s="145">
        <f t="shared" ref="D86:E88" si="15">SUM(F86,H86,J86,L86,N86,P86,R86,T86,V86,X86,Z86,AB86,AD86)</f>
        <v>0</v>
      </c>
      <c r="E86" s="146">
        <f t="shared" si="15"/>
        <v>758419</v>
      </c>
      <c r="F86" s="145">
        <f>'TIE-OUT'!X86+RECLASS!V86</f>
        <v>0</v>
      </c>
      <c r="G86" s="146">
        <f>'TIE-OUT'!Y86+RECLASS!W86</f>
        <v>1522312</v>
      </c>
      <c r="H86" s="145">
        <v>0</v>
      </c>
      <c r="I86" s="215">
        <v>-115037</v>
      </c>
      <c r="J86" s="145">
        <v>0</v>
      </c>
      <c r="K86" s="145">
        <v>-1389106</v>
      </c>
      <c r="L86" s="145">
        <v>0</v>
      </c>
      <c r="M86" s="145">
        <v>0</v>
      </c>
      <c r="N86" s="145">
        <v>0</v>
      </c>
      <c r="O86" s="145">
        <v>740250</v>
      </c>
    </row>
    <row r="87" spans="1:43" x14ac:dyDescent="0.25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</row>
    <row r="88" spans="1:43" x14ac:dyDescent="0.25">
      <c r="A88" s="144"/>
      <c r="B88" s="3"/>
      <c r="C88" s="10" t="s">
        <v>72</v>
      </c>
      <c r="D88" s="147">
        <f t="shared" si="15"/>
        <v>0</v>
      </c>
      <c r="E88" s="147">
        <f t="shared" si="15"/>
        <v>-1386419</v>
      </c>
      <c r="F88" s="147">
        <f>'TIE-OUT'!X88+RECLASS!V88</f>
        <v>0</v>
      </c>
      <c r="G88" s="147">
        <f>'TIE-OUT'!Y88+RECLASS!W88</f>
        <v>-646169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-740250</v>
      </c>
    </row>
    <row r="89" spans="1:43" ht="15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K89" si="16">SUM(E86:E88)</f>
        <v>-628000</v>
      </c>
      <c r="F89" s="155">
        <f t="shared" si="16"/>
        <v>0</v>
      </c>
      <c r="G89" s="155">
        <f t="shared" si="16"/>
        <v>876143</v>
      </c>
      <c r="H89" s="155">
        <f t="shared" si="16"/>
        <v>0</v>
      </c>
      <c r="I89" s="155">
        <f t="shared" si="16"/>
        <v>-115037</v>
      </c>
      <c r="J89" s="155">
        <f t="shared" si="16"/>
        <v>0</v>
      </c>
      <c r="K89" s="155">
        <f t="shared" si="16"/>
        <v>-1389106</v>
      </c>
      <c r="L89" s="155">
        <f>SUM(L86:L88)</f>
        <v>0</v>
      </c>
      <c r="M89" s="155">
        <f>SUM(M86:M88)</f>
        <v>0</v>
      </c>
      <c r="N89" s="155">
        <f>SUM(N86:N88)</f>
        <v>0</v>
      </c>
      <c r="O89" s="155">
        <f>SUM(O86:O88)</f>
        <v>0</v>
      </c>
    </row>
    <row r="90" spans="1:43" x14ac:dyDescent="0.25">
      <c r="A90" s="4"/>
      <c r="B90" s="3"/>
      <c r="F90" s="31"/>
      <c r="G90" s="31"/>
      <c r="H90" s="31"/>
      <c r="I90" s="31"/>
      <c r="K90"/>
    </row>
    <row r="91" spans="1:43" ht="15" x14ac:dyDescent="0.25">
      <c r="A91" s="151"/>
      <c r="B91" s="152"/>
      <c r="C91" s="157" t="s">
        <v>168</v>
      </c>
      <c r="D91" s="155">
        <f>+D82+D89</f>
        <v>0</v>
      </c>
      <c r="E91" s="155">
        <f t="shared" ref="E91:K91" si="17">+E82+E89</f>
        <v>3009623.5699999705</v>
      </c>
      <c r="F91" s="155">
        <f t="shared" si="17"/>
        <v>0</v>
      </c>
      <c r="G91" s="155">
        <f t="shared" si="17"/>
        <v>-4506116.3099999996</v>
      </c>
      <c r="H91" s="155">
        <f t="shared" si="17"/>
        <v>0</v>
      </c>
      <c r="I91" s="155">
        <f t="shared" si="17"/>
        <v>1879092</v>
      </c>
      <c r="J91" s="155">
        <f t="shared" si="17"/>
        <v>0</v>
      </c>
      <c r="K91" s="155">
        <f t="shared" si="17"/>
        <v>-2536127.5300000012</v>
      </c>
      <c r="L91" s="155">
        <f>+L82+L89</f>
        <v>0</v>
      </c>
      <c r="M91" s="155">
        <f>+M82+M89</f>
        <v>8840418.5800000001</v>
      </c>
      <c r="N91" s="155">
        <f>+N82+N89</f>
        <v>0</v>
      </c>
      <c r="O91" s="155">
        <f>+O82+O89</f>
        <v>-667643.17000000039</v>
      </c>
    </row>
    <row r="92" spans="1:43" x14ac:dyDescent="0.25">
      <c r="A92" s="4"/>
      <c r="B92" s="3"/>
    </row>
    <row r="93" spans="1:43" x14ac:dyDescent="0.25">
      <c r="A93" s="4"/>
      <c r="B93" s="3"/>
    </row>
    <row r="94" spans="1:43" x14ac:dyDescent="0.25">
      <c r="A94" s="4"/>
      <c r="B94" s="3"/>
    </row>
    <row r="95" spans="1:43" x14ac:dyDescent="0.25">
      <c r="A95" s="4"/>
      <c r="B95" s="3"/>
    </row>
    <row r="96" spans="1:4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G79" activePane="bottomRight" state="frozen"/>
      <selection activeCell="N16" sqref="N16"/>
      <selection pane="topRight" activeCell="N16" sqref="N16"/>
      <selection pane="bottomLeft" activeCell="N16" sqref="N16"/>
      <selection pane="bottomRight" activeCell="N16" sqref="N1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  <col min="16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68832553</v>
      </c>
      <c r="E11" s="38">
        <f>SUM(G11,I11,K11,M11,O11,Q11,S11,U11,W11,Y11,AA11,AC11,AE11)</f>
        <v>291280862.48000002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68805563</v>
      </c>
      <c r="I11" s="38">
        <f>'TX-EGM-GL'!I11+'TX-HPLR-GL '!I11+'TX-HPLC-GL'!I11</f>
        <v>291438368.69999999</v>
      </c>
      <c r="J11" s="60">
        <f>'TX-EGM-GL'!J11+'TX-HPLR-GL '!J11+'TX-HPLC-GL'!J11</f>
        <v>512270</v>
      </c>
      <c r="K11" s="38">
        <f>'TX-EGM-GL'!K11+'TX-HPLR-GL '!K11+'TX-HPLC-GL'!K11</f>
        <v>1484227.38</v>
      </c>
      <c r="L11" s="60">
        <f>'TX-EGM-GL'!L11+'TX-HPLR-GL '!L11+'TX-HPLC-GL'!L11</f>
        <v>-483696</v>
      </c>
      <c r="M11" s="38">
        <f>'TX-EGM-GL'!M11+'TX-HPLR-GL '!M11+'TX-HPLC-GL'!M11</f>
        <v>-1614536.77</v>
      </c>
      <c r="N11" s="60">
        <f>'TX-EGM-GL'!N11+'TX-HPLR-GL '!N11+'TX-HPLC-GL'!N11</f>
        <v>-1584</v>
      </c>
      <c r="O11" s="38">
        <f>'TX-EGM-GL'!O11+'TX-HPLR-GL '!O11+'TX-HPLC-GL'!O11</f>
        <v>-27196.83</v>
      </c>
      <c r="P11" s="60">
        <f>'TX-EGM-GL'!P11+'TX-HPLR-GL '!P11+'TX-HPLC-GL'!P11</f>
        <v>0</v>
      </c>
      <c r="Q11" s="38">
        <f>'TX-EGM-GL'!Q11+'TX-HPLR-GL '!Q11+'TX-HPLC-GL'!Q11</f>
        <v>0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7880588.25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6460850.7599999998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0</v>
      </c>
      <c r="L12" s="60">
        <f>'TX-EGM-GL'!L12+'TX-HPLR-GL '!L12+'TX-HPLC-GL'!L12</f>
        <v>0</v>
      </c>
      <c r="M12" s="38">
        <f>'TX-EGM-GL'!M12+'TX-HPLR-GL '!M12+'TX-HPLC-GL'!M12</f>
        <v>1419737.49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12450000</v>
      </c>
      <c r="E13" s="38">
        <f t="shared" si="0"/>
        <v>43694930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10189948</v>
      </c>
      <c r="I13" s="38">
        <f>'TX-EGM-GL'!I13+'TX-HPLR-GL '!I13+'TX-HPLC-GL'!I13</f>
        <v>43284349</v>
      </c>
      <c r="J13" s="60">
        <f>'TX-EGM-GL'!J13+'TX-HPLR-GL '!J13+'TX-HPLC-GL'!J13</f>
        <v>0</v>
      </c>
      <c r="K13" s="38">
        <f>'TX-EGM-GL'!K13+'TX-HPLR-GL '!K13+'TX-HPLC-GL'!K13</f>
        <v>0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2260052</v>
      </c>
      <c r="O13" s="38">
        <f>'TX-EGM-GL'!O13+'TX-HPLR-GL '!O13+'TX-HPLC-GL'!O13</f>
        <v>410581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13186.059999999939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0</v>
      </c>
      <c r="H15" s="60">
        <f>'TX-EGM-GL'!H15+'TX-HPLR-GL '!H15+'TX-HPLC-GL'!H15</f>
        <v>0</v>
      </c>
      <c r="I15" s="38">
        <f>'TX-EGM-GL'!I15+'TX-HPLR-GL '!I15+'TX-HPLC-GL'!I15</f>
        <v>1554000</v>
      </c>
      <c r="J15" s="60">
        <f>'TX-EGM-GL'!J15+'TX-HPLR-GL '!J15+'TX-HPLC-GL'!J15</f>
        <v>0</v>
      </c>
      <c r="K15" s="38">
        <f>'TX-EGM-GL'!K15+'TX-HPLR-GL '!K15+'TX-HPLC-GL'!K15</f>
        <v>505844.4</v>
      </c>
      <c r="L15" s="60">
        <f>'TX-EGM-GL'!L15+'TX-HPLR-GL '!L15+'TX-HPLC-GL'!L15</f>
        <v>0</v>
      </c>
      <c r="M15" s="38">
        <f>'TX-EGM-GL'!M15+'TX-HPLR-GL '!M15+'TX-HPLC-GL'!M15</f>
        <v>-1968270.46</v>
      </c>
      <c r="N15" s="60">
        <f>'TX-EGM-GL'!N15+'TX-HPLR-GL '!N15+'TX-HPLC-GL'!N15</f>
        <v>0</v>
      </c>
      <c r="O15" s="38">
        <f>'TX-EGM-GL'!O15+'TX-HPLR-GL '!O15+'TX-HPLC-GL'!O15</f>
        <v>-78387.88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81282553</v>
      </c>
      <c r="E16" s="39">
        <f t="shared" si="1"/>
        <v>342869566.79000002</v>
      </c>
      <c r="F16" s="61">
        <f t="shared" si="1"/>
        <v>0</v>
      </c>
      <c r="G16" s="39">
        <f t="shared" si="1"/>
        <v>6460850.7599999998</v>
      </c>
      <c r="H16" s="61">
        <f t="shared" si="1"/>
        <v>78995511</v>
      </c>
      <c r="I16" s="39">
        <f t="shared" si="1"/>
        <v>336276717.69999999</v>
      </c>
      <c r="J16" s="61">
        <f t="shared" si="1"/>
        <v>512270</v>
      </c>
      <c r="K16" s="39">
        <f t="shared" si="1"/>
        <v>1990071.7799999998</v>
      </c>
      <c r="L16" s="61">
        <f t="shared" si="1"/>
        <v>-483696</v>
      </c>
      <c r="M16" s="39">
        <f t="shared" si="1"/>
        <v>-2163069.7400000002</v>
      </c>
      <c r="N16" s="61">
        <f t="shared" si="1"/>
        <v>2258468</v>
      </c>
      <c r="O16" s="39">
        <f t="shared" si="1"/>
        <v>304996.28999999998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-68208628</v>
      </c>
      <c r="E19" s="38">
        <f t="shared" si="2"/>
        <v>-288965600.87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-68857505</v>
      </c>
      <c r="I19" s="38">
        <f>'TX-EGM-GL'!I19+'TX-HPLR-GL '!I19+'TX-HPLC-GL'!I19</f>
        <v>-290790487.51999998</v>
      </c>
      <c r="J19" s="60">
        <f>'TX-EGM-GL'!J19+'TX-HPLR-GL '!J19+'TX-HPLC-GL'!J19</f>
        <v>230246</v>
      </c>
      <c r="K19" s="38">
        <f>'TX-EGM-GL'!K19+'TX-HPLR-GL '!K19+'TX-HPLC-GL'!K19</f>
        <v>97662.960000000196</v>
      </c>
      <c r="L19" s="60">
        <f>'TX-EGM-GL'!L19+'TX-HPLR-GL '!L19+'TX-HPLC-GL'!L19</f>
        <v>380237</v>
      </c>
      <c r="M19" s="38">
        <f>'TX-EGM-GL'!M19+'TX-HPLR-GL '!M19+'TX-HPLC-GL'!M19</f>
        <v>1458185.19</v>
      </c>
      <c r="N19" s="60">
        <f>'TX-EGM-GL'!N19+'TX-HPLR-GL '!N19+'TX-HPLC-GL'!N19</f>
        <v>38394</v>
      </c>
      <c r="O19" s="38">
        <f>'TX-EGM-GL'!O19+'TX-HPLR-GL '!O19+'TX-HPLC-GL'!O19</f>
        <v>269038.5</v>
      </c>
      <c r="P19" s="60">
        <f>'TX-EGM-GL'!P19+'TX-HPLR-GL '!P19+'TX-HPLC-GL'!P19</f>
        <v>0</v>
      </c>
      <c r="Q19" s="38">
        <f>'TX-EGM-GL'!Q19+'TX-HPLR-GL '!Q19+'TX-HPLC-GL'!Q19</f>
        <v>0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2759456.9800000014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-9868237.8199999984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0</v>
      </c>
      <c r="L20" s="60">
        <f>'TX-EGM-GL'!L20+'TX-HPLR-GL '!L20+'TX-HPLC-GL'!L20</f>
        <v>0</v>
      </c>
      <c r="M20" s="38">
        <f>'TX-EGM-GL'!M20+'TX-HPLR-GL '!M20+'TX-HPLC-GL'!M20</f>
        <v>5756986.21</v>
      </c>
      <c r="N20" s="60">
        <f>'TX-EGM-GL'!N20+'TX-HPLR-GL '!N20+'TX-HPLC-GL'!N20</f>
        <v>0</v>
      </c>
      <c r="O20" s="38">
        <f>'TX-EGM-GL'!O20+'TX-HPLR-GL '!O20+'TX-HPLC-GL'!O20</f>
        <v>6870708.5899999999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-12450000</v>
      </c>
      <c r="E21" s="38">
        <f t="shared" si="2"/>
        <v>-43694930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-10189948</v>
      </c>
      <c r="I21" s="38">
        <f>'TX-EGM-GL'!I21+'TX-HPLR-GL '!I21+'TX-HPLC-GL'!I21</f>
        <v>-43284349</v>
      </c>
      <c r="J21" s="60">
        <f>'TX-EGM-GL'!J21+'TX-HPLR-GL '!J21+'TX-HPLC-GL'!J21</f>
        <v>0</v>
      </c>
      <c r="K21" s="38">
        <f>'TX-EGM-GL'!K21+'TX-HPLR-GL '!K21+'TX-HPLC-GL'!K21</f>
        <v>0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-2260052</v>
      </c>
      <c r="O21" s="38">
        <f>'TX-EGM-GL'!O21+'TX-HPLR-GL '!O21+'TX-HPLC-GL'!O21</f>
        <v>-410581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144584</v>
      </c>
      <c r="E23" s="38">
        <f t="shared" si="2"/>
        <v>632481.84299999999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12541</v>
      </c>
      <c r="I23" s="38">
        <f>'TX-EGM-GL'!I23+'TX-HPLR-GL '!I23+'TX-HPLC-GL'!I23</f>
        <v>53713.103000000003</v>
      </c>
      <c r="J23" s="60">
        <f>'TX-EGM-GL'!J23+'TX-HPLR-GL '!J23+'TX-HPLC-GL'!J23</f>
        <v>136800</v>
      </c>
      <c r="K23" s="38">
        <f>'TX-EGM-GL'!K23+'TX-HPLR-GL '!K23+'TX-HPLC-GL'!K23</f>
        <v>599142.97</v>
      </c>
      <c r="L23" s="60">
        <f>'TX-EGM-GL'!L23+'TX-HPLR-GL '!L23+'TX-HPLC-GL'!L23</f>
        <v>-4757</v>
      </c>
      <c r="M23" s="38">
        <f>'TX-EGM-GL'!M23+'TX-HPLR-GL '!M23+'TX-HPLC-GL'!M23</f>
        <v>-20374.23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-80514044</v>
      </c>
      <c r="E24" s="39">
        <f t="shared" si="3"/>
        <v>-329268592.04699999</v>
      </c>
      <c r="F24" s="61">
        <f t="shared" si="3"/>
        <v>0</v>
      </c>
      <c r="G24" s="39">
        <f t="shared" si="3"/>
        <v>-9868237.8199999984</v>
      </c>
      <c r="H24" s="61">
        <f t="shared" si="3"/>
        <v>-79034912</v>
      </c>
      <c r="I24" s="39">
        <f t="shared" si="3"/>
        <v>-334021123.417</v>
      </c>
      <c r="J24" s="61">
        <f t="shared" si="3"/>
        <v>367046</v>
      </c>
      <c r="K24" s="39">
        <f t="shared" si="3"/>
        <v>696805.93000000017</v>
      </c>
      <c r="L24" s="61">
        <f t="shared" si="3"/>
        <v>375480</v>
      </c>
      <c r="M24" s="39">
        <f t="shared" si="3"/>
        <v>7194797.1699999999</v>
      </c>
      <c r="N24" s="61">
        <f t="shared" si="3"/>
        <v>-2221658</v>
      </c>
      <c r="O24" s="39">
        <f t="shared" si="3"/>
        <v>6729166.0899999999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34130965</v>
      </c>
      <c r="E27" s="38">
        <f>SUM(G27,I27,K27,M27,O27,Q27,S27,U27,W27,Y27,AA27,AC27,AE27)</f>
        <v>145169310.16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24976042</v>
      </c>
      <c r="I27" s="38">
        <f>'TX-EGM-GL'!I27+'TX-HPLR-GL '!I27+'TX-HPLC-GL'!I27</f>
        <v>106957189.7</v>
      </c>
      <c r="J27" s="60">
        <f>'TX-EGM-GL'!J27+'TX-HPLR-GL '!J27+'TX-HPLC-GL'!J27</f>
        <v>9171305</v>
      </c>
      <c r="K27" s="38">
        <f>'TX-EGM-GL'!K27+'TX-HPLR-GL '!K27+'TX-HPLC-GL'!K27</f>
        <v>38280526.649999999</v>
      </c>
      <c r="L27" s="60">
        <f>'TX-EGM-GL'!L27+'TX-HPLR-GL '!L27+'TX-HPLC-GL'!L27</f>
        <v>-13087</v>
      </c>
      <c r="M27" s="38">
        <f>'TX-EGM-GL'!M27+'TX-HPLR-GL '!M27+'TX-HPLC-GL'!M27</f>
        <v>-55322.550000000017</v>
      </c>
      <c r="N27" s="60">
        <f>'TX-EGM-GL'!N27+'TX-HPLR-GL '!N27+'TX-HPLC-GL'!N27</f>
        <v>-3295</v>
      </c>
      <c r="O27" s="38">
        <f>'TX-EGM-GL'!O27+'TX-HPLR-GL '!O27+'TX-HPLC-GL'!O27</f>
        <v>-13083.64</v>
      </c>
      <c r="P27" s="60">
        <f>'TX-EGM-GL'!P27+'TX-HPLR-GL '!P27+'TX-HPLC-GL'!P27</f>
        <v>0</v>
      </c>
      <c r="Q27" s="38">
        <f>'TX-EGM-GL'!Q27+'TX-HPLR-GL '!Q27+'TX-HPLC-GL'!Q27</f>
        <v>0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-35024031</v>
      </c>
      <c r="E28" s="38">
        <f>SUM(G28,I28,K28,M28,O28,Q28,S28,U28,W28,Y28,AA28,AC28,AE28)</f>
        <v>-150094331.40400001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-25819286</v>
      </c>
      <c r="I28" s="38">
        <f>'TX-EGM-GL'!I28+'TX-HPLR-GL '!I28+'TX-HPLC-GL'!I28</f>
        <v>-110687404.31</v>
      </c>
      <c r="J28" s="60">
        <f>'TX-EGM-GL'!J28+'TX-HPLR-GL '!J28+'TX-HPLC-GL'!J28</f>
        <v>-9163446</v>
      </c>
      <c r="K28" s="38">
        <f>'TX-EGM-GL'!K28+'TX-HPLR-GL '!K28+'TX-HPLC-GL'!K28</f>
        <v>-39226273.420000002</v>
      </c>
      <c r="L28" s="60">
        <f>'TX-EGM-GL'!L28+'TX-HPLR-GL '!L28+'TX-HPLC-GL'!L28</f>
        <v>6040</v>
      </c>
      <c r="M28" s="38">
        <f>'TX-EGM-GL'!M28+'TX-HPLR-GL '!M28+'TX-HPLC-GL'!M28</f>
        <v>15858.216</v>
      </c>
      <c r="N28" s="60">
        <f>'TX-EGM-GL'!N28+'TX-HPLR-GL '!N28+'TX-HPLC-GL'!N28</f>
        <v>-47339</v>
      </c>
      <c r="O28" s="38">
        <f>'TX-EGM-GL'!O28+'TX-HPLR-GL '!O28+'TX-HPLC-GL'!O28</f>
        <v>-196511.89</v>
      </c>
      <c r="P28" s="60">
        <f>'TX-EGM-GL'!P28+'TX-HPLR-GL '!P28+'TX-HPLC-GL'!P28</f>
        <v>0</v>
      </c>
      <c r="Q28" s="38">
        <f>'TX-EGM-GL'!Q28+'TX-HPLR-GL '!Q28+'TX-HPLC-GL'!Q28</f>
        <v>0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-893066</v>
      </c>
      <c r="E29" s="39">
        <f t="shared" si="4"/>
        <v>-4925021.2440000176</v>
      </c>
      <c r="F29" s="61">
        <f t="shared" si="4"/>
        <v>0</v>
      </c>
      <c r="G29" s="39">
        <f t="shared" si="4"/>
        <v>0</v>
      </c>
      <c r="H29" s="61">
        <f t="shared" si="4"/>
        <v>-843244</v>
      </c>
      <c r="I29" s="39">
        <f t="shared" si="4"/>
        <v>-3730214.6099999994</v>
      </c>
      <c r="J29" s="61">
        <f t="shared" si="4"/>
        <v>7859</v>
      </c>
      <c r="K29" s="39">
        <f t="shared" si="4"/>
        <v>-945746.77000000328</v>
      </c>
      <c r="L29" s="61">
        <f t="shared" si="4"/>
        <v>-7047</v>
      </c>
      <c r="M29" s="39">
        <f t="shared" si="4"/>
        <v>-39464.334000000017</v>
      </c>
      <c r="N29" s="61">
        <f t="shared" si="4"/>
        <v>-50634</v>
      </c>
      <c r="O29" s="39">
        <f t="shared" si="4"/>
        <v>-209595.53000000003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210413</v>
      </c>
      <c r="E32" s="38">
        <f t="shared" si="5"/>
        <v>892404.71100000339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-5948543</v>
      </c>
      <c r="I32" s="38">
        <f>'TX-EGM-GL'!I32+'TX-HPLR-GL '!I32+'TX-HPLC-GL'!I32</f>
        <v>-25477609.669</v>
      </c>
      <c r="J32" s="60">
        <f>'TX-EGM-GL'!J32+'TX-HPLR-GL '!J32+'TX-HPLC-GL'!J32</f>
        <v>5781432</v>
      </c>
      <c r="K32" s="38">
        <f>'TX-EGM-GL'!K32+'TX-HPLR-GL '!K32+'TX-HPLC-GL'!K32</f>
        <v>24753008.020000003</v>
      </c>
      <c r="L32" s="60">
        <f>'TX-EGM-GL'!L32+'TX-HPLR-GL '!L32+'TX-HPLC-GL'!L32</f>
        <v>187722</v>
      </c>
      <c r="M32" s="38">
        <f>'TX-EGM-GL'!M32+'TX-HPLR-GL '!M32+'TX-HPLC-GL'!M32</f>
        <v>804084.3899999999</v>
      </c>
      <c r="N32" s="60">
        <f>'TX-EGM-GL'!N32+'TX-HPLR-GL '!N32+'TX-HPLC-GL'!N32</f>
        <v>189802</v>
      </c>
      <c r="O32" s="38">
        <f>'TX-EGM-GL'!O32+'TX-HPLR-GL '!O32+'TX-HPLC-GL'!O32</f>
        <v>812921.97</v>
      </c>
      <c r="P32" s="60">
        <f>'TX-EGM-GL'!P32+'TX-HPLR-GL '!P32+'TX-HPLC-GL'!P32</f>
        <v>0</v>
      </c>
      <c r="Q32" s="38">
        <f>'TX-EGM-GL'!Q32+'TX-HPLR-GL '!Q32+'TX-HPLC-GL'!Q32</f>
        <v>0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-6870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-183064</v>
      </c>
      <c r="M35" s="38">
        <f>'TX-EGM-GL'!M35+'TX-HPLR-GL '!M35+'TX-HPLC-GL'!M35</f>
        <v>0</v>
      </c>
      <c r="N35" s="60">
        <f>'TX-EGM-GL'!N35+'TX-HPLR-GL '!N35+'TX-HPLC-GL'!N35</f>
        <v>176194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203543</v>
      </c>
      <c r="E36" s="39">
        <f t="shared" si="6"/>
        <v>892404.71100000339</v>
      </c>
      <c r="F36" s="61">
        <f t="shared" si="6"/>
        <v>0</v>
      </c>
      <c r="G36" s="39">
        <f t="shared" si="6"/>
        <v>0</v>
      </c>
      <c r="H36" s="61">
        <f t="shared" si="6"/>
        <v>-5948543</v>
      </c>
      <c r="I36" s="39">
        <f t="shared" si="6"/>
        <v>-25477609.669</v>
      </c>
      <c r="J36" s="61">
        <f t="shared" si="6"/>
        <v>5781432</v>
      </c>
      <c r="K36" s="39">
        <f t="shared" si="6"/>
        <v>24753008.020000003</v>
      </c>
      <c r="L36" s="61">
        <f t="shared" si="6"/>
        <v>4658</v>
      </c>
      <c r="M36" s="39">
        <f t="shared" si="6"/>
        <v>804084.3899999999</v>
      </c>
      <c r="N36" s="61">
        <f t="shared" si="6"/>
        <v>365996</v>
      </c>
      <c r="O36" s="39">
        <f t="shared" si="6"/>
        <v>812921.97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287704</v>
      </c>
      <c r="E39" s="38">
        <f t="shared" si="7"/>
        <v>1347643.22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307971</v>
      </c>
      <c r="I39" s="38">
        <f>'TX-EGM-GL'!I39+'TX-HPLR-GL '!I39+'TX-HPLC-GL'!I39</f>
        <v>1498169.99</v>
      </c>
      <c r="J39" s="60">
        <f>'TX-EGM-GL'!J39+'TX-HPLR-GL '!J39+'TX-HPLC-GL'!J39</f>
        <v>-20267</v>
      </c>
      <c r="K39" s="38">
        <f>'TX-EGM-GL'!K39+'TX-HPLR-GL '!K39+'TX-HPLC-GL'!K39</f>
        <v>-88359.77</v>
      </c>
      <c r="L39" s="60">
        <f>'TX-EGM-GL'!L39+'TX-HPLR-GL '!L39+'TX-HPLC-GL'!L39</f>
        <v>0</v>
      </c>
      <c r="M39" s="38">
        <f>'TX-EGM-GL'!M39+'TX-HPLR-GL '!M39+'TX-HPLC-GL'!M39</f>
        <v>-62167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-20000</v>
      </c>
      <c r="E40" s="38">
        <f t="shared" si="7"/>
        <v>-45190.889999999992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-40000</v>
      </c>
      <c r="I40" s="38">
        <f>'TX-EGM-GL'!I40+'TX-HPLR-GL '!I40+'TX-HPLC-GL'!I40</f>
        <v>-90381.79</v>
      </c>
      <c r="J40" s="60">
        <f>'TX-EGM-GL'!J40+'TX-HPLR-GL '!J40+'TX-HPLC-GL'!J40</f>
        <v>20000</v>
      </c>
      <c r="K40" s="38">
        <f>'TX-EGM-GL'!K40+'TX-HPLR-GL '!K40+'TX-HPLC-GL'!K40</f>
        <v>45190.9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-20000</v>
      </c>
      <c r="E42" s="39">
        <f t="shared" si="8"/>
        <v>-45190.889999999992</v>
      </c>
      <c r="F42" s="61">
        <f t="shared" si="8"/>
        <v>0</v>
      </c>
      <c r="G42" s="39">
        <f t="shared" si="8"/>
        <v>0</v>
      </c>
      <c r="H42" s="61">
        <f t="shared" si="8"/>
        <v>-40000</v>
      </c>
      <c r="I42" s="39">
        <f t="shared" si="8"/>
        <v>-90381.79</v>
      </c>
      <c r="J42" s="61">
        <f t="shared" si="8"/>
        <v>20000</v>
      </c>
      <c r="K42" s="39">
        <f t="shared" si="8"/>
        <v>45190.9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267704</v>
      </c>
      <c r="E43" s="39">
        <f t="shared" si="9"/>
        <v>1302452.33</v>
      </c>
      <c r="F43" s="61">
        <f t="shared" si="9"/>
        <v>0</v>
      </c>
      <c r="G43" s="39">
        <f t="shared" si="9"/>
        <v>0</v>
      </c>
      <c r="H43" s="61">
        <f t="shared" si="9"/>
        <v>267971</v>
      </c>
      <c r="I43" s="39">
        <f t="shared" si="9"/>
        <v>1407788.2</v>
      </c>
      <c r="J43" s="61">
        <f t="shared" si="9"/>
        <v>-267</v>
      </c>
      <c r="K43" s="39">
        <f t="shared" si="9"/>
        <v>-43168.87</v>
      </c>
      <c r="L43" s="61">
        <f t="shared" si="9"/>
        <v>0</v>
      </c>
      <c r="M43" s="39">
        <f t="shared" si="9"/>
        <v>-62167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0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-73090</v>
      </c>
      <c r="E49" s="38">
        <f>SUM(G49,I49,K49,M49,O49,Q49,S49,U49,W49,Y49,AA49,AC49,AE49)</f>
        <v>-313044.9159999988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6563217</v>
      </c>
      <c r="I49" s="38">
        <f>'TX-EGM-GL'!I49+'TX-HPLR-GL '!I49+'TX-HPLC-GL'!I49</f>
        <v>28110257.973999999</v>
      </c>
      <c r="J49" s="60">
        <f>'TX-EGM-GL'!J49+'TX-HPLR-GL '!J49+'TX-HPLC-GL'!J49</f>
        <v>-6394740</v>
      </c>
      <c r="K49" s="38">
        <f>'TX-EGM-GL'!K49+'TX-HPLR-GL '!K49+'TX-HPLC-GL'!K49</f>
        <v>-27388671.419999998</v>
      </c>
      <c r="L49" s="60">
        <f>'TX-EGM-GL'!L49+'TX-HPLR-GL '!L49+'TX-HPLC-GL'!L49</f>
        <v>110605</v>
      </c>
      <c r="M49" s="38">
        <f>'TX-EGM-GL'!M49+'TX-HPLR-GL '!M49+'TX-HPLC-GL'!M49</f>
        <v>473721.21</v>
      </c>
      <c r="N49" s="60">
        <f>'TX-EGM-GL'!N49+'TX-HPLR-GL '!N49+'TX-HPLC-GL'!N49</f>
        <v>-352172</v>
      </c>
      <c r="O49" s="38">
        <f>'TX-EGM-GL'!O49+'TX-HPLR-GL '!O49+'TX-HPLC-GL'!O49</f>
        <v>-1508352.6800000002</v>
      </c>
      <c r="P49" s="60">
        <f>'TX-EGM-GL'!P49+'TX-HPLR-GL '!P49+'TX-HPLC-GL'!P49</f>
        <v>0</v>
      </c>
      <c r="Q49" s="38">
        <f>'TX-EGM-GL'!Q49+'TX-HPLR-GL '!Q49+'TX-HPLC-GL'!Q49</f>
        <v>0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-8207</v>
      </c>
      <c r="E51" s="38">
        <f>SUM(G51,I51,K51,M51,O51,Q51,S51,U51,W51,Y51,AA51,AC51,AE51)</f>
        <v>-35150.582999999999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-12541</v>
      </c>
      <c r="I51" s="38">
        <f>'TX-EGM-GL'!I51+'TX-HPLR-GL '!I51+'TX-HPLC-GL'!I51</f>
        <v>-53713.103000000003</v>
      </c>
      <c r="J51" s="60">
        <f>'TX-EGM-GL'!J51+'TX-HPLR-GL '!J51+'TX-HPLC-GL'!J51</f>
        <v>-423</v>
      </c>
      <c r="K51" s="38">
        <f>'TX-EGM-GL'!K51+'TX-HPLR-GL '!K51+'TX-HPLC-GL'!K51</f>
        <v>-1811.71</v>
      </c>
      <c r="L51" s="60">
        <f>'TX-EGM-GL'!L51+'TX-HPLR-GL '!L51+'TX-HPLC-GL'!L51</f>
        <v>4757</v>
      </c>
      <c r="M51" s="38">
        <f>'TX-EGM-GL'!M51+'TX-HPLR-GL '!M51+'TX-HPLC-GL'!M51</f>
        <v>20374.23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-49308286</v>
      </c>
      <c r="E54" s="38">
        <f>SUM(G54,I54,K54,M54,O54,Q54,S54,U54,W54,Y54,AA54,AC54,AE54)</f>
        <v>-2766923.87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-1526566</v>
      </c>
      <c r="H54" s="60">
        <f>'TX-EGM-GL'!H54+'TX-HPLR-GL '!H54+'TX-HPLC-GL'!H54</f>
        <v>-15438557</v>
      </c>
      <c r="I54" s="38">
        <f>'TX-EGM-GL'!I54+'TX-HPLR-GL '!I54+'TX-HPLC-GL'!I54</f>
        <v>-276381.89</v>
      </c>
      <c r="J54" s="60">
        <f>'TX-EGM-GL'!J54+'TX-HPLR-GL '!J54+'TX-HPLC-GL'!J54</f>
        <v>-32896159</v>
      </c>
      <c r="K54" s="38">
        <f>'TX-EGM-GL'!K54+'TX-HPLR-GL '!K54+'TX-HPLC-GL'!K54</f>
        <v>-1551533.9100000001</v>
      </c>
      <c r="L54" s="60">
        <f>'TX-EGM-GL'!L54+'TX-HPLR-GL '!L54+'TX-HPLC-GL'!L54</f>
        <v>-825307</v>
      </c>
      <c r="M54" s="38">
        <f>'TX-EGM-GL'!M54+'TX-HPLR-GL '!M54+'TX-HPLC-GL'!M54</f>
        <v>581823.95000000007</v>
      </c>
      <c r="N54" s="60">
        <f>'TX-EGM-GL'!N54+'TX-HPLR-GL '!N54+'TX-HPLC-GL'!N54</f>
        <v>-148263</v>
      </c>
      <c r="O54" s="38">
        <f>'TX-EGM-GL'!O54+'TX-HPLR-GL '!O54+'TX-HPLC-GL'!O54</f>
        <v>5733.9800000000005</v>
      </c>
      <c r="P54" s="60">
        <f>'TX-EGM-GL'!P54+'TX-HPLR-GL '!P54+'TX-HPLC-GL'!P54</f>
        <v>0</v>
      </c>
      <c r="Q54" s="38">
        <f>'TX-EGM-GL'!Q54+'TX-HPLR-GL '!Q54+'TX-HPLC-GL'!Q54</f>
        <v>0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23344</v>
      </c>
      <c r="E55" s="38">
        <f>SUM(G55,I55,K55,M55,O55,Q55,S55,U55,W55,Y55,AA55,AC55,AE55)</f>
        <v>-169228.82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0</v>
      </c>
      <c r="H55" s="60">
        <f>'TX-EGM-GL'!H55+'TX-HPLR-GL '!H55+'TX-HPLC-GL'!H55</f>
        <v>0</v>
      </c>
      <c r="I55" s="38">
        <f>'TX-EGM-GL'!I55+'TX-HPLR-GL '!I55+'TX-HPLC-GL'!I55</f>
        <v>-160800</v>
      </c>
      <c r="J55" s="60">
        <f>'TX-EGM-GL'!J55+'TX-HPLR-GL '!J55+'TX-HPLC-GL'!J55</f>
        <v>0</v>
      </c>
      <c r="K55" s="38">
        <f>'TX-EGM-GL'!K55+'TX-HPLR-GL '!K55+'TX-HPLC-GL'!K55</f>
        <v>-101367.89</v>
      </c>
      <c r="L55" s="60">
        <f>'TX-EGM-GL'!L55+'TX-HPLR-GL '!L55+'TX-HPLC-GL'!L55</f>
        <v>23344</v>
      </c>
      <c r="M55" s="38">
        <f>'TX-EGM-GL'!M55+'TX-HPLR-GL '!M55+'TX-HPLC-GL'!M55</f>
        <v>93024.27</v>
      </c>
      <c r="N55" s="60">
        <f>'TX-EGM-GL'!N55+'TX-HPLR-GL '!N55+'TX-HPLC-GL'!N55</f>
        <v>0</v>
      </c>
      <c r="O55" s="38">
        <f>'TX-EGM-GL'!O55+'TX-HPLR-GL '!O55+'TX-HPLC-GL'!O55</f>
        <v>-85.2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-49284942</v>
      </c>
      <c r="E56" s="39">
        <f t="shared" si="10"/>
        <v>-2936152.69</v>
      </c>
      <c r="F56" s="61">
        <f t="shared" si="10"/>
        <v>0</v>
      </c>
      <c r="G56" s="39">
        <f t="shared" si="10"/>
        <v>-1526566</v>
      </c>
      <c r="H56" s="61">
        <f t="shared" si="10"/>
        <v>-15438557</v>
      </c>
      <c r="I56" s="39">
        <f t="shared" si="10"/>
        <v>-437181.89</v>
      </c>
      <c r="J56" s="61">
        <f t="shared" si="10"/>
        <v>-32896159</v>
      </c>
      <c r="K56" s="39">
        <f t="shared" si="10"/>
        <v>-1652901.8</v>
      </c>
      <c r="L56" s="61">
        <f t="shared" si="10"/>
        <v>-801963</v>
      </c>
      <c r="M56" s="39">
        <f t="shared" si="10"/>
        <v>674848.22000000009</v>
      </c>
      <c r="N56" s="61">
        <f t="shared" si="10"/>
        <v>-148263</v>
      </c>
      <c r="O56" s="39">
        <f t="shared" si="10"/>
        <v>5648.7800000000007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0</v>
      </c>
      <c r="J64" s="60">
        <f>'TX-EGM-GL'!J64+'TX-HPLR-GL '!J64+'TX-HPLC-GL'!J64</f>
        <v>0</v>
      </c>
      <c r="K64" s="38">
        <f>'TX-EGM-GL'!K64+'TX-HPLR-GL '!K64+'TX-HPLC-GL'!K64</f>
        <v>0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519130.8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519130.8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-6550905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-6550905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-6031774.2000000002</v>
      </c>
      <c r="F72" s="61">
        <f t="shared" si="13"/>
        <v>0</v>
      </c>
      <c r="G72" s="39">
        <f t="shared" si="13"/>
        <v>-6031774.2000000002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-1101928.8200000012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3336942.0399999996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2396540</v>
      </c>
      <c r="N74" s="60">
        <f>'TX-EGM-GL'!N74+'TX-HPLR-GL '!N74+'TX-HPLC-GL'!N74</f>
        <v>0</v>
      </c>
      <c r="O74" s="38">
        <f>'TX-EGM-GL'!O74+'TX-HPLR-GL '!O74+'TX-HPLC-GL'!O74</f>
        <v>-6835410.8600000003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308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308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-39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-39</v>
      </c>
      <c r="H76" s="60">
        <f>'TX-EGM-GL'!H76+'TX-HPLR-GL '!H76+'TX-HPLC-GL'!H76</f>
        <v>0</v>
      </c>
      <c r="I76" s="38">
        <f>'TX-EGM-GL'!I76+'TX-HPLR-GL '!I76+'TX-HPLC-GL'!I76</f>
        <v>0</v>
      </c>
      <c r="J76" s="60">
        <f>'TX-EGM-GL'!J76+'TX-HPLR-GL '!J76+'TX-HPLC-GL'!J76</f>
        <v>0</v>
      </c>
      <c r="K76" s="38">
        <f>'TX-EGM-GL'!K76+'TX-HPLR-GL '!K76+'TX-HPLC-GL'!K76</f>
        <v>0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-98300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-740250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-740250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-0.40000000000145519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-24836</v>
      </c>
      <c r="J81" s="60">
        <f>'TX-EGM-GL'!J81+'TX-HPLR-GL '!J81+'TX-HPLC-GL'!J81</f>
        <v>0</v>
      </c>
      <c r="K81" s="38">
        <f>'TX-EGM-GL'!K81+'TX-HPLR-GL '!K81+'TX-HPLC-GL'!K81</f>
        <v>35510.6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-10675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273600</v>
      </c>
      <c r="E82" s="92">
        <f>SUM(E72:E81)+E16+E24+E29+E36+E43+E45+E47+E49+E51+E56+E61+E66</f>
        <v>-385522.0689999992</v>
      </c>
      <c r="F82" s="91">
        <f>F16+F24+F29+F36+F43+F45+F47+F49</f>
        <v>0</v>
      </c>
      <c r="G82" s="92">
        <f>SUM(G72:G81)+G16+G24+G29+G36+G43+G45+G47+G49+G51+G56+G61+G66</f>
        <v>-7628516.2199999988</v>
      </c>
      <c r="H82" s="91">
        <f>H16+H24+H29+H36+H43+H45+H47+H49</f>
        <v>0</v>
      </c>
      <c r="I82" s="92">
        <f>SUM(I72:I81)+I16+I24+I29+I36+I43+I45+I47+I49+I51+I56+I61+I66</f>
        <v>2050085.1849999917</v>
      </c>
      <c r="J82" s="91">
        <f>J16+J24+J29+J36+J43+J45+J47+J49</f>
        <v>273600</v>
      </c>
      <c r="K82" s="92">
        <f>SUM(K72:K81)+K16+K24+K29+K36+K43+K45+K47+K49+K51+K56+K61+K66</f>
        <v>-2556904.2400000002</v>
      </c>
      <c r="L82" s="91">
        <f>L16+L24+L29+L36+L43+L45+L47+L49</f>
        <v>0</v>
      </c>
      <c r="M82" s="92">
        <f>SUM(M72:M81)+M16+M24+M29+M36+M43+M45+M47+M49+M51+M56+M61+M66</f>
        <v>9201364.1460000016</v>
      </c>
      <c r="N82" s="91">
        <f>N16+N24+N29+N36+N43+N45+N47+N49</f>
        <v>0</v>
      </c>
      <c r="O82" s="92">
        <f>SUM(O72:O81)+O16+O24+O29+O36+O43+O45+O47+O49+O51+O56+O61+O66</f>
        <v>-1451550.9400000006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166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5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18169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1522312</v>
      </c>
      <c r="H86" s="145">
        <f>'TX-EGM-GL'!H86+'TX-HPLR-GL '!H86+'TX-HPLC-GL'!H86</f>
        <v>0</v>
      </c>
      <c r="I86" s="145">
        <f>'TX-EGM-GL'!I86+'TX-HPLR-GL '!I86+'TX-HPLC-GL'!I86</f>
        <v>-115037</v>
      </c>
      <c r="J86" s="145">
        <f>'TX-EGM-GL'!J86+'TX-HPLR-GL '!J86+'TX-HPLC-GL'!J86</f>
        <v>0</v>
      </c>
      <c r="K86" s="145">
        <f>'TX-EGM-GL'!K86+'TX-HPLR-GL '!K86+'TX-HPLC-GL'!K86</f>
        <v>-1389106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-646169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-646169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-628000</v>
      </c>
      <c r="F89" s="155">
        <f t="shared" si="16"/>
        <v>0</v>
      </c>
      <c r="G89" s="155">
        <f t="shared" si="16"/>
        <v>876143</v>
      </c>
      <c r="H89" s="155">
        <f t="shared" si="16"/>
        <v>0</v>
      </c>
      <c r="I89" s="155">
        <f t="shared" si="16"/>
        <v>-115037</v>
      </c>
      <c r="J89" s="155">
        <f>SUM(J86:J88)</f>
        <v>0</v>
      </c>
      <c r="K89" s="155">
        <f>SUM(K86:K88)</f>
        <v>-1389106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273600</v>
      </c>
      <c r="E91" s="155">
        <f t="shared" ref="E91:M91" si="19">+E82+E89</f>
        <v>-1013522.0689999992</v>
      </c>
      <c r="F91" s="155">
        <f t="shared" si="19"/>
        <v>0</v>
      </c>
      <c r="G91" s="155">
        <f t="shared" si="19"/>
        <v>-6752373.2199999988</v>
      </c>
      <c r="H91" s="155">
        <f t="shared" si="19"/>
        <v>0</v>
      </c>
      <c r="I91" s="155">
        <f t="shared" si="19"/>
        <v>1935048.1849999917</v>
      </c>
      <c r="J91" s="155">
        <f>+J82+J89</f>
        <v>273600</v>
      </c>
      <c r="K91" s="155">
        <f>+K82+K89</f>
        <v>-3946010.24</v>
      </c>
      <c r="L91" s="155">
        <f t="shared" si="19"/>
        <v>0</v>
      </c>
      <c r="M91" s="155">
        <f t="shared" si="19"/>
        <v>9201364.1460000016</v>
      </c>
      <c r="N91" s="155">
        <f t="shared" ref="N91:AE91" si="20">+N82+N89</f>
        <v>0</v>
      </c>
      <c r="O91" s="155">
        <f t="shared" si="20"/>
        <v>-1451550.9400000006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AP179"/>
  <sheetViews>
    <sheetView zoomScale="75" workbookViewId="0">
      <pane xSplit="3" ySplit="9" topLeftCell="I10" activePane="bottomRight" state="frozen"/>
      <selection activeCell="N16" sqref="N16"/>
      <selection pane="topRight" activeCell="N16" sqref="N16"/>
      <selection pane="bottomLeft" activeCell="N16" sqref="N16"/>
      <selection pane="bottomRight" activeCell="O20" sqref="O2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  <col min="16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55884601</v>
      </c>
      <c r="E11" s="38">
        <f>SUM(G11,I11,K11,M11,O11,Q11,S11,U11,W11,Y11,AA11,AC11,AE11)</f>
        <v>227301319.52000001</v>
      </c>
      <c r="F11" s="60">
        <f>'TIE-OUT'!P11+RECLASS!N11</f>
        <v>0</v>
      </c>
      <c r="G11" s="38">
        <f>'TIE-OUT'!Q11+RECLASS!O11</f>
        <v>0</v>
      </c>
      <c r="H11" s="118">
        <f>+Actuals!E484</f>
        <v>58220784</v>
      </c>
      <c r="I11" s="119">
        <f>+Actuals!F484</f>
        <v>238781329.09</v>
      </c>
      <c r="J11" s="118">
        <v>-588471</v>
      </c>
      <c r="K11" s="119">
        <v>-3424486.73</v>
      </c>
      <c r="L11" s="118">
        <v>-1308815</v>
      </c>
      <c r="M11" s="119">
        <v>-6070039.9699999997</v>
      </c>
      <c r="N11" s="118">
        <v>-438897</v>
      </c>
      <c r="O11" s="119">
        <v>-1985482.87</v>
      </c>
      <c r="P11" s="118">
        <f>+Actuals!M484</f>
        <v>0</v>
      </c>
      <c r="Q11" s="119">
        <f>+Actuals!N484</f>
        <v>0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6447434.370000001</v>
      </c>
      <c r="F12" s="60">
        <f>'TIE-OUT'!P12+RECLASS!N12</f>
        <v>0</v>
      </c>
      <c r="G12" s="38">
        <f>'TIE-OUT'!Q12+RECLASS!O12</f>
        <v>12008786.130000001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4">
        <v>0</v>
      </c>
      <c r="L12" s="118">
        <f>+Actuals!I485</f>
        <v>0</v>
      </c>
      <c r="M12" s="119">
        <v>-5561351.7599999998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12953024</v>
      </c>
      <c r="E13" s="38">
        <f t="shared" si="0"/>
        <v>54506391</v>
      </c>
      <c r="F13" s="60">
        <f>'TIE-OUT'!P13+RECLASS!N13</f>
        <v>0</v>
      </c>
      <c r="G13" s="38">
        <f>'TIE-OUT'!Q13+RECLASS!O13</f>
        <v>0</v>
      </c>
      <c r="H13" s="118">
        <f>+Actuals!E486</f>
        <v>12953024</v>
      </c>
      <c r="I13" s="119">
        <f>+Actuals!F486</f>
        <v>54506391</v>
      </c>
      <c r="J13" s="118">
        <f>+Actuals!G486</f>
        <v>0</v>
      </c>
      <c r="K13" s="119">
        <f>+Actuals!H486</f>
        <v>0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1794448.5</v>
      </c>
      <c r="F15" s="60">
        <f>'TIE-OUT'!P15+RECLASS!N15</f>
        <v>0</v>
      </c>
      <c r="G15" s="38">
        <f>'TIE-OUT'!Q15+RECLASS!O15</f>
        <v>0</v>
      </c>
      <c r="H15" s="118">
        <f>+Actuals!E488</f>
        <v>0</v>
      </c>
      <c r="I15" s="119">
        <f>+Actuals!F488</f>
        <v>1155193.02</v>
      </c>
      <c r="J15" s="118">
        <f>+Actuals!G488</f>
        <v>0</v>
      </c>
      <c r="K15" s="119">
        <v>528426.48</v>
      </c>
      <c r="L15" s="118">
        <f>+Actuals!I488</f>
        <v>0</v>
      </c>
      <c r="M15" s="119">
        <v>110829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68837625</v>
      </c>
      <c r="E16" s="39">
        <f t="shared" si="1"/>
        <v>290049593.38999999</v>
      </c>
      <c r="F16" s="61">
        <f t="shared" si="1"/>
        <v>0</v>
      </c>
      <c r="G16" s="39">
        <f t="shared" si="1"/>
        <v>12008786.130000001</v>
      </c>
      <c r="H16" s="61">
        <f t="shared" si="1"/>
        <v>71173808</v>
      </c>
      <c r="I16" s="39">
        <f t="shared" si="1"/>
        <v>294442913.11000001</v>
      </c>
      <c r="J16" s="61">
        <f t="shared" ref="J16:AO16" si="2">SUM(J11:J15)</f>
        <v>-588471</v>
      </c>
      <c r="K16" s="39">
        <f t="shared" si="2"/>
        <v>-2896060.25</v>
      </c>
      <c r="L16" s="61">
        <f t="shared" si="2"/>
        <v>-1308815</v>
      </c>
      <c r="M16" s="39">
        <f t="shared" si="2"/>
        <v>-11520562.73</v>
      </c>
      <c r="N16" s="61">
        <f t="shared" si="2"/>
        <v>-438897</v>
      </c>
      <c r="O16" s="39">
        <f t="shared" si="2"/>
        <v>-1985482.87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-56865070</v>
      </c>
      <c r="E19" s="38">
        <f t="shared" si="3"/>
        <v>-224435835.52000001</v>
      </c>
      <c r="F19" s="60">
        <f>'TIE-OUT'!P19+RECLASS!N19</f>
        <v>0</v>
      </c>
      <c r="G19" s="38">
        <f>'TIE-OUT'!Q19+RECLASS!O19</f>
        <v>0</v>
      </c>
      <c r="H19" s="118">
        <f>+Actuals!E489</f>
        <v>-59170839</v>
      </c>
      <c r="I19" s="119">
        <f>+Actuals!F489</f>
        <v>-234049221.96000001</v>
      </c>
      <c r="J19" s="118">
        <f>1913844+4703</f>
        <v>1918547</v>
      </c>
      <c r="K19" s="119">
        <f>8051430.73+18802.59</f>
        <v>8070233.3200000003</v>
      </c>
      <c r="L19" s="118">
        <v>76232</v>
      </c>
      <c r="M19" s="119">
        <v>-32931.879999999997</v>
      </c>
      <c r="N19" s="118">
        <v>310990</v>
      </c>
      <c r="O19" s="119">
        <v>1576085</v>
      </c>
      <c r="P19" s="118">
        <f>+Actuals!M489</f>
        <v>0</v>
      </c>
      <c r="Q19" s="119">
        <f>+Actuals!N489</f>
        <v>0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-9827146.6600000001</v>
      </c>
      <c r="F20" s="60">
        <f>'TIE-OUT'!P20+RECLASS!N20</f>
        <v>0</v>
      </c>
      <c r="G20" s="38">
        <f>'TIE-OUT'!Q20+RECLASS!O20</f>
        <v>-16419350.630000001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4">
        <v>0</v>
      </c>
      <c r="L20" s="118">
        <f>+Actuals!I490</f>
        <v>0</v>
      </c>
      <c r="M20" s="119">
        <v>6107723.9699999997</v>
      </c>
      <c r="N20" s="118">
        <f>+Actuals!K490</f>
        <v>0</v>
      </c>
      <c r="O20" s="139">
        <f>250480+234000</f>
        <v>484480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-13572313</v>
      </c>
      <c r="E21" s="38">
        <f t="shared" si="3"/>
        <v>-56780943</v>
      </c>
      <c r="F21" s="60">
        <f>'TIE-OUT'!P21+RECLASS!N21</f>
        <v>0</v>
      </c>
      <c r="G21" s="38">
        <f>'TIE-OUT'!Q21+RECLASS!O21</f>
        <v>0</v>
      </c>
      <c r="H21" s="118">
        <f>+Actuals!E491</f>
        <v>-17092428</v>
      </c>
      <c r="I21" s="119">
        <f>+Actuals!F491</f>
        <v>-70353933</v>
      </c>
      <c r="J21" s="118">
        <f>+Actuals!G491</f>
        <v>0</v>
      </c>
      <c r="K21" s="119">
        <f>+Actuals!H491</f>
        <v>0</v>
      </c>
      <c r="L21" s="118">
        <f>+Actuals!I491</f>
        <v>0</v>
      </c>
      <c r="M21" s="119">
        <f>+Actuals!J491</f>
        <v>0</v>
      </c>
      <c r="N21" s="118">
        <v>3520115</v>
      </c>
      <c r="O21" s="119">
        <v>13572990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296459</v>
      </c>
      <c r="E23" s="38">
        <f t="shared" si="3"/>
        <v>1185243.0819999999</v>
      </c>
      <c r="F23" s="60">
        <f>'TIE-OUT'!P23+RECLASS!N23</f>
        <v>0</v>
      </c>
      <c r="G23" s="38">
        <f>'TIE-OUT'!Q23+RECLASS!O23</f>
        <v>0</v>
      </c>
      <c r="H23" s="118">
        <f>+Actuals!E493</f>
        <v>311279</v>
      </c>
      <c r="I23" s="119">
        <f>+Actuals!F493</f>
        <v>1244493.442</v>
      </c>
      <c r="J23" s="118">
        <v>-4703</v>
      </c>
      <c r="K23" s="119">
        <v>-18802.59</v>
      </c>
      <c r="L23" s="118">
        <v>-10117</v>
      </c>
      <c r="M23" s="119">
        <v>-40447.769999999997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-70140924</v>
      </c>
      <c r="E24" s="39">
        <f t="shared" si="4"/>
        <v>-289858682.09799999</v>
      </c>
      <c r="F24" s="61">
        <f t="shared" si="4"/>
        <v>0</v>
      </c>
      <c r="G24" s="39">
        <f t="shared" si="4"/>
        <v>-16419350.630000001</v>
      </c>
      <c r="H24" s="61">
        <f t="shared" si="4"/>
        <v>-75951988</v>
      </c>
      <c r="I24" s="39">
        <f t="shared" si="4"/>
        <v>-303158661.51800007</v>
      </c>
      <c r="J24" s="61">
        <f t="shared" ref="J24:AO24" si="5">SUM(J19:J23)</f>
        <v>1913844</v>
      </c>
      <c r="K24" s="39">
        <f t="shared" si="5"/>
        <v>8051430.7300000004</v>
      </c>
      <c r="L24" s="61">
        <f t="shared" si="5"/>
        <v>66115</v>
      </c>
      <c r="M24" s="39">
        <f t="shared" si="5"/>
        <v>6034344.3200000003</v>
      </c>
      <c r="N24" s="61">
        <f t="shared" si="5"/>
        <v>3831105</v>
      </c>
      <c r="O24" s="39">
        <f t="shared" si="5"/>
        <v>15633555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1146590</v>
      </c>
      <c r="E27" s="38">
        <f>SUM(G27,I27,K27,M27,O27,Q27,S27,U27,W27,Y27,AA27,AC27,AE27)</f>
        <v>4791616.129999999</v>
      </c>
      <c r="F27" s="60">
        <f>'TIE-OUT'!P27+RECLASS!N27</f>
        <v>0</v>
      </c>
      <c r="G27" s="38">
        <f>'TIE-OUT'!Q27+RECLASS!O27</f>
        <v>0</v>
      </c>
      <c r="H27" s="118">
        <f>+Actuals!E494</f>
        <v>1146590</v>
      </c>
      <c r="I27" s="119">
        <f>+Actuals!F494</f>
        <v>4791616.13</v>
      </c>
      <c r="J27" s="118">
        <v>-4</v>
      </c>
      <c r="K27" s="119">
        <v>-2017.98</v>
      </c>
      <c r="L27" s="118">
        <v>-7808</v>
      </c>
      <c r="M27" s="119">
        <v>-30479.200000000001</v>
      </c>
      <c r="N27" s="118">
        <v>7812</v>
      </c>
      <c r="O27" s="119">
        <v>32497.18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f>'TIE-OUT'!P28+RECLASS!N28</f>
        <v>0</v>
      </c>
      <c r="G28" s="38">
        <f>'TIE-OUT'!Q28+RECLASS!O28</f>
        <v>0</v>
      </c>
      <c r="H28" s="118">
        <f>+Actuals!E495</f>
        <v>0</v>
      </c>
      <c r="I28" s="119">
        <f>+Actuals!F495</f>
        <v>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1146590</v>
      </c>
      <c r="E29" s="39">
        <f t="shared" si="6"/>
        <v>4791616.129999999</v>
      </c>
      <c r="F29" s="61">
        <f t="shared" si="6"/>
        <v>0</v>
      </c>
      <c r="G29" s="39">
        <f t="shared" si="6"/>
        <v>0</v>
      </c>
      <c r="H29" s="61">
        <f t="shared" si="6"/>
        <v>1146590</v>
      </c>
      <c r="I29" s="39">
        <f t="shared" si="6"/>
        <v>4791616.13</v>
      </c>
      <c r="J29" s="61">
        <f t="shared" ref="J29:AO29" si="7">SUM(J27:J28)</f>
        <v>-4</v>
      </c>
      <c r="K29" s="39">
        <f t="shared" si="7"/>
        <v>-2017.98</v>
      </c>
      <c r="L29" s="61">
        <f t="shared" si="7"/>
        <v>-7808</v>
      </c>
      <c r="M29" s="39">
        <f t="shared" si="7"/>
        <v>-30479.200000000001</v>
      </c>
      <c r="N29" s="61">
        <f t="shared" si="7"/>
        <v>7812</v>
      </c>
      <c r="O29" s="39">
        <f t="shared" si="7"/>
        <v>32497.18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102973</v>
      </c>
      <c r="E32" s="38">
        <f t="shared" si="8"/>
        <v>411686.05799999996</v>
      </c>
      <c r="F32" s="60">
        <f>'TIE-OUT'!P32+RECLASS!N32</f>
        <v>0</v>
      </c>
      <c r="G32" s="38">
        <f>'TIE-OUT'!Q32+RECLASS!O32</f>
        <v>0</v>
      </c>
      <c r="H32" s="118">
        <f>+Actuals!E496</f>
        <v>-75629</v>
      </c>
      <c r="I32" s="119">
        <f>+Actuals!F496</f>
        <v>-302364.74200000003</v>
      </c>
      <c r="J32" s="118">
        <v>164105</v>
      </c>
      <c r="K32" s="119">
        <v>656091.79</v>
      </c>
      <c r="L32" s="118">
        <v>17922</v>
      </c>
      <c r="M32" s="119">
        <v>71652.160000000003</v>
      </c>
      <c r="N32" s="118">
        <v>-3425</v>
      </c>
      <c r="O32" s="119">
        <v>-13693.15</v>
      </c>
      <c r="P32" s="118">
        <f>+Actuals!M496</f>
        <v>0</v>
      </c>
      <c r="Q32" s="119">
        <f>+Actuals!N496</f>
        <v>0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-200706</v>
      </c>
      <c r="E33" s="38">
        <f t="shared" si="8"/>
        <v>-785761.29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v>-188951</v>
      </c>
      <c r="K33" s="119">
        <v>-785761.29</v>
      </c>
      <c r="L33" s="118">
        <v>-10197</v>
      </c>
      <c r="M33" s="119">
        <f>+Actuals!J497</f>
        <v>0</v>
      </c>
      <c r="N33" s="118">
        <v>-1558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110619</v>
      </c>
      <c r="E34" s="38">
        <f t="shared" si="8"/>
        <v>367099.37000000005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v>110612</v>
      </c>
      <c r="K34" s="119">
        <v>367074.03</v>
      </c>
      <c r="L34" s="118">
        <v>7</v>
      </c>
      <c r="M34" s="119">
        <v>25.34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-19819</v>
      </c>
      <c r="E35" s="38">
        <f t="shared" si="8"/>
        <v>-1295018.6200000001</v>
      </c>
      <c r="F35" s="60">
        <f>'TIE-OUT'!P35+RECLASS!N35</f>
        <v>0</v>
      </c>
      <c r="G35" s="38">
        <f>'TIE-OUT'!Q35+RECLASS!O35</f>
        <v>0</v>
      </c>
      <c r="H35" s="118">
        <f>+Actuals!E499</f>
        <v>0</v>
      </c>
      <c r="I35" s="119">
        <f>+Actuals!F499</f>
        <v>0</v>
      </c>
      <c r="J35" s="118">
        <v>-158916</v>
      </c>
      <c r="K35" s="119">
        <f>+Actuals!H499</f>
        <v>0</v>
      </c>
      <c r="L35" s="118">
        <v>22504</v>
      </c>
      <c r="M35" s="119">
        <v>-1044538.62</v>
      </c>
      <c r="N35" s="118">
        <v>116593</v>
      </c>
      <c r="O35" s="119">
        <v>-250480</v>
      </c>
      <c r="P35" s="118">
        <f>+Actuals!M499</f>
        <v>0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-6933</v>
      </c>
      <c r="E36" s="39">
        <f t="shared" si="9"/>
        <v>-1301994.4820000001</v>
      </c>
      <c r="F36" s="61">
        <f t="shared" si="9"/>
        <v>0</v>
      </c>
      <c r="G36" s="39">
        <f t="shared" si="9"/>
        <v>0</v>
      </c>
      <c r="H36" s="61">
        <f t="shared" si="9"/>
        <v>-75629</v>
      </c>
      <c r="I36" s="39">
        <f t="shared" si="9"/>
        <v>-302364.74200000003</v>
      </c>
      <c r="J36" s="61">
        <f t="shared" ref="J36:AO36" si="10">SUM(J32:J35)</f>
        <v>-73150</v>
      </c>
      <c r="K36" s="39">
        <f t="shared" si="10"/>
        <v>237404.53000000003</v>
      </c>
      <c r="L36" s="61">
        <f t="shared" si="10"/>
        <v>30236</v>
      </c>
      <c r="M36" s="39">
        <f t="shared" si="10"/>
        <v>-972861.12</v>
      </c>
      <c r="N36" s="61">
        <f t="shared" si="10"/>
        <v>111610</v>
      </c>
      <c r="O36" s="39">
        <f t="shared" si="10"/>
        <v>-264173.15000000002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61829</v>
      </c>
      <c r="E39" s="38">
        <f t="shared" si="11"/>
        <v>254460.25</v>
      </c>
      <c r="F39" s="60">
        <f>'TIE-OUT'!P39+RECLASS!N39</f>
        <v>0</v>
      </c>
      <c r="G39" s="38">
        <f>'TIE-OUT'!Q39+RECLASS!O39</f>
        <v>0</v>
      </c>
      <c r="H39" s="118">
        <f>+Actuals!E500</f>
        <v>112413</v>
      </c>
      <c r="I39" s="119">
        <f>+Actuals!F500</f>
        <v>347426.21</v>
      </c>
      <c r="J39" s="118">
        <v>-50585</v>
      </c>
      <c r="K39" s="119">
        <v>-202242.42</v>
      </c>
      <c r="L39" s="118">
        <v>-25513</v>
      </c>
      <c r="M39" s="119">
        <f>+Actuals!J500</f>
        <v>0</v>
      </c>
      <c r="N39" s="118">
        <v>25514</v>
      </c>
      <c r="O39" s="119">
        <v>109276.46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-142107</v>
      </c>
      <c r="E40" s="38">
        <f t="shared" si="11"/>
        <v>-321446.01</v>
      </c>
      <c r="F40" s="60">
        <f>'TIE-OUT'!P40+RECLASS!N40</f>
        <v>0</v>
      </c>
      <c r="G40" s="38">
        <f>'TIE-OUT'!Q40+RECLASS!O40</f>
        <v>0</v>
      </c>
      <c r="H40" s="118">
        <f>+Actuals!E501</f>
        <v>-3009</v>
      </c>
      <c r="I40" s="119">
        <f>+Actuals!F501</f>
        <v>-0.01</v>
      </c>
      <c r="J40" s="118">
        <f>+Actuals!G501</f>
        <v>0</v>
      </c>
      <c r="K40" s="119">
        <f>+Actuals!H501</f>
        <v>0</v>
      </c>
      <c r="L40" s="118">
        <v>3009</v>
      </c>
      <c r="M40" s="119">
        <f>+Actuals!J501</f>
        <v>0</v>
      </c>
      <c r="N40" s="118">
        <v>-142107</v>
      </c>
      <c r="O40" s="119">
        <v>-321446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'TIE-OUT'!P41+RECLASS!N41</f>
        <v>0</v>
      </c>
      <c r="G41" s="38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-142107</v>
      </c>
      <c r="E42" s="39">
        <f t="shared" si="12"/>
        <v>-321446.01</v>
      </c>
      <c r="F42" s="61">
        <f t="shared" si="12"/>
        <v>0</v>
      </c>
      <c r="G42" s="39">
        <f t="shared" si="12"/>
        <v>0</v>
      </c>
      <c r="H42" s="61">
        <f t="shared" si="12"/>
        <v>-3009</v>
      </c>
      <c r="I42" s="39">
        <f t="shared" si="12"/>
        <v>-0.01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3009</v>
      </c>
      <c r="M42" s="39">
        <f t="shared" si="13"/>
        <v>0</v>
      </c>
      <c r="N42" s="61">
        <f t="shared" si="13"/>
        <v>-142107</v>
      </c>
      <c r="O42" s="39">
        <f t="shared" si="13"/>
        <v>-321446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-80278</v>
      </c>
      <c r="E43" s="39">
        <f t="shared" si="14"/>
        <v>-66985.760000000009</v>
      </c>
      <c r="F43" s="61">
        <f t="shared" si="14"/>
        <v>0</v>
      </c>
      <c r="G43" s="39">
        <f t="shared" si="14"/>
        <v>0</v>
      </c>
      <c r="H43" s="61">
        <f t="shared" si="14"/>
        <v>109404</v>
      </c>
      <c r="I43" s="39">
        <f t="shared" si="14"/>
        <v>347426.2</v>
      </c>
      <c r="J43" s="61">
        <f t="shared" ref="J43:AO43" si="15">J42+J39</f>
        <v>-50585</v>
      </c>
      <c r="K43" s="39">
        <f t="shared" si="15"/>
        <v>-202242.42</v>
      </c>
      <c r="L43" s="61">
        <f t="shared" si="15"/>
        <v>-22504</v>
      </c>
      <c r="M43" s="39">
        <f t="shared" si="15"/>
        <v>0</v>
      </c>
      <c r="N43" s="61">
        <f t="shared" si="15"/>
        <v>-116593</v>
      </c>
      <c r="O43" s="39">
        <f t="shared" si="15"/>
        <v>-212169.53999999998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'TIE-OUT'!P45+RECLASS!N45</f>
        <v>0</v>
      </c>
      <c r="G45" s="3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243920</v>
      </c>
      <c r="E49" s="38">
        <f>SUM(G49,I49,K49,M49,O49,Q49,S49,U49,W49,Y49,AA49,AC49,AE49)</f>
        <v>975192.16000000015</v>
      </c>
      <c r="F49" s="60">
        <f>'TIE-OUT'!P49+RECLASS!N49</f>
        <v>0</v>
      </c>
      <c r="G49" s="38">
        <f>'TIE-OUT'!Q49+RECLASS!O49</f>
        <v>0</v>
      </c>
      <c r="H49" s="118">
        <f>+Actuals!E505</f>
        <v>3597815</v>
      </c>
      <c r="I49" s="119">
        <f>+Actuals!F505</f>
        <v>14384064.369999999</v>
      </c>
      <c r="J49" s="118">
        <v>-1201634</v>
      </c>
      <c r="K49" s="119">
        <v>-4804132.7300000004</v>
      </c>
      <c r="L49" s="118">
        <v>1242776</v>
      </c>
      <c r="M49" s="119">
        <v>4968618.45</v>
      </c>
      <c r="N49" s="118">
        <v>-3395037</v>
      </c>
      <c r="O49" s="119">
        <v>-13573357.93</v>
      </c>
      <c r="P49" s="118">
        <f>+Actuals!M505</f>
        <v>0</v>
      </c>
      <c r="Q49" s="119">
        <f>+Actuals!N505</f>
        <v>0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-296459</v>
      </c>
      <c r="E51" s="38">
        <f>SUM(G51,I51,K51,M51,O51,Q51,S51,U51,W51,Y51,AA51,AC51,AE51)</f>
        <v>-1185243.0819999999</v>
      </c>
      <c r="F51" s="60">
        <f>'TIE-OUT'!P51+RECLASS!N51</f>
        <v>0</v>
      </c>
      <c r="G51" s="38">
        <f>'TIE-OUT'!Q51+RECLASS!O51</f>
        <v>0</v>
      </c>
      <c r="H51" s="118">
        <f>+Actuals!E506</f>
        <v>-311279</v>
      </c>
      <c r="I51" s="119">
        <f>+Actuals!F506</f>
        <v>-1244493.442</v>
      </c>
      <c r="J51" s="118">
        <v>4703</v>
      </c>
      <c r="K51" s="119">
        <v>18802.59</v>
      </c>
      <c r="L51" s="118">
        <v>10117</v>
      </c>
      <c r="M51" s="119">
        <v>40447.769999999997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-22479702</v>
      </c>
      <c r="E54" s="38">
        <f>SUM(G54,I54,K54,M54,O54,Q54,S54,U54,W54,Y54,AA54,AC54,AE54)</f>
        <v>1629302.46</v>
      </c>
      <c r="F54" s="60">
        <f>'TIE-OUT'!P54+RECLASS!N54</f>
        <v>0</v>
      </c>
      <c r="G54" s="38">
        <f>'TIE-OUT'!Q54+RECLASS!O54</f>
        <v>0</v>
      </c>
      <c r="H54" s="118">
        <f>+Actuals!E507</f>
        <v>-23155744</v>
      </c>
      <c r="I54" s="119">
        <f>+Actuals!F507</f>
        <v>-708542.32</v>
      </c>
      <c r="J54" s="118">
        <v>593241</v>
      </c>
      <c r="K54" s="119">
        <v>1941447.88</v>
      </c>
      <c r="L54" s="118">
        <v>78899</v>
      </c>
      <c r="M54" s="119">
        <v>397768.65</v>
      </c>
      <c r="N54" s="118">
        <v>3902</v>
      </c>
      <c r="O54" s="119">
        <v>-1371.75</v>
      </c>
      <c r="P54" s="118">
        <f>+Actuals!M507</f>
        <v>0</v>
      </c>
      <c r="Q54" s="119">
        <f>+Actuals!N507</f>
        <v>0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-4653460.08</v>
      </c>
      <c r="F55" s="60">
        <f>'TIE-OUT'!P55+RECLASS!N55</f>
        <v>0</v>
      </c>
      <c r="G55" s="38">
        <f>'TIE-OUT'!Q55+RECLASS!O55</f>
        <v>0</v>
      </c>
      <c r="H55" s="118">
        <f>+Actuals!E508</f>
        <v>0</v>
      </c>
      <c r="I55" s="119">
        <f>+Actuals!F508</f>
        <v>-2523582.58</v>
      </c>
      <c r="J55" s="118">
        <f>+Actuals!G508</f>
        <v>0</v>
      </c>
      <c r="K55" s="119">
        <v>-2129877.5</v>
      </c>
      <c r="L55" s="118">
        <f>+Actuals!I508</f>
        <v>0</v>
      </c>
      <c r="M55" s="119">
        <f>+Actuals!J508</f>
        <v>0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-22479702</v>
      </c>
      <c r="E56" s="39">
        <f t="shared" si="16"/>
        <v>-3024157.62</v>
      </c>
      <c r="F56" s="61">
        <f t="shared" si="16"/>
        <v>0</v>
      </c>
      <c r="G56" s="39">
        <f t="shared" si="16"/>
        <v>0</v>
      </c>
      <c r="H56" s="61">
        <f t="shared" si="16"/>
        <v>-23155744</v>
      </c>
      <c r="I56" s="39">
        <f t="shared" si="16"/>
        <v>-3232124.9</v>
      </c>
      <c r="J56" s="61">
        <f t="shared" ref="J56:AO56" si="17">SUM(J54:J55)</f>
        <v>593241</v>
      </c>
      <c r="K56" s="39">
        <f t="shared" si="17"/>
        <v>-188429.62000000011</v>
      </c>
      <c r="L56" s="61">
        <f t="shared" si="17"/>
        <v>78899</v>
      </c>
      <c r="M56" s="39">
        <f t="shared" si="17"/>
        <v>397768.65</v>
      </c>
      <c r="N56" s="61">
        <f t="shared" si="17"/>
        <v>3902</v>
      </c>
      <c r="O56" s="39">
        <f t="shared" si="17"/>
        <v>-1371.75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'TIE-OUT'!P59+RECLASS!N59</f>
        <v>0</v>
      </c>
      <c r="G59" s="3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'TIE-OUT'!P60+RECLASS!N60</f>
        <v>0</v>
      </c>
      <c r="G60" s="38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'TIE-OUT'!P64+RECLASS!N64</f>
        <v>0</v>
      </c>
      <c r="G64" s="3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'TIE-OUT'!P65+RECLASS!N65</f>
        <v>0</v>
      </c>
      <c r="G65" s="38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22698435.850000001</v>
      </c>
      <c r="F70" s="60">
        <f>'TIE-OUT'!P70+RECLASS!N70</f>
        <v>0</v>
      </c>
      <c r="G70" s="38">
        <f>'TIE-OUT'!Q70+RECLASS!O70</f>
        <v>22698435.850000001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-35422068</v>
      </c>
      <c r="F71" s="60">
        <f>'TIE-OUT'!P71+RECLASS!N71</f>
        <v>0</v>
      </c>
      <c r="G71" s="38">
        <f>'TIE-OUT'!Q71+RECLASS!O71</f>
        <v>-35422068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-12723632.149999999</v>
      </c>
      <c r="F72" s="61">
        <f t="shared" si="22"/>
        <v>0</v>
      </c>
      <c r="G72" s="39">
        <f t="shared" si="22"/>
        <v>-12723632.149999999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38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19510989.699999999</v>
      </c>
      <c r="F74" s="60">
        <f>'TIE-OUT'!P74+RECLASS!N74</f>
        <v>0</v>
      </c>
      <c r="G74" s="38">
        <f>'TIE-OUT'!Q74+RECLASS!O74</f>
        <v>19510989.699999999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v>0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38">
        <f>'TIE-OUT'!Q75+RECLASS!O75</f>
        <v>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-31067.98</v>
      </c>
      <c r="F76" s="60">
        <f>'TIE-OUT'!P76+RECLASS!N76</f>
        <v>0</v>
      </c>
      <c r="G76" s="38">
        <f>'TIE-OUT'!Q76+RECLASS!O76</f>
        <v>0</v>
      </c>
      <c r="H76" s="118">
        <f>+Actuals!E518</f>
        <v>0</v>
      </c>
      <c r="I76" s="119">
        <f>+Actuals!F518</f>
        <v>-31067.98</v>
      </c>
      <c r="J76" s="118">
        <f>+Actuals!G518</f>
        <v>0</v>
      </c>
      <c r="K76" s="119">
        <f>+Actuals!H518</f>
        <v>0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38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38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38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38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609.85999999999967</v>
      </c>
      <c r="F81" s="60">
        <f>'TIE-OUT'!P81+RECLASS!N81</f>
        <v>0</v>
      </c>
      <c r="G81" s="38">
        <f>'TIE-OUT'!Q81+RECLASS!O81</f>
        <v>0</v>
      </c>
      <c r="H81" s="118">
        <f>+Actuals!E523</f>
        <v>0</v>
      </c>
      <c r="I81" s="119">
        <f>+Actuals!F523</f>
        <v>7142.86</v>
      </c>
      <c r="J81" s="118">
        <f>+Actuals!G523</f>
        <v>0</v>
      </c>
      <c r="K81" s="119">
        <v>-6533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7136238.0680000009</v>
      </c>
      <c r="F82" s="91">
        <f>F16+F24+F29+F36+F43+F45+F47+F49</f>
        <v>0</v>
      </c>
      <c r="G82" s="92">
        <f>SUM(G72:G81)+G16+G24+G29+G36+G43+G45+G47+G49+G51+G56+G61+G66</f>
        <v>2376793.0499999989</v>
      </c>
      <c r="H82" s="91">
        <f>H16+H24+H29+H36+H43+H45+H47+H49</f>
        <v>0</v>
      </c>
      <c r="I82" s="92">
        <f>SUM(I72:I81)+I16+I24+I29+I36+I43+I45+I47+I49+I51+I56+I61+I66</f>
        <v>6004450.0879999436</v>
      </c>
      <c r="J82" s="91">
        <f>J16+J24+J29+J36+J43+J45+J47+J49</f>
        <v>0</v>
      </c>
      <c r="K82" s="137">
        <f>SUM(K72:K81)+K16+K24+K29+K36+K43+K45+K47+K49+K51+K56+K61+K66</f>
        <v>208221.8499999998</v>
      </c>
      <c r="L82" s="91">
        <f>L16+L24+L29+L36+L43+L45+L47+L49</f>
        <v>0</v>
      </c>
      <c r="M82" s="92">
        <f>SUM(M72:M81)+M16+M24+M29+M36+M43+M45+M47+M49+M51+M56+M61+M66</f>
        <v>-1082723.8600000003</v>
      </c>
      <c r="N82" s="91">
        <f>N16+N24+N29+N36+N43+N45+N47+N49</f>
        <v>0</v>
      </c>
      <c r="O82" s="92">
        <f>SUM(O72:O81)+O16+O24+O29+O36+O43+O45+O47+O49+O51+O56+O61+O66</f>
        <v>-370503.06000000052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G57" activePane="bottomRight" state="frozen"/>
      <selection activeCell="N16" sqref="N16"/>
      <selection pane="topRight" activeCell="N16" sqref="N16"/>
      <selection pane="bottomLeft" activeCell="N16" sqref="N16"/>
      <selection pane="bottomRight" activeCell="N90" sqref="N9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5" width="15.44140625" customWidth="1"/>
    <col min="16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3476874</v>
      </c>
      <c r="E11" s="38">
        <f>SUM(G11,I11,K11,M11,O11,Q11,S11,U11,W11,Y11,AA11,AC11,AE11)</f>
        <v>12013841.77</v>
      </c>
      <c r="F11" s="60">
        <f>'TIE-OUT'!R11+RECLASS!P11</f>
        <v>0</v>
      </c>
      <c r="G11" s="38">
        <f>'TIE-OUT'!S11+RECLASS!Q11</f>
        <v>0</v>
      </c>
      <c r="H11" s="118">
        <f>+Actuals!E204</f>
        <v>3476947</v>
      </c>
      <c r="I11" s="119">
        <f>+Actuals!F204</f>
        <v>12016933.529999999</v>
      </c>
      <c r="J11" s="118">
        <v>-73</v>
      </c>
      <c r="K11" s="119">
        <v>-4636.76</v>
      </c>
      <c r="L11" s="118">
        <f>+Actuals!I204</f>
        <v>0</v>
      </c>
      <c r="M11" s="119">
        <v>1545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71276.829999999987</v>
      </c>
      <c r="F12" s="60">
        <f>'TIE-OUT'!R12+RECLASS!P12</f>
        <v>0</v>
      </c>
      <c r="G12" s="38">
        <f>'TIE-OUT'!S12+RECLASS!Q12</f>
        <v>-29120.93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v>100397.75999999999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5098819</v>
      </c>
      <c r="E13" s="38">
        <f t="shared" si="0"/>
        <v>19858480</v>
      </c>
      <c r="F13" s="60">
        <f>'TIE-OUT'!R13+RECLASS!P13</f>
        <v>0</v>
      </c>
      <c r="G13" s="38">
        <f>'TIE-OUT'!S13+RECLASS!Q13</f>
        <v>0</v>
      </c>
      <c r="H13" s="118">
        <f>+Actuals!E206</f>
        <v>5098819</v>
      </c>
      <c r="I13" s="119">
        <f>+Actuals!F206</f>
        <v>19858480</v>
      </c>
      <c r="J13" s="118">
        <f>+Actuals!G206</f>
        <v>0</v>
      </c>
      <c r="K13" s="119">
        <f>+Actuals!H206</f>
        <v>0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0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8575693</v>
      </c>
      <c r="E16" s="39">
        <f t="shared" si="1"/>
        <v>31943598.600000001</v>
      </c>
      <c r="F16" s="61">
        <f t="shared" si="1"/>
        <v>0</v>
      </c>
      <c r="G16" s="39">
        <f t="shared" si="1"/>
        <v>-29120.93</v>
      </c>
      <c r="H16" s="61">
        <f t="shared" si="1"/>
        <v>8575766</v>
      </c>
      <c r="I16" s="39">
        <f t="shared" si="1"/>
        <v>31875413.530000001</v>
      </c>
      <c r="J16" s="61">
        <f t="shared" ref="J16:AO16" si="2">SUM(J11:J15)</f>
        <v>-73</v>
      </c>
      <c r="K16" s="39">
        <f t="shared" si="2"/>
        <v>-4636.76</v>
      </c>
      <c r="L16" s="61">
        <f t="shared" si="2"/>
        <v>0</v>
      </c>
      <c r="M16" s="39">
        <f t="shared" si="2"/>
        <v>101942.76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-5206159</v>
      </c>
      <c r="E19" s="38">
        <f t="shared" si="3"/>
        <v>-17444020.100000001</v>
      </c>
      <c r="F19" s="64">
        <f>'TIE-OUT'!R19+RECLASS!P19</f>
        <v>0</v>
      </c>
      <c r="G19" s="68">
        <f>'TIE-OUT'!S19+RECLASS!Q19</f>
        <v>0</v>
      </c>
      <c r="H19" s="118">
        <f>+Actuals!E209</f>
        <v>-5175839</v>
      </c>
      <c r="I19" s="119">
        <f>+Actuals!F209</f>
        <v>-17378867.899999999</v>
      </c>
      <c r="J19" s="118">
        <v>1293266</v>
      </c>
      <c r="K19" s="119">
        <v>221367.58</v>
      </c>
      <c r="L19" s="118">
        <v>-1241790</v>
      </c>
      <c r="M19" s="119">
        <v>-8620.52</v>
      </c>
      <c r="N19" s="118">
        <v>-81796</v>
      </c>
      <c r="O19" s="119">
        <v>-277899.26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282068.21999999997</v>
      </c>
      <c r="F20" s="60">
        <f>'TIE-OUT'!R20+RECLASS!P20</f>
        <v>0</v>
      </c>
      <c r="G20" s="38">
        <f>'TIE-OUT'!S20+RECLASS!Q20</f>
        <v>282068.21999999997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-3517539</v>
      </c>
      <c r="E21" s="38">
        <f t="shared" si="3"/>
        <v>-13563594</v>
      </c>
      <c r="F21" s="60">
        <f>'TIE-OUT'!R21+RECLASS!P21</f>
        <v>0</v>
      </c>
      <c r="G21" s="38">
        <f>'TIE-OUT'!S21+RECLASS!Q21</f>
        <v>0</v>
      </c>
      <c r="H21" s="118">
        <f>+Actuals!E211</f>
        <v>0</v>
      </c>
      <c r="I21" s="119">
        <f>+Actuals!F211</f>
        <v>0</v>
      </c>
      <c r="J21" s="118">
        <f>+Actuals!G211</f>
        <v>0</v>
      </c>
      <c r="K21" s="119">
        <f>+Actuals!H211</f>
        <v>0</v>
      </c>
      <c r="L21" s="118">
        <f>+Actuals!I211</f>
        <v>0</v>
      </c>
      <c r="M21" s="119">
        <f>+Actuals!J211</f>
        <v>0</v>
      </c>
      <c r="N21" s="118">
        <v>-3517539</v>
      </c>
      <c r="O21" s="119">
        <v>-13563594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'TIE-OUT'!R23+RECLASS!P23</f>
        <v>0</v>
      </c>
      <c r="G23" s="82">
        <f>'TIE-OUT'!S23+RECLASS!Q23</f>
        <v>0</v>
      </c>
      <c r="H23" s="118">
        <f>+Actuals!E213</f>
        <v>0</v>
      </c>
      <c r="I23" s="119">
        <f>+Actuals!F213</f>
        <v>0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-8723698</v>
      </c>
      <c r="E24" s="39">
        <f t="shared" si="4"/>
        <v>-30725545.880000003</v>
      </c>
      <c r="F24" s="61">
        <f t="shared" si="4"/>
        <v>0</v>
      </c>
      <c r="G24" s="39">
        <f t="shared" si="4"/>
        <v>282068.21999999997</v>
      </c>
      <c r="H24" s="61">
        <f t="shared" si="4"/>
        <v>-5175839</v>
      </c>
      <c r="I24" s="39">
        <f t="shared" si="4"/>
        <v>-17378867.899999999</v>
      </c>
      <c r="J24" s="61">
        <f t="shared" ref="J24:AO24" si="5">SUM(J19:J23)</f>
        <v>1293266</v>
      </c>
      <c r="K24" s="39">
        <f t="shared" si="5"/>
        <v>221367.58</v>
      </c>
      <c r="L24" s="61">
        <f t="shared" si="5"/>
        <v>-1241790</v>
      </c>
      <c r="M24" s="39">
        <f t="shared" si="5"/>
        <v>-8620.52</v>
      </c>
      <c r="N24" s="61">
        <f t="shared" si="5"/>
        <v>-3599335</v>
      </c>
      <c r="O24" s="39">
        <f t="shared" si="5"/>
        <v>-13841493.26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5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0</v>
      </c>
      <c r="E32" s="38">
        <f t="shared" si="7"/>
        <v>0</v>
      </c>
      <c r="F32" s="64">
        <f>'TIE-OUT'!R32+RECLASS!P32</f>
        <v>0</v>
      </c>
      <c r="G32" s="68">
        <f>'TIE-OUT'!S32+RECLASS!Q32</f>
        <v>0</v>
      </c>
      <c r="H32" s="118">
        <f>+Actuals!E216</f>
        <v>0</v>
      </c>
      <c r="I32" s="119">
        <f>+Actuals!F216</f>
        <v>0</v>
      </c>
      <c r="J32" s="118">
        <f>+Actuals!G216</f>
        <v>0</v>
      </c>
      <c r="K32" s="119">
        <f>+Actuals!H216</f>
        <v>0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5">
      <c r="A36" s="9"/>
      <c r="B36" s="7" t="s">
        <v>43</v>
      </c>
      <c r="C36" s="6"/>
      <c r="D36" s="61">
        <f t="shared" ref="D36:I36" si="8">SUM(D32:D35)</f>
        <v>0</v>
      </c>
      <c r="E36" s="39">
        <f t="shared" si="8"/>
        <v>0</v>
      </c>
      <c r="F36" s="61">
        <f t="shared" si="8"/>
        <v>0</v>
      </c>
      <c r="G36" s="39">
        <f t="shared" si="8"/>
        <v>0</v>
      </c>
      <c r="H36" s="61">
        <f t="shared" si="8"/>
        <v>0</v>
      </c>
      <c r="I36" s="39">
        <f t="shared" si="8"/>
        <v>0</v>
      </c>
      <c r="J36" s="61">
        <f t="shared" ref="J36:AO36" si="9">SUM(J32:J35)</f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5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148005</v>
      </c>
      <c r="E49" s="38">
        <f>SUM(G49,I49,K49,M49,O49,Q49,S49,U49,W49,Y49,AA49,AC49,AE49)</f>
        <v>504105.01800000109</v>
      </c>
      <c r="F49" s="60">
        <f>'TIE-OUT'!R49+RECLASS!P49</f>
        <v>0</v>
      </c>
      <c r="G49" s="38">
        <f>'TIE-OUT'!S49+RECLASS!Q49</f>
        <v>0</v>
      </c>
      <c r="H49" s="118">
        <f>+Actuals!E225</f>
        <v>-3399927</v>
      </c>
      <c r="I49" s="119">
        <f>+Actuals!F225</f>
        <v>-11580151.362</v>
      </c>
      <c r="J49" s="118">
        <v>-1293193</v>
      </c>
      <c r="K49" s="119">
        <v>-4404615.3600000003</v>
      </c>
      <c r="L49" s="118">
        <v>1241790</v>
      </c>
      <c r="M49" s="119">
        <v>4229536.74</v>
      </c>
      <c r="N49" s="118">
        <v>3599335</v>
      </c>
      <c r="O49" s="119">
        <v>12259335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'TIE-OUT'!R51+RECLASS!P51</f>
        <v>0</v>
      </c>
      <c r="G51" s="38">
        <f>'TIE-OUT'!S51+RECLASS!Q51</f>
        <v>0</v>
      </c>
      <c r="H51" s="118">
        <f>+Actuals!E226</f>
        <v>0</v>
      </c>
      <c r="I51" s="119">
        <f>+Actuals!F226</f>
        <v>0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-10600305</v>
      </c>
      <c r="E54" s="38">
        <f>SUM(G54,I54,K54,M54,O54,Q54,S54,U54,W54,Y54,AA54,AC54,AE54)</f>
        <v>125667.37999999999</v>
      </c>
      <c r="F54" s="64">
        <f>'TIE-OUT'!R54+RECLASS!P54</f>
        <v>0</v>
      </c>
      <c r="G54" s="68">
        <f>'TIE-OUT'!S54+RECLASS!Q54</f>
        <v>0</v>
      </c>
      <c r="H54" s="118">
        <f>+Actuals!E227</f>
        <v>-10222796</v>
      </c>
      <c r="I54" s="119">
        <f>+Actuals!F227</f>
        <v>-451290.99</v>
      </c>
      <c r="J54" s="118">
        <v>-374597</v>
      </c>
      <c r="K54" s="119">
        <v>582970.23</v>
      </c>
      <c r="L54" s="118">
        <v>-2916</v>
      </c>
      <c r="M54" s="119">
        <v>-6011.86</v>
      </c>
      <c r="N54" s="118">
        <v>4</v>
      </c>
      <c r="O54" s="119">
        <f>+Actuals!L227</f>
        <v>0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-1380930.3399999999</v>
      </c>
      <c r="F55" s="81">
        <f>'TIE-OUT'!R55+RECLASS!P55</f>
        <v>0</v>
      </c>
      <c r="G55" s="82">
        <f>'TIE-OUT'!S55+RECLASS!Q55</f>
        <v>-321410</v>
      </c>
      <c r="H55" s="118">
        <f>+Actuals!E228</f>
        <v>0</v>
      </c>
      <c r="I55" s="119">
        <f>+Actuals!F228</f>
        <v>-751074.98</v>
      </c>
      <c r="J55" s="118">
        <f>+Actuals!G228</f>
        <v>0</v>
      </c>
      <c r="K55" s="119">
        <v>-314100.88</v>
      </c>
      <c r="L55" s="118">
        <f>+Actuals!I228</f>
        <v>0</v>
      </c>
      <c r="M55" s="119">
        <v>5655.52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5">
      <c r="A56" s="9"/>
      <c r="B56" s="7" t="s">
        <v>57</v>
      </c>
      <c r="C56" s="6"/>
      <c r="D56" s="61">
        <f t="shared" ref="D56:AO56" si="15">SUM(D54:D55)</f>
        <v>-10600305</v>
      </c>
      <c r="E56" s="39">
        <f t="shared" si="15"/>
        <v>-1255262.96</v>
      </c>
      <c r="F56" s="61">
        <f t="shared" si="15"/>
        <v>0</v>
      </c>
      <c r="G56" s="39">
        <f t="shared" si="15"/>
        <v>-321410</v>
      </c>
      <c r="H56" s="61">
        <f t="shared" si="15"/>
        <v>-10222796</v>
      </c>
      <c r="I56" s="39">
        <f t="shared" si="15"/>
        <v>-1202365.97</v>
      </c>
      <c r="J56" s="61">
        <f t="shared" si="15"/>
        <v>-374597</v>
      </c>
      <c r="K56" s="39">
        <f t="shared" si="15"/>
        <v>268869.34999999998</v>
      </c>
      <c r="L56" s="61">
        <f t="shared" si="15"/>
        <v>-2916</v>
      </c>
      <c r="M56" s="39">
        <f t="shared" si="15"/>
        <v>-356.33999999999924</v>
      </c>
      <c r="N56" s="61">
        <f t="shared" si="15"/>
        <v>4</v>
      </c>
      <c r="O56" s="39">
        <f t="shared" si="15"/>
        <v>0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5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5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999999.96</v>
      </c>
      <c r="F70" s="64">
        <f>'TIE-OUT'!R70+RECLASS!P70</f>
        <v>0</v>
      </c>
      <c r="G70" s="68">
        <f>'TIE-OUT'!S70+RECLASS!Q70</f>
        <v>999999.96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-1096737</v>
      </c>
      <c r="F71" s="81">
        <f>'TIE-OUT'!R71+RECLASS!P71</f>
        <v>0</v>
      </c>
      <c r="G71" s="82">
        <f>'TIE-OUT'!S71+RECLASS!Q71</f>
        <v>-1096737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5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-96737.040000000037</v>
      </c>
      <c r="F72" s="61">
        <f t="shared" si="18"/>
        <v>0</v>
      </c>
      <c r="G72" s="39">
        <f t="shared" si="18"/>
        <v>-96737.040000000037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-232872.15</v>
      </c>
      <c r="F74" s="60">
        <f>'TIE-OUT'!R74+RECLASS!P74</f>
        <v>0</v>
      </c>
      <c r="G74" s="60">
        <f>'TIE-OUT'!S74+RECLASS!Q74</f>
        <v>-232872.15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-534</v>
      </c>
      <c r="F76" s="60">
        <f>'TIE-OUT'!R76+RECLASS!P76</f>
        <v>0</v>
      </c>
      <c r="G76" s="60">
        <f>'TIE-OUT'!S76+RECLASS!Q76</f>
        <v>-534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136751.58799999859</v>
      </c>
      <c r="F82" s="91">
        <f>F16+F24+F29+F36+F43+F45+F47+F49</f>
        <v>0</v>
      </c>
      <c r="G82" s="92">
        <f>SUM(G72:G81)+G16+G24+G29+G36+G43+G45+G47+G49+G51+G56+G61+G66</f>
        <v>-398605.90000000008</v>
      </c>
      <c r="H82" s="91">
        <f>H16+H24+H29+H36+H43+H45+H47+H49</f>
        <v>0</v>
      </c>
      <c r="I82" s="92">
        <f>SUM(I72:I81)+I16+I24+I29+I36+I43+I45+I47+I49+I51+I56+I61+I66</f>
        <v>1714028.298000003</v>
      </c>
      <c r="J82" s="91">
        <f>J16+J24+J29+J36+J43+J45+J47+J49</f>
        <v>0</v>
      </c>
      <c r="K82" s="137">
        <f>SUM(K72:K81)+K16+K24+K29+K36+K43+K45+K47+K49+K51+K56+K61+K66</f>
        <v>-3919015.1900000004</v>
      </c>
      <c r="L82" s="91">
        <f>L16+L24+L29+L36+L43+L45+L47+L49</f>
        <v>0</v>
      </c>
      <c r="M82" s="92">
        <f>SUM(M72:M81)+M16+M24+M29+M36+M43+M45+M47+M49+M51+M56+M61+M66</f>
        <v>4322502.6400000006</v>
      </c>
      <c r="N82" s="91">
        <f>N16+N24+N29+N36+N43+N45+N47+N49</f>
        <v>0</v>
      </c>
      <c r="O82" s="92">
        <f>SUM(O72:O81)+O16+O24+O29+O36+O43+O45+O47+O49+O51+O56+O61+O66</f>
        <v>-1582158.2599999998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208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162</v>
      </c>
      <c r="D86" s="145">
        <f t="shared" ref="D86:E88" si="21">SUM(F86,H86,J86,L86,N86,P86,R86,T86,V86,X86,Z86,AB86,AD86)</f>
        <v>0</v>
      </c>
      <c r="E86" s="145">
        <f t="shared" si="21"/>
        <v>55000</v>
      </c>
      <c r="F86" s="145">
        <f>'TIE-OUT'!R86+RECLASS!P86</f>
        <v>0</v>
      </c>
      <c r="G86" s="184">
        <f>'TIE-OUT'!S86+RECLASS!Q86</f>
        <v>55426</v>
      </c>
      <c r="H86" s="145">
        <v>0</v>
      </c>
      <c r="I86" s="145">
        <v>-1125</v>
      </c>
      <c r="J86" s="145">
        <v>0</v>
      </c>
      <c r="K86" s="145">
        <v>699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1"/>
        <v>0</v>
      </c>
      <c r="E87" s="146">
        <f t="shared" si="21"/>
        <v>0</v>
      </c>
      <c r="F87" s="146">
        <f>'TIE-OUT'!R87+RECLASS!P87</f>
        <v>0</v>
      </c>
      <c r="G87" s="185">
        <f>'TIE-OUT'!S87+RECLASS!Q87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AO89" si="22">SUM(E86:E88)</f>
        <v>55000</v>
      </c>
      <c r="F89" s="155">
        <f t="shared" si="22"/>
        <v>0</v>
      </c>
      <c r="G89" s="155">
        <f t="shared" si="22"/>
        <v>55426</v>
      </c>
      <c r="H89" s="155">
        <f t="shared" si="22"/>
        <v>0</v>
      </c>
      <c r="I89" s="155">
        <f t="shared" si="22"/>
        <v>-1125</v>
      </c>
      <c r="J89" s="155">
        <f t="shared" si="22"/>
        <v>0</v>
      </c>
      <c r="K89" s="155">
        <f t="shared" si="22"/>
        <v>699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0</v>
      </c>
      <c r="E91" s="155">
        <f t="shared" ref="E91:AO91" si="23">+E82+E89</f>
        <v>191751.58799999859</v>
      </c>
      <c r="F91" s="155">
        <f t="shared" si="23"/>
        <v>0</v>
      </c>
      <c r="G91" s="155">
        <f t="shared" si="23"/>
        <v>-343179.90000000008</v>
      </c>
      <c r="H91" s="155">
        <f t="shared" si="23"/>
        <v>0</v>
      </c>
      <c r="I91" s="155">
        <f t="shared" si="23"/>
        <v>1712903.298000003</v>
      </c>
      <c r="J91" s="155">
        <f t="shared" si="23"/>
        <v>0</v>
      </c>
      <c r="K91" s="155">
        <f t="shared" si="23"/>
        <v>-3918316.1900000004</v>
      </c>
      <c r="L91" s="155">
        <f t="shared" si="23"/>
        <v>0</v>
      </c>
      <c r="M91" s="155">
        <f t="shared" si="23"/>
        <v>4322502.6400000006</v>
      </c>
      <c r="N91" s="155">
        <f t="shared" si="23"/>
        <v>0</v>
      </c>
      <c r="O91" s="155">
        <f t="shared" si="23"/>
        <v>-1582158.2599999998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P179"/>
  <sheetViews>
    <sheetView zoomScale="75" workbookViewId="0">
      <pane xSplit="3" ySplit="9" topLeftCell="E70" activePane="bottomRight" state="frozen"/>
      <selection activeCell="N16" sqref="N16"/>
      <selection pane="topRight" activeCell="N16" sqref="N16"/>
      <selection pane="bottomLeft" activeCell="N16" sqref="N16"/>
      <selection pane="bottomRight" activeCell="N16" sqref="N1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5" width="15.44140625" customWidth="1"/>
    <col min="16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'TIE-OUT'!AH11+RECLASS!AH11</f>
        <v>0</v>
      </c>
      <c r="G11" s="38">
        <f>'TIE-OUT'!AI11+RECLASS!AI11</f>
        <v>0</v>
      </c>
      <c r="H11" s="118">
        <f>+Actuals!E124</f>
        <v>0</v>
      </c>
      <c r="I11" s="121">
        <f>+Actuals!F124</f>
        <v>0</v>
      </c>
      <c r="J11" s="118">
        <f>+Actuals!G124</f>
        <v>0</v>
      </c>
      <c r="K11" s="121">
        <f>+Actuals!H124</f>
        <v>0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'TIE-OUT'!AH12+RECLASS!AH12</f>
        <v>0</v>
      </c>
      <c r="G12" s="38">
        <f>'TIE-OUT'!AI12+RECLASS!AI12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'TIE-OUT'!AH13+RECLASS!AH13</f>
        <v>0</v>
      </c>
      <c r="G13" s="38">
        <f>'TIE-OUT'!AI13+RECLASS!AI13</f>
        <v>0</v>
      </c>
      <c r="H13" s="120">
        <f>+Actuals!E126</f>
        <v>0</v>
      </c>
      <c r="I13" s="121">
        <f>+Actuals!F126</f>
        <v>0</v>
      </c>
      <c r="J13" s="120">
        <f>+Actuals!G126</f>
        <v>0</v>
      </c>
      <c r="K13" s="121">
        <f>+Actuals!H126</f>
        <v>0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'TIE-OUT'!AH14+RECLASS!AH14</f>
        <v>0</v>
      </c>
      <c r="G14" s="38">
        <f>'TIE-OUT'!AI14+RECLASS!AI14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'TIE-OUT'!AH15+RECLASS!AH15</f>
        <v>0</v>
      </c>
      <c r="G15" s="82">
        <f>'TIE-OUT'!AI15+RECLASS!AI15</f>
        <v>0</v>
      </c>
      <c r="H15" s="120">
        <f>+Actuals!E128</f>
        <v>0</v>
      </c>
      <c r="I15" s="121">
        <f>+Actuals!F128</f>
        <v>0</v>
      </c>
      <c r="J15" s="120">
        <f>+Actuals!G128</f>
        <v>0</v>
      </c>
      <c r="K15" s="121">
        <f>+Actuals!H128</f>
        <v>0</v>
      </c>
      <c r="L15" s="120">
        <f>+Actuals!I128</f>
        <v>0</v>
      </c>
      <c r="M15" s="121">
        <f>+Actuals!J128</f>
        <v>0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0</v>
      </c>
      <c r="K16" s="39">
        <f t="shared" si="2"/>
        <v>0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'TIE-OUT'!AH19+RECLASS!AH19</f>
        <v>0</v>
      </c>
      <c r="G19" s="68">
        <f>'TIE-OUT'!AI19+RECLASS!AI19</f>
        <v>0</v>
      </c>
      <c r="H19" s="120">
        <f>+Actuals!E129</f>
        <v>0</v>
      </c>
      <c r="I19" s="121">
        <f>+Actuals!F129</f>
        <v>0</v>
      </c>
      <c r="J19" s="120">
        <f>+Actuals!G129</f>
        <v>0</v>
      </c>
      <c r="K19" s="121">
        <f>+Actuals!H129</f>
        <v>0</v>
      </c>
      <c r="L19" s="120">
        <f>+Actuals!I129</f>
        <v>0</v>
      </c>
      <c r="M19" s="121">
        <f>+Actuals!J129</f>
        <v>0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'TIE-OUT'!AH20+RECLASS!AH20</f>
        <v>0</v>
      </c>
      <c r="G20" s="38">
        <f>'TIE-OUT'!AI20+RECLASS!AI20</f>
        <v>0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4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'TIE-OUT'!AH21+RECLASS!AH21</f>
        <v>0</v>
      </c>
      <c r="G21" s="38">
        <f>'TIE-OUT'!AI21+RECLASS!AI21</f>
        <v>0</v>
      </c>
      <c r="H21" s="120">
        <f>+Actuals!E131</f>
        <v>0</v>
      </c>
      <c r="I21" s="121">
        <f>+Actuals!F131</f>
        <v>0</v>
      </c>
      <c r="J21" s="120">
        <f>+Actuals!G131</f>
        <v>0</v>
      </c>
      <c r="K21" s="121">
        <f>+Actuals!H131</f>
        <v>0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'TIE-OUT'!AH22+RECLASS!AH22</f>
        <v>0</v>
      </c>
      <c r="G22" s="38">
        <f>'TIE-OUT'!AI22+RECLASS!AI22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'TIE-OUT'!AH23+RECLASS!AH23</f>
        <v>0</v>
      </c>
      <c r="G23" s="82">
        <f>'TIE-OUT'!AI23+RECLASS!AI23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'TIE-OUT'!AH27+RECLASS!AH27</f>
        <v>0</v>
      </c>
      <c r="G27" s="68">
        <f>'TIE-OUT'!AI27+RECLASS!AI27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'TIE-OUT'!AH28+RECLASS!AH28</f>
        <v>0</v>
      </c>
      <c r="G28" s="82">
        <f>'TIE-OUT'!AI28+RECLASS!AI28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'TIE-OUT'!AH32+RECLASS!AH32</f>
        <v>0</v>
      </c>
      <c r="G32" s="68">
        <f>'TIE-OUT'!AI32+RECLASS!AI32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'TIE-OUT'!AH33+RECLASS!AH33</f>
        <v>0</v>
      </c>
      <c r="G33" s="38">
        <f>'TIE-OUT'!AI33+RECLASS!AI33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'TIE-OUT'!AH34+RECLASS!AH34</f>
        <v>0</v>
      </c>
      <c r="G34" s="38">
        <f>'TIE-OUT'!AI34+RECLASS!AI34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'TIE-OUT'!AH35+RECLASS!AH35</f>
        <v>0</v>
      </c>
      <c r="G35" s="82">
        <f>'TIE-OUT'!AI35+RECLASS!AI35</f>
        <v>0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'TIE-OUT'!AH39+RECLASS!AH39</f>
        <v>0</v>
      </c>
      <c r="G39" s="68">
        <f>'TIE-OUT'!AI39+RECLASS!AI39</f>
        <v>0</v>
      </c>
      <c r="H39" s="120">
        <f>+Actuals!E140</f>
        <v>0</v>
      </c>
      <c r="I39" s="121">
        <f>+Actuals!F140</f>
        <v>0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'TIE-OUT'!AH40+RECLASS!AH40</f>
        <v>0</v>
      </c>
      <c r="G40" s="38">
        <f>'TIE-OUT'!AI40+RECLASS!AI40</f>
        <v>0</v>
      </c>
      <c r="H40" s="120">
        <f>+Actuals!E141</f>
        <v>0</v>
      </c>
      <c r="I40" s="121">
        <f>+Actuals!F141</f>
        <v>0</v>
      </c>
      <c r="J40" s="120">
        <f>+Actuals!G141</f>
        <v>0</v>
      </c>
      <c r="K40" s="121">
        <f>+Actuals!H141</f>
        <v>0</v>
      </c>
      <c r="L40" s="120">
        <f>+Actuals!I141</f>
        <v>0</v>
      </c>
      <c r="M40" s="121">
        <f>+Actuals!J141</f>
        <v>0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'TIE-OUT'!AH41+RECLASS!AH41</f>
        <v>0</v>
      </c>
      <c r="G41" s="82">
        <f>'TIE-OUT'!AI41+RECLASS!AI41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'TIE-OUT'!AH45+RECLASS!AH45</f>
        <v>0</v>
      </c>
      <c r="G45" s="68">
        <f>'TIE-OUT'!AI45+RECLASS!AI45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'TIE-OUT'!AH47+RECLASS!AH47</f>
        <v>0</v>
      </c>
      <c r="G47" s="38">
        <f>'TIE-OUT'!AI47+RECLASS!AI47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'TIE-OUT'!AH49+RECLASS!AH49</f>
        <v>0</v>
      </c>
      <c r="G49" s="38">
        <f>'TIE-OUT'!AI49+RECLASS!AI49</f>
        <v>0</v>
      </c>
      <c r="H49" s="120">
        <f>+Actuals!E145</f>
        <v>0</v>
      </c>
      <c r="I49" s="121">
        <f>+Actuals!F145</f>
        <v>0</v>
      </c>
      <c r="J49" s="120">
        <f>+Actuals!G145</f>
        <v>0</v>
      </c>
      <c r="K49" s="121">
        <f>+Actuals!H145</f>
        <v>0</v>
      </c>
      <c r="L49" s="120">
        <f>+Actuals!I145</f>
        <v>0</v>
      </c>
      <c r="M49" s="121">
        <f>+Actuals!J145</f>
        <v>0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'TIE-OUT'!AH51+RECLASS!AH51</f>
        <v>0</v>
      </c>
      <c r="G51" s="38">
        <f>'TIE-OUT'!AI51+RECLASS!AI51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'TIE-OUT'!AH54+RECLASS!AH54</f>
        <v>0</v>
      </c>
      <c r="G54" s="68">
        <f>'TIE-OUT'!AI54+RECLASS!AI54</f>
        <v>0</v>
      </c>
      <c r="H54" s="120">
        <f>+Actuals!E147</f>
        <v>0</v>
      </c>
      <c r="I54" s="121">
        <f>+Actuals!F147</f>
        <v>0</v>
      </c>
      <c r="J54" s="120">
        <f>+Actuals!G147</f>
        <v>0</v>
      </c>
      <c r="K54" s="121">
        <f>+Actuals!H147</f>
        <v>0</v>
      </c>
      <c r="L54" s="120">
        <f>+Actuals!I147</f>
        <v>0</v>
      </c>
      <c r="M54" s="121">
        <f>+Actuals!J147</f>
        <v>0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'TIE-OUT'!AH55+RECLASS!AH55</f>
        <v>0</v>
      </c>
      <c r="G55" s="82">
        <f>'TIE-OUT'!AI55+RECLASS!AI55</f>
        <v>0</v>
      </c>
      <c r="H55" s="120">
        <f>+Actuals!E148</f>
        <v>0</v>
      </c>
      <c r="I55" s="121">
        <f>+Actuals!F148</f>
        <v>0</v>
      </c>
      <c r="J55" s="120">
        <f>+Actuals!G148</f>
        <v>0</v>
      </c>
      <c r="K55" s="121">
        <f>+Actuals!H148</f>
        <v>0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'TIE-OUT'!AH59+RECLASS!AH59</f>
        <v>0</v>
      </c>
      <c r="G59" s="68">
        <f>'TIE-OUT'!AI59+RECLASS!AI59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'TIE-OUT'!AH60+RECLASS!AH60</f>
        <v>0</v>
      </c>
      <c r="G60" s="82">
        <f>'TIE-OUT'!AI60+RECLASS!AI60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'TIE-OUT'!AH64+RECLASS!AH64</f>
        <v>0</v>
      </c>
      <c r="G64" s="68">
        <f>'TIE-OUT'!AI64+RECLASS!AI64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'TIE-OUT'!AH65+RECLASS!AH65</f>
        <v>0</v>
      </c>
      <c r="G65" s="82">
        <f>'TIE-OUT'!AI65+RECLASS!AI65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'TIE-OUT'!AH70+RECLASS!AH70</f>
        <v>0</v>
      </c>
      <c r="G70" s="68">
        <f>'TIE-OUT'!AI70+RECLASS!AI70</f>
        <v>0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'TIE-OUT'!AH71+RECLASS!AH71</f>
        <v>0</v>
      </c>
      <c r="G71" s="82">
        <f>'TIE-OUT'!AI71+RECLASS!AI71</f>
        <v>0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'TIE-OUT'!AH73+RECLASS!AH73</f>
        <v>0</v>
      </c>
      <c r="G73" s="60">
        <f>'TIE-OUT'!AI73+RECLASS!AI73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61236.76</v>
      </c>
      <c r="F74" s="60">
        <f>'TIE-OUT'!AH74+RECLASS!AH74</f>
        <v>0</v>
      </c>
      <c r="G74" s="60">
        <f>'TIE-OUT'!AI74+RECLASS!AI74</f>
        <v>61236.76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'TIE-OUT'!AH75+RECLASS!AH75</f>
        <v>0</v>
      </c>
      <c r="G75" s="60">
        <f>'TIE-OUT'!AI75+RECLASS!AI75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'TIE-OUT'!AH76+RECLASS!AH76</f>
        <v>0</v>
      </c>
      <c r="G76" s="60">
        <f>'TIE-OUT'!AI76+RECLASS!AI76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'TIE-OUT'!AH77+RECLASS!AH77</f>
        <v>0</v>
      </c>
      <c r="G77" s="60">
        <f>'TIE-OUT'!AI77+RECLASS!AI77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'TIE-OUT'!AH78+RECLASS!AH78</f>
        <v>0</v>
      </c>
      <c r="G78" s="60">
        <f>'TIE-OUT'!AI78+RECLASS!AI78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'TIE-OUT'!AH79+RECLASS!AH79</f>
        <v>0</v>
      </c>
      <c r="G79" s="60">
        <f>'TIE-OUT'!AI79+RECLASS!AI79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'TIE-OUT'!AH80+RECLASS!AH80</f>
        <v>0</v>
      </c>
      <c r="G80" s="60">
        <f>'TIE-OUT'!AI80+RECLASS!AI80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'TIE-OUT'!AH81+RECLASS!AH81</f>
        <v>0</v>
      </c>
      <c r="G81" s="60">
        <f>'TIE-OUT'!AI81+RECLASS!AI81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61236.76</v>
      </c>
      <c r="F82" s="91">
        <f>F16+F24+F29+F36+F43+F45+F47+F49</f>
        <v>0</v>
      </c>
      <c r="G82" s="92">
        <f>SUM(G72:G81)+G16+G24+G29+G36+G43+G45+G47+G49+G51+G56+G61+G66</f>
        <v>61236.76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37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P168"/>
  <sheetViews>
    <sheetView zoomScale="75" workbookViewId="0">
      <pane xSplit="3" ySplit="9" topLeftCell="I53" activePane="bottomRight" state="frozen"/>
      <selection activeCell="N16" sqref="N16"/>
      <selection pane="topRight" activeCell="N16" sqref="N16"/>
      <selection pane="bottomLeft" activeCell="N16" sqref="N16"/>
      <selection pane="bottomRight" activeCell="O87" sqref="O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5" width="15.44140625" customWidth="1"/>
    <col min="16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2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-74633.570000000007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12"/>
      <c r="L12" s="60"/>
      <c r="M12" s="38">
        <v>-74633.570000000007</v>
      </c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5">
      <c r="A13" s="9">
        <v>3</v>
      </c>
      <c r="B13" s="7"/>
      <c r="C13" s="18" t="s">
        <v>201</v>
      </c>
      <c r="D13" s="60">
        <f t="shared" si="0"/>
        <v>0</v>
      </c>
      <c r="E13" s="38">
        <f t="shared" si="0"/>
        <v>-1366458</v>
      </c>
      <c r="F13" s="60">
        <f>'TIE-OUT'!Z13+RECLASS!X13</f>
        <v>0</v>
      </c>
      <c r="G13" s="38">
        <f>'TIE-OUT'!AA13+RECLASS!Y13</f>
        <v>1051530</v>
      </c>
      <c r="H13" s="60"/>
      <c r="I13" s="38">
        <f>-1423900</f>
        <v>-1423900</v>
      </c>
      <c r="J13" s="60"/>
      <c r="K13" s="212">
        <v>-994088</v>
      </c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5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2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2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5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-1441091.57</v>
      </c>
      <c r="F16" s="61">
        <f t="shared" si="1"/>
        <v>0</v>
      </c>
      <c r="G16" s="39">
        <f t="shared" si="1"/>
        <v>1051530</v>
      </c>
      <c r="H16" s="61">
        <f t="shared" si="1"/>
        <v>0</v>
      </c>
      <c r="I16" s="39">
        <f t="shared" si="1"/>
        <v>-1423900</v>
      </c>
      <c r="J16" s="61">
        <f t="shared" si="1"/>
        <v>0</v>
      </c>
      <c r="K16" s="213">
        <f t="shared" si="1"/>
        <v>-994088</v>
      </c>
      <c r="L16" s="61">
        <f t="shared" si="1"/>
        <v>0</v>
      </c>
      <c r="M16" s="39">
        <f t="shared" si="1"/>
        <v>-74633.570000000007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2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2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2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2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2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2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2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3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2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2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2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2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3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2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2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2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2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2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2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3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2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2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2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2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'TIE-OUT'!Z41+RECLASS!X41</f>
        <v>0</v>
      </c>
      <c r="G41" s="82">
        <f>'TIE-OUT'!AA41+RECLASS!Y41</f>
        <v>0</v>
      </c>
      <c r="H41" s="60"/>
      <c r="I41" s="38">
        <v>0</v>
      </c>
      <c r="J41" s="60"/>
      <c r="K41" s="212">
        <v>0</v>
      </c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213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213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2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2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2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2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2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2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2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-102602.52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2">
        <v>-13.14</v>
      </c>
      <c r="L51" s="60"/>
      <c r="M51" s="38">
        <v>-102589.38</v>
      </c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2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2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2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2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3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2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2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2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5">
      <c r="A60" s="9">
        <v>27</v>
      </c>
      <c r="B60" s="11"/>
      <c r="C60" s="18" t="s">
        <v>202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'TIE-OUT'!Z60+RECLASS!X60</f>
        <v>0</v>
      </c>
      <c r="G60" s="82">
        <f>'TIE-OUT'!AA60+RECLASS!Y60</f>
        <v>0</v>
      </c>
      <c r="H60" s="60"/>
      <c r="I60" s="38">
        <v>0</v>
      </c>
      <c r="J60" s="60"/>
      <c r="K60" s="214">
        <v>0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3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2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2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2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2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3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2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2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2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203</v>
      </c>
      <c r="D70" s="60">
        <f>SUM(F70,H70,J70,L70,N70,P70,R70,T70,V70,X70,Z70,AB70,AD70)</f>
        <v>0</v>
      </c>
      <c r="E70" s="38">
        <f>SUM(G70,I70,K70,M70,O70,Q70,S70,U70,W70,Y70,AA70,AC70,AE70)</f>
        <v>146095483</v>
      </c>
      <c r="F70" s="64">
        <f>'TIE-OUT'!Z70+RECLASS!X70</f>
        <v>0</v>
      </c>
      <c r="G70" s="68">
        <f>'TIE-OUT'!AA70+RECLASS!Y70</f>
        <v>137450609</v>
      </c>
      <c r="H70" s="60"/>
      <c r="I70" s="38">
        <v>0</v>
      </c>
      <c r="J70" s="60"/>
      <c r="K70" s="214">
        <v>8644874</v>
      </c>
      <c r="L70" s="60"/>
      <c r="M70" s="38">
        <v>0</v>
      </c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-146729180</v>
      </c>
      <c r="F71" s="81">
        <f>'TIE-OUT'!Z71+RECLASS!X71</f>
        <v>0</v>
      </c>
      <c r="G71" s="82">
        <f>'TIE-OUT'!AA71+RECLASS!Y71</f>
        <v>-146729180</v>
      </c>
      <c r="H71" s="60"/>
      <c r="I71" s="38"/>
      <c r="J71" s="60"/>
      <c r="K71" s="212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-633697</v>
      </c>
      <c r="F72" s="61">
        <f t="shared" si="13"/>
        <v>0</v>
      </c>
      <c r="G72" s="39">
        <f t="shared" si="13"/>
        <v>-9278571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213">
        <f t="shared" si="13"/>
        <v>8644874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129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12">
        <v>0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1726015.4400000004</v>
      </c>
      <c r="F74" s="60">
        <f>'TIE-OUT'!Z74+RECLASS!X74</f>
        <v>0</v>
      </c>
      <c r="G74" s="60">
        <f>'TIE-OUT'!AA74+RECLASS!Y74</f>
        <v>3012381.87</v>
      </c>
      <c r="H74" s="60"/>
      <c r="I74" s="38"/>
      <c r="J74" s="60"/>
      <c r="K74" s="139">
        <v>0</v>
      </c>
      <c r="L74" s="60"/>
      <c r="M74" s="38">
        <v>-8121777.29</v>
      </c>
      <c r="N74" s="60"/>
      <c r="O74" s="38">
        <v>6835410.8600000003</v>
      </c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5">
      <c r="A75" s="9">
        <v>34</v>
      </c>
      <c r="B75" s="3"/>
      <c r="C75" s="10" t="s">
        <v>232</v>
      </c>
      <c r="D75" s="60">
        <f t="shared" si="14"/>
        <v>0</v>
      </c>
      <c r="E75" s="38">
        <f t="shared" si="14"/>
        <v>-1778864</v>
      </c>
      <c r="F75" s="60">
        <f>'TIE-OUT'!Z75+RECLASS!X75</f>
        <v>0</v>
      </c>
      <c r="G75" s="60">
        <f>'TIE-OUT'!AA75+RECLASS!Y75</f>
        <v>-1777304</v>
      </c>
      <c r="H75" s="60"/>
      <c r="I75" s="38"/>
      <c r="J75" s="60"/>
      <c r="K75" s="212">
        <v>-1560</v>
      </c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-5196</v>
      </c>
      <c r="F76" s="60">
        <f>'TIE-OUT'!Z76+RECLASS!X76</f>
        <v>0</v>
      </c>
      <c r="G76" s="60">
        <f>'TIE-OUT'!AA76+RECLASS!Y76</f>
        <v>-5196</v>
      </c>
      <c r="H76" s="60"/>
      <c r="I76" s="38"/>
      <c r="J76" s="60"/>
      <c r="K76" s="212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-466578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2">
        <v>-466578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5">
      <c r="A78" s="9">
        <v>37</v>
      </c>
      <c r="B78" s="3"/>
      <c r="C78" s="10" t="s">
        <v>204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12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5">
      <c r="A79" s="9">
        <v>38</v>
      </c>
      <c r="B79" s="3"/>
      <c r="C79" s="10" t="s">
        <v>205</v>
      </c>
      <c r="D79" s="60">
        <f t="shared" si="14"/>
        <v>0</v>
      </c>
      <c r="E79" s="38">
        <f t="shared" si="14"/>
        <v>0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2">
        <v>0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5">
      <c r="A80" s="9">
        <v>39</v>
      </c>
      <c r="B80" s="3"/>
      <c r="C80" s="10" t="s">
        <v>206</v>
      </c>
      <c r="D80" s="60">
        <f t="shared" si="14"/>
        <v>0</v>
      </c>
      <c r="E80" s="38">
        <f t="shared" si="14"/>
        <v>-128.33000000000001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2">
        <v>-128.33000000000001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-2702141.98</v>
      </c>
      <c r="F82" s="91">
        <f>F16+F24+F29+F36+F43+F45+F47+F49</f>
        <v>0</v>
      </c>
      <c r="G82" s="92">
        <f>SUM(G72:G81)+G16+G24+G29+G36+G43+G45+G47+G49+G51+G56+G61+G66</f>
        <v>-6997159.1299999999</v>
      </c>
      <c r="H82" s="91">
        <f>H16+H24+H29+H36+H43+H45+H47+H49</f>
        <v>0</v>
      </c>
      <c r="I82" s="140">
        <f>SUM(I72:I81)+I16+I24+I29+I36+I43+I45+I47+I49+I51+I56+I61+I66</f>
        <v>-1423900</v>
      </c>
      <c r="J82" s="91">
        <f>J16+J24+J29+J36+J43+J45+J47+J49</f>
        <v>0</v>
      </c>
      <c r="K82" s="140">
        <f>SUM(K72:K81)+K16+K24+K29+K36+K43+K45+K47+K49+K51+K56+K61+K66</f>
        <v>7182506.5300000003</v>
      </c>
      <c r="L82" s="91">
        <f>L16+L24+L29+L36+L43+L45+L47+L49</f>
        <v>0</v>
      </c>
      <c r="M82" s="92">
        <f>SUM(M72:M81)+M16+M24+M29+M36+M43+M45+M47+M49+M51+M56+M61+M66</f>
        <v>-8299000.2400000002</v>
      </c>
      <c r="N82" s="91">
        <f>N16+N24+N29+N36+N43+N45+N47+N49</f>
        <v>0</v>
      </c>
      <c r="O82" s="92">
        <f>SUM(O72:O81)+O16+O24+O29+O36+O43+O45+O47+O49+O51+O56+O61+O66</f>
        <v>6835410.8600000003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E84" s="31">
        <f>+E72+E12-G12</f>
        <v>-708330.57000000007</v>
      </c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I79" activePane="bottomRight" state="frozen"/>
      <selection activeCell="N16" sqref="N16"/>
      <selection pane="topRight" activeCell="N16" sqref="N16"/>
      <selection pane="bottomLeft" activeCell="N16" sqref="N16"/>
      <selection pane="bottomRight" activeCell="AT91" sqref="AT9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8" width="15.44140625" customWidth="1"/>
    <col min="9" max="9" width="17.33203125" bestFit="1" customWidth="1"/>
    <col min="10" max="10" width="15.44140625" customWidth="1"/>
    <col min="11" max="11" width="15.44140625" style="127" customWidth="1"/>
    <col min="12" max="15" width="15.44140625" customWidth="1"/>
    <col min="16" max="41" width="15.44140625" hidden="1" customWidth="1"/>
    <col min="42" max="42" width="9.109375" hidden="1" customWidth="1"/>
    <col min="43" max="45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5" t="s">
        <v>155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29094640</v>
      </c>
      <c r="E11" s="38">
        <f>SUM(G11,I11,K11,M11,O11,Q11,S11,U11,W11,Y11,AA11,AC11,AE11)</f>
        <v>126763236.66999999</v>
      </c>
      <c r="F11" s="60">
        <f>'TIE-OUT'!AB11+RECLASS!Z11</f>
        <v>0</v>
      </c>
      <c r="G11" s="38">
        <f>'TIE-OUT'!AC11+RECLASS!AA11</f>
        <v>0</v>
      </c>
      <c r="H11" s="118">
        <f>+Actuals!E284</f>
        <v>30578969</v>
      </c>
      <c r="I11" s="119">
        <f>+Actuals!F284</f>
        <v>127705469.34999999</v>
      </c>
      <c r="J11" s="118">
        <v>-148235</v>
      </c>
      <c r="K11" s="119">
        <v>-720238.03</v>
      </c>
      <c r="L11" s="118">
        <v>3526</v>
      </c>
      <c r="M11" s="119">
        <v>-221994.65</v>
      </c>
      <c r="N11" s="118">
        <v>-1339620</v>
      </c>
      <c r="O11" s="119">
        <f>+Actuals!L284</f>
        <v>0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28127838.59</v>
      </c>
      <c r="F12" s="60">
        <f>'TIE-OUT'!AB12+RECLASS!Z12</f>
        <v>0</v>
      </c>
      <c r="G12" s="38">
        <f>'TIE-OUT'!AC12+RECLASS!AA12</f>
        <v>28127838.59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4177126</v>
      </c>
      <c r="E13" s="38">
        <f t="shared" si="0"/>
        <v>18321298</v>
      </c>
      <c r="F13" s="60">
        <f>'TIE-OUT'!AB13+RECLASS!Z13</f>
        <v>0</v>
      </c>
      <c r="G13" s="38">
        <f>'TIE-OUT'!AC13+RECLASS!AA13</f>
        <v>0</v>
      </c>
      <c r="H13" s="118">
        <f>+Actuals!E286</f>
        <v>4179702</v>
      </c>
      <c r="I13" s="119">
        <f>+Actuals!F286</f>
        <v>18330694</v>
      </c>
      <c r="J13" s="118">
        <f>+Actuals!G286</f>
        <v>0</v>
      </c>
      <c r="K13" s="119">
        <f>+Actuals!H286</f>
        <v>0</v>
      </c>
      <c r="L13" s="118">
        <f>+Actuals!I286</f>
        <v>0</v>
      </c>
      <c r="M13" s="119">
        <f>+Actuals!J286</f>
        <v>0</v>
      </c>
      <c r="N13" s="118">
        <v>-2576</v>
      </c>
      <c r="O13" s="119">
        <v>-9396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341000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0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v>330000</v>
      </c>
      <c r="N15" s="118">
        <f>+Actuals!K288</f>
        <v>0</v>
      </c>
      <c r="O15" s="119">
        <v>11000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33271766</v>
      </c>
      <c r="E16" s="39">
        <f t="shared" si="1"/>
        <v>173553373.25999999</v>
      </c>
      <c r="F16" s="61">
        <f t="shared" si="1"/>
        <v>0</v>
      </c>
      <c r="G16" s="39">
        <f t="shared" si="1"/>
        <v>28127838.59</v>
      </c>
      <c r="H16" s="61">
        <f t="shared" si="1"/>
        <v>34758671</v>
      </c>
      <c r="I16" s="39">
        <f t="shared" si="1"/>
        <v>146036163.34999999</v>
      </c>
      <c r="J16" s="61">
        <f t="shared" si="1"/>
        <v>-148235</v>
      </c>
      <c r="K16" s="39">
        <f t="shared" si="1"/>
        <v>-720238.03</v>
      </c>
      <c r="L16" s="61">
        <f t="shared" si="1"/>
        <v>3526</v>
      </c>
      <c r="M16" s="39">
        <f t="shared" si="1"/>
        <v>108005.35</v>
      </c>
      <c r="N16" s="61">
        <f t="shared" si="1"/>
        <v>-1342196</v>
      </c>
      <c r="O16" s="39">
        <f t="shared" si="1"/>
        <v>1604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-32201268</v>
      </c>
      <c r="E19" s="38">
        <f t="shared" si="2"/>
        <v>-143596469.96000001</v>
      </c>
      <c r="F19" s="64">
        <f>'TIE-OUT'!AB19+RECLASS!Z19</f>
        <v>0</v>
      </c>
      <c r="G19" s="68">
        <f>'TIE-OUT'!AC19+RECLASS!AA19</f>
        <v>0</v>
      </c>
      <c r="H19" s="118">
        <f>+Actuals!E289</f>
        <v>-33810169</v>
      </c>
      <c r="I19" s="119">
        <f>+Actuals!F289</f>
        <v>-144476567.79000002</v>
      </c>
      <c r="J19" s="118">
        <f>1595203+13698</f>
        <v>1608901</v>
      </c>
      <c r="K19" s="119">
        <f>643004.83+59997</f>
        <v>703001.83</v>
      </c>
      <c r="L19" s="118">
        <f>+Actuals!I289</f>
        <v>0</v>
      </c>
      <c r="M19" s="119">
        <v>183471</v>
      </c>
      <c r="N19" s="118">
        <f>+Actuals!K289</f>
        <v>0</v>
      </c>
      <c r="O19" s="119">
        <v>-6375</v>
      </c>
      <c r="P19" s="118">
        <f>+Actuals!M289</f>
        <v>0</v>
      </c>
      <c r="Q19" s="119">
        <f>+Actuals!N289</f>
        <v>0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-25724163.960000001</v>
      </c>
      <c r="F20" s="60">
        <f>'TIE-OUT'!AB20+RECLASS!Z20</f>
        <v>0</v>
      </c>
      <c r="G20" s="38">
        <f>'TIE-OUT'!AC20+RECLASS!AA20</f>
        <v>-27465157.539999999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4">
        <v>0</v>
      </c>
      <c r="L20" s="118">
        <f>+Actuals!I290</f>
        <v>0</v>
      </c>
      <c r="M20" s="119">
        <f>+Actuals!J290</f>
        <v>0</v>
      </c>
      <c r="N20" s="118">
        <f>+Actuals!K290</f>
        <v>0</v>
      </c>
      <c r="O20" s="139">
        <v>1740993.58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-1064304</v>
      </c>
      <c r="E21" s="38">
        <f t="shared" si="2"/>
        <v>-4329544</v>
      </c>
      <c r="F21" s="60">
        <f>'TIE-OUT'!AB21+RECLASS!Z21</f>
        <v>0</v>
      </c>
      <c r="G21" s="38">
        <f>'TIE-OUT'!AC21+RECLASS!AA21</f>
        <v>0</v>
      </c>
      <c r="H21" s="118">
        <f>+Actuals!E291</f>
        <v>-1064304</v>
      </c>
      <c r="I21" s="119">
        <f>+Actuals!F291</f>
        <v>-4329544</v>
      </c>
      <c r="J21" s="118">
        <f>+Actuals!G291</f>
        <v>0</v>
      </c>
      <c r="K21" s="119">
        <f>+Actuals!H291</f>
        <v>0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'TIE-OUT'!AB23+RECLASS!Z23</f>
        <v>0</v>
      </c>
      <c r="G23" s="82">
        <f>'TIE-OUT'!AC23+RECLASS!AA23</f>
        <v>0</v>
      </c>
      <c r="H23" s="118">
        <f>+Actuals!E293</f>
        <v>225571</v>
      </c>
      <c r="I23" s="119">
        <f>+Actuals!F293</f>
        <v>988000.98</v>
      </c>
      <c r="J23" s="118">
        <v>-13698</v>
      </c>
      <c r="K23" s="119">
        <v>-59997.24</v>
      </c>
      <c r="L23" s="118">
        <v>-211873</v>
      </c>
      <c r="M23" s="119">
        <v>-928003.74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-33265572</v>
      </c>
      <c r="E24" s="39">
        <f t="shared" si="3"/>
        <v>-173650177.92000002</v>
      </c>
      <c r="F24" s="61">
        <f t="shared" si="3"/>
        <v>0</v>
      </c>
      <c r="G24" s="39">
        <f t="shared" si="3"/>
        <v>-27465157.539999999</v>
      </c>
      <c r="H24" s="61">
        <f t="shared" si="3"/>
        <v>-34648902</v>
      </c>
      <c r="I24" s="39">
        <f t="shared" si="3"/>
        <v>-147818110.81000003</v>
      </c>
      <c r="J24" s="61">
        <f t="shared" si="3"/>
        <v>1595203</v>
      </c>
      <c r="K24" s="39">
        <f t="shared" si="3"/>
        <v>643004.59</v>
      </c>
      <c r="L24" s="61">
        <f t="shared" si="3"/>
        <v>-211873</v>
      </c>
      <c r="M24" s="39">
        <f t="shared" si="3"/>
        <v>-744532.74</v>
      </c>
      <c r="N24" s="61">
        <f t="shared" si="3"/>
        <v>0</v>
      </c>
      <c r="O24" s="39">
        <f t="shared" si="3"/>
        <v>1734618.58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462985</v>
      </c>
      <c r="E32" s="38">
        <f t="shared" si="5"/>
        <v>2027874.3</v>
      </c>
      <c r="F32" s="64">
        <f>'TIE-OUT'!AB32+RECLASS!Z32</f>
        <v>0</v>
      </c>
      <c r="G32" s="68">
        <f>'TIE-OUT'!AC32+RECLASS!AA32</f>
        <v>0</v>
      </c>
      <c r="H32" s="118">
        <f>+Actuals!E296</f>
        <v>456262</v>
      </c>
      <c r="I32" s="119">
        <f>+Actuals!F296</f>
        <v>1998427.56</v>
      </c>
      <c r="J32" s="118">
        <v>6723</v>
      </c>
      <c r="K32" s="119">
        <v>29446.74</v>
      </c>
      <c r="L32" s="118">
        <f>+Actuals!I296</f>
        <v>0</v>
      </c>
      <c r="M32" s="119">
        <f>+Actuals!J296</f>
        <v>0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462985</v>
      </c>
      <c r="E36" s="39">
        <f t="shared" si="6"/>
        <v>2027874.3</v>
      </c>
      <c r="F36" s="61">
        <f t="shared" si="6"/>
        <v>0</v>
      </c>
      <c r="G36" s="39">
        <f t="shared" si="6"/>
        <v>0</v>
      </c>
      <c r="H36" s="61">
        <f t="shared" si="6"/>
        <v>456262</v>
      </c>
      <c r="I36" s="39">
        <f t="shared" si="6"/>
        <v>1998427.56</v>
      </c>
      <c r="J36" s="61">
        <f t="shared" si="6"/>
        <v>6723</v>
      </c>
      <c r="K36" s="39">
        <f t="shared" si="6"/>
        <v>29446.74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-469179</v>
      </c>
      <c r="E49" s="38">
        <f>SUM(G49,I49,K49,M49,O49,Q49,S49,U49,W49,Y49,AA49,AC49,AE49)</f>
        <v>-2055004.0199999986</v>
      </c>
      <c r="F49" s="60">
        <f>'TIE-OUT'!AB49+RECLASS!Z49</f>
        <v>0</v>
      </c>
      <c r="G49" s="38">
        <f>'TIE-OUT'!AC49+RECLASS!AA49</f>
        <v>0</v>
      </c>
      <c r="H49" s="118">
        <f>+Actuals!E305</f>
        <v>-566031</v>
      </c>
      <c r="I49" s="119">
        <f>+Actuals!F305</f>
        <v>-2479215.7799999998</v>
      </c>
      <c r="J49" s="118">
        <v>-1453691</v>
      </c>
      <c r="K49" s="119">
        <v>-6367166.5800000001</v>
      </c>
      <c r="L49" s="118">
        <v>208347</v>
      </c>
      <c r="M49" s="119">
        <v>912559.86</v>
      </c>
      <c r="N49" s="118">
        <v>1342196</v>
      </c>
      <c r="O49" s="119">
        <v>5878818.4800000004</v>
      </c>
      <c r="P49" s="118">
        <f>+Actuals!M305</f>
        <v>0</v>
      </c>
      <c r="Q49" s="119">
        <f>+Actuals!N305</f>
        <v>0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'TIE-OUT'!AB51+RECLASS!Z51</f>
        <v>0</v>
      </c>
      <c r="G51" s="38">
        <f>'TIE-OUT'!AC51+RECLASS!AA51</f>
        <v>0</v>
      </c>
      <c r="H51" s="118">
        <f>+Actuals!E306</f>
        <v>-225571</v>
      </c>
      <c r="I51" s="119">
        <f>+Actuals!F306</f>
        <v>-988000.98</v>
      </c>
      <c r="J51" s="118">
        <v>13698</v>
      </c>
      <c r="K51" s="119">
        <v>59997.24</v>
      </c>
      <c r="L51" s="118">
        <v>211873</v>
      </c>
      <c r="M51" s="119">
        <v>928003.74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-4074105.04</v>
      </c>
      <c r="E54" s="38">
        <f>SUM(G54,I54,K54,M54,O54,Q54,S54,U54,W54,Y54,AA54,AC54,AE54)</f>
        <v>1362617.19</v>
      </c>
      <c r="F54" s="64">
        <f>'TIE-OUT'!AB54+RECLASS!Z54</f>
        <v>0</v>
      </c>
      <c r="G54" s="68">
        <f>'TIE-OUT'!AC54+RECLASS!AA54</f>
        <v>0</v>
      </c>
      <c r="H54" s="118">
        <f>+Actuals!E307</f>
        <v>-7370405</v>
      </c>
      <c r="I54" s="119">
        <f>+Actuals!F307</f>
        <v>-13649.91</v>
      </c>
      <c r="J54" s="118">
        <v>3271730.65</v>
      </c>
      <c r="K54" s="119">
        <v>-15338.88</v>
      </c>
      <c r="L54" s="118">
        <v>0</v>
      </c>
      <c r="M54" s="119">
        <v>1392796</v>
      </c>
      <c r="N54" s="118">
        <v>24569.31</v>
      </c>
      <c r="O54" s="119">
        <v>-1190.02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-1403140.92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v>-1403140.92</v>
      </c>
      <c r="L55" s="118">
        <f>+Actuals!I308</f>
        <v>0</v>
      </c>
      <c r="M55" s="119"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-4074105.04</v>
      </c>
      <c r="E56" s="39">
        <f t="shared" si="10"/>
        <v>-40523.729999999981</v>
      </c>
      <c r="F56" s="61">
        <f t="shared" si="10"/>
        <v>0</v>
      </c>
      <c r="G56" s="39">
        <f t="shared" si="10"/>
        <v>0</v>
      </c>
      <c r="H56" s="61">
        <f t="shared" si="10"/>
        <v>-7370405</v>
      </c>
      <c r="I56" s="39">
        <f t="shared" si="10"/>
        <v>-13649.91</v>
      </c>
      <c r="J56" s="61">
        <f t="shared" si="10"/>
        <v>3271730.65</v>
      </c>
      <c r="K56" s="39">
        <f t="shared" si="10"/>
        <v>-1418479.7999999998</v>
      </c>
      <c r="L56" s="61">
        <f t="shared" si="10"/>
        <v>0</v>
      </c>
      <c r="M56" s="39">
        <f t="shared" si="10"/>
        <v>1392796</v>
      </c>
      <c r="N56" s="61">
        <f t="shared" si="10"/>
        <v>24569.31</v>
      </c>
      <c r="O56" s="39">
        <f t="shared" si="10"/>
        <v>-1190.02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8346121.5199999996</v>
      </c>
      <c r="F70" s="64">
        <f>'TIE-OUT'!AB70+RECLASS!Z70</f>
        <v>0</v>
      </c>
      <c r="G70" s="68">
        <f>'TIE-OUT'!AC70+RECLASS!AA70</f>
        <v>8346121.5199999996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-9378953</v>
      </c>
      <c r="F71" s="81">
        <f>'TIE-OUT'!AB71+RECLASS!Z71</f>
        <v>0</v>
      </c>
      <c r="G71" s="82">
        <f>'TIE-OUT'!AC71+RECLASS!AA71</f>
        <v>-9378953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-1032831.4800000004</v>
      </c>
      <c r="F72" s="61">
        <f t="shared" si="13"/>
        <v>0</v>
      </c>
      <c r="G72" s="183">
        <f t="shared" si="13"/>
        <v>-1032831.4800000004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-1125482.3399999999</v>
      </c>
      <c r="F74" s="60">
        <f>'TIE-OUT'!AB74+RECLASS!Z74</f>
        <v>0</v>
      </c>
      <c r="G74" s="60">
        <f>'TIE-OUT'!AC74+RECLASS!AA74</f>
        <v>5155016.66</v>
      </c>
      <c r="H74" s="118">
        <f>+Actuals!E316</f>
        <v>0</v>
      </c>
      <c r="I74" s="226">
        <v>0</v>
      </c>
      <c r="J74" s="118">
        <f>+Actuals!G316</f>
        <v>0</v>
      </c>
      <c r="K74" s="214">
        <f>+Actuals!H316</f>
        <v>0</v>
      </c>
      <c r="L74" s="118">
        <f>+Actuals!I316</f>
        <v>0</v>
      </c>
      <c r="M74" s="119">
        <v>-4890342</v>
      </c>
      <c r="N74" s="118">
        <f>+Actuals!K316</f>
        <v>0</v>
      </c>
      <c r="O74" s="139">
        <f>-1833950+443793</f>
        <v>-1390157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-17554</v>
      </c>
      <c r="F76" s="60">
        <f>'TIE-OUT'!AB76+RECLASS!Z76</f>
        <v>0</v>
      </c>
      <c r="G76" s="60">
        <f>'TIE-OUT'!AC76+RECLASS!AA76</f>
        <v>-12852</v>
      </c>
      <c r="H76" s="118">
        <f>+Actuals!E318</f>
        <v>0</v>
      </c>
      <c r="I76" s="119">
        <f>+Actuals!F318</f>
        <v>-4702</v>
      </c>
      <c r="J76" s="118">
        <f>+Actuals!G318</f>
        <v>0</v>
      </c>
      <c r="K76" s="119">
        <f>+Actuals!H318</f>
        <v>0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-666007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v>-666007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-3006332.9300000179</v>
      </c>
      <c r="F82" s="91">
        <f>F16+F24+F29+F36+F43+F45+F47+F49</f>
        <v>0</v>
      </c>
      <c r="G82" s="92">
        <f>SUM(G72:G81)+G16+G24+G29+G36+G43+G45+G47+G49+G51+G56+G61+G66</f>
        <v>4772014.2300000004</v>
      </c>
      <c r="H82" s="91">
        <f>H16+H24+H29+H36+H43+H45+H47+H49</f>
        <v>0</v>
      </c>
      <c r="I82" s="92">
        <f>SUM(I72:I81)+I16+I24+I29+I36+I43+I45+I47+I49+I51+I56+I61+I66</f>
        <v>-3935095.570000038</v>
      </c>
      <c r="J82" s="91">
        <f>J16+J24+J29+J36+J43+J45+J47+J49</f>
        <v>0</v>
      </c>
      <c r="K82" s="140">
        <f>SUM(K72:K81)+K16+K24+K29+K36+K43+K45+K47+K49+K51+K56+K61+K66</f>
        <v>-7773435.8399999999</v>
      </c>
      <c r="L82" s="91">
        <f>L16+L24+L29+L36+L43+L45+L47+L49</f>
        <v>0</v>
      </c>
      <c r="M82" s="92">
        <f>SUM(M72:M81)+M16+M24+M29+M36+M43+M45+M47+M49+M51+M56+M61+M66</f>
        <v>-2293509.79</v>
      </c>
      <c r="N82" s="91">
        <f>N16+N24+N29+N36+N43+N45+N47+N49</f>
        <v>0</v>
      </c>
      <c r="O82" s="92">
        <f>SUM(O72:O81)+O16+O24+O29+O36+O43+O45+O47+O49+O51+O56+O61+O66</f>
        <v>6223694.040000001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159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-1793993.58</v>
      </c>
      <c r="F86" s="145">
        <f>'TIE-OUT'!AB86+RECLASS!Z86</f>
        <v>0</v>
      </c>
      <c r="G86" s="184">
        <f>'TIE-OUT'!AC86+RECLASS!AA86</f>
        <v>-312669</v>
      </c>
      <c r="H86" s="145">
        <v>0</v>
      </c>
      <c r="I86" s="145">
        <v>-126269</v>
      </c>
      <c r="J86" s="145">
        <v>0</v>
      </c>
      <c r="K86" s="145">
        <v>385938</v>
      </c>
      <c r="L86" s="145">
        <v>0</v>
      </c>
      <c r="M86" s="145">
        <v>0</v>
      </c>
      <c r="N86" s="145">
        <v>0</v>
      </c>
      <c r="O86" s="145">
        <v>-1740993.58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'TIE-OUT'!AB87+RECLASS!Z87</f>
        <v>0</v>
      </c>
      <c r="G87" s="185">
        <f>'TIE-OUT'!AC87+RECLASS!AA87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1740994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1740994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-52999.580000000075</v>
      </c>
      <c r="F89" s="155">
        <f t="shared" si="16"/>
        <v>0</v>
      </c>
      <c r="G89" s="155">
        <f t="shared" si="16"/>
        <v>-312669</v>
      </c>
      <c r="H89" s="155">
        <f t="shared" si="16"/>
        <v>0</v>
      </c>
      <c r="I89" s="155">
        <f t="shared" si="16"/>
        <v>-126269</v>
      </c>
      <c r="J89" s="155">
        <f t="shared" si="16"/>
        <v>0</v>
      </c>
      <c r="K89" s="155">
        <f t="shared" si="16"/>
        <v>385938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0.41999999992549419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-3059332.5100000179</v>
      </c>
      <c r="F91" s="155">
        <f t="shared" si="19"/>
        <v>0</v>
      </c>
      <c r="G91" s="155">
        <f t="shared" si="19"/>
        <v>4459345.2300000004</v>
      </c>
      <c r="H91" s="155">
        <f t="shared" si="19"/>
        <v>0</v>
      </c>
      <c r="I91" s="155">
        <f t="shared" si="19"/>
        <v>-4061364.570000038</v>
      </c>
      <c r="J91" s="155">
        <f t="shared" si="19"/>
        <v>0</v>
      </c>
      <c r="K91" s="155">
        <f t="shared" si="19"/>
        <v>-7387497.8399999999</v>
      </c>
      <c r="L91" s="155">
        <f t="shared" si="19"/>
        <v>0</v>
      </c>
      <c r="M91" s="155">
        <f t="shared" si="19"/>
        <v>-2293509.79</v>
      </c>
      <c r="N91" s="155">
        <f t="shared" ref="N91:AE91" si="20">+N82+N89</f>
        <v>0</v>
      </c>
      <c r="O91" s="155">
        <f t="shared" si="20"/>
        <v>6223694.4600000009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67" activePane="bottomRight" state="frozen"/>
      <selection pane="topRight"/>
      <selection pane="bottomLeft"/>
      <selection pane="bottomRight" activeCell="I68" sqref="I68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8867187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'CE-FLSH'!L11</f>
        <v>118310530</v>
      </c>
      <c r="E11" s="66">
        <f>'CE-FLSH'!M11</f>
        <v>506294564</v>
      </c>
      <c r="F11" s="60">
        <f>CE_GL!D11</f>
        <v>118946576</v>
      </c>
      <c r="G11" s="38">
        <f>CE_GL!E11</f>
        <v>492869720.64000005</v>
      </c>
      <c r="H11" s="60">
        <f>F11-D11</f>
        <v>636046</v>
      </c>
      <c r="I11" s="38">
        <f>G11-E11</f>
        <v>-13424843.359999955</v>
      </c>
    </row>
    <row r="12" spans="1:22" x14ac:dyDescent="0.25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18211927.449999999</v>
      </c>
      <c r="H12" s="60">
        <f>F12-D12</f>
        <v>0</v>
      </c>
      <c r="I12" s="38">
        <f>G12-E12</f>
        <v>18211927.449999999</v>
      </c>
    </row>
    <row r="13" spans="1:22" x14ac:dyDescent="0.25">
      <c r="A13" s="9">
        <v>3</v>
      </c>
      <c r="B13" s="7"/>
      <c r="C13" s="18" t="s">
        <v>27</v>
      </c>
      <c r="D13" s="65">
        <f>'CE-FLSH'!L13</f>
        <v>50611404</v>
      </c>
      <c r="E13" s="66">
        <f>'CE-FLSH'!M13</f>
        <v>217669162</v>
      </c>
      <c r="F13" s="60">
        <f>CE_GL!D13</f>
        <v>51133747</v>
      </c>
      <c r="G13" s="38">
        <f>CE_GL!E13</f>
        <v>218458942</v>
      </c>
      <c r="H13" s="60">
        <f t="shared" ref="H13:I15" si="0">F13-D13</f>
        <v>522343</v>
      </c>
      <c r="I13" s="38">
        <f t="shared" si="0"/>
        <v>789780</v>
      </c>
    </row>
    <row r="14" spans="1:22" x14ac:dyDescent="0.25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942663.02999999933</v>
      </c>
      <c r="H15" s="60">
        <f t="shared" si="0"/>
        <v>0</v>
      </c>
      <c r="I15" s="38">
        <f t="shared" si="0"/>
        <v>942663.02999999933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168921934</v>
      </c>
      <c r="E16" s="39">
        <f t="shared" si="1"/>
        <v>723963726</v>
      </c>
      <c r="F16" s="61">
        <f t="shared" si="1"/>
        <v>170080323</v>
      </c>
      <c r="G16" s="39">
        <f t="shared" si="1"/>
        <v>730483253.12</v>
      </c>
      <c r="H16" s="61">
        <f t="shared" si="1"/>
        <v>1158389</v>
      </c>
      <c r="I16" s="39">
        <f t="shared" si="1"/>
        <v>6519527.1200000439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'CE-FLSH'!L19</f>
        <v>-125740421</v>
      </c>
      <c r="E19" s="66">
        <f>'CE-FLSH'!M19</f>
        <v>-536704709</v>
      </c>
      <c r="F19" s="60">
        <f>CE_GL!D19</f>
        <v>-125309856</v>
      </c>
      <c r="G19" s="38">
        <f>CE_GL!E19</f>
        <v>-515413724.85000008</v>
      </c>
      <c r="H19" s="60">
        <f>F19-D19</f>
        <v>430565</v>
      </c>
      <c r="I19" s="38">
        <f>G19-E19</f>
        <v>21290984.149999917</v>
      </c>
    </row>
    <row r="20" spans="1:9" x14ac:dyDescent="0.25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-19085663.91</v>
      </c>
      <c r="H20" s="60">
        <f>F20-D20</f>
        <v>0</v>
      </c>
      <c r="I20" s="38">
        <f>G20-E20</f>
        <v>-19085663.91</v>
      </c>
    </row>
    <row r="21" spans="1:9" x14ac:dyDescent="0.25">
      <c r="A21" s="9">
        <v>8</v>
      </c>
      <c r="B21" s="7"/>
      <c r="C21" s="18" t="s">
        <v>27</v>
      </c>
      <c r="D21" s="65">
        <f>'CE-FLSH'!L21</f>
        <v>-43573513</v>
      </c>
      <c r="E21" s="66">
        <f>'CE-FLSH'!M21</f>
        <v>-186858667</v>
      </c>
      <c r="F21" s="60">
        <f>CE_GL!D21</f>
        <v>-44535504</v>
      </c>
      <c r="G21" s="38">
        <f>CE_GL!E21</f>
        <v>-190879001</v>
      </c>
      <c r="H21" s="60">
        <f t="shared" ref="H21:I23" si="2">F21-D21</f>
        <v>-961991</v>
      </c>
      <c r="I21" s="38">
        <f t="shared" si="2"/>
        <v>-4020334</v>
      </c>
    </row>
    <row r="22" spans="1:9" x14ac:dyDescent="0.25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'CE-FLSH'!L23</f>
        <v>178409</v>
      </c>
      <c r="E23" s="66">
        <f>'CE-FLSH'!M23</f>
        <v>718499</v>
      </c>
      <c r="F23" s="60">
        <f>CE_GL!D23</f>
        <v>182189</v>
      </c>
      <c r="G23" s="38">
        <f>CE_GL!E23</f>
        <v>772481.35999999975</v>
      </c>
      <c r="H23" s="60">
        <f t="shared" si="2"/>
        <v>3780</v>
      </c>
      <c r="I23" s="38">
        <f t="shared" si="2"/>
        <v>53982.359999999753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-169135525</v>
      </c>
      <c r="E24" s="39">
        <f t="shared" si="3"/>
        <v>-722844877</v>
      </c>
      <c r="F24" s="61">
        <f t="shared" si="3"/>
        <v>-169663171</v>
      </c>
      <c r="G24" s="39">
        <f t="shared" si="3"/>
        <v>-724605908.4000001</v>
      </c>
      <c r="H24" s="61">
        <f t="shared" si="3"/>
        <v>-527646</v>
      </c>
      <c r="I24" s="39">
        <f t="shared" si="3"/>
        <v>-1761031.4000000837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86528</v>
      </c>
      <c r="G27" s="38">
        <f>CE_GL!E27</f>
        <v>358950.18000000005</v>
      </c>
      <c r="H27" s="60">
        <f>F27-D27</f>
        <v>86528</v>
      </c>
      <c r="I27" s="38">
        <f>G27-E27</f>
        <v>358950.18000000005</v>
      </c>
    </row>
    <row r="28" spans="1:9" x14ac:dyDescent="0.25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-441868</v>
      </c>
      <c r="G28" s="38">
        <f>CE_GL!E28</f>
        <v>-1825560.41</v>
      </c>
      <c r="H28" s="60">
        <f>F28-D28</f>
        <v>-441868</v>
      </c>
      <c r="I28" s="38">
        <f>G28-E28</f>
        <v>-1825560.41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-355340</v>
      </c>
      <c r="G29" s="70">
        <f t="shared" si="4"/>
        <v>-1466610.23</v>
      </c>
      <c r="H29" s="69">
        <f t="shared" si="4"/>
        <v>-355340</v>
      </c>
      <c r="I29" s="70">
        <f t="shared" si="4"/>
        <v>-1466610.23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'CE-FLSH'!L32</f>
        <v>92584</v>
      </c>
      <c r="E32" s="66">
        <f>'CE-FLSH'!M32</f>
        <v>401217</v>
      </c>
      <c r="F32" s="60">
        <f>CE_GL!D32</f>
        <v>-46544</v>
      </c>
      <c r="G32" s="38">
        <f>CE_GL!E32</f>
        <v>-185807.02000000002</v>
      </c>
      <c r="H32" s="60">
        <f>F32-D32</f>
        <v>-139128</v>
      </c>
      <c r="I32" s="38">
        <f>G32-E32</f>
        <v>-587024.02</v>
      </c>
    </row>
    <row r="33" spans="1:9" x14ac:dyDescent="0.25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-51046</v>
      </c>
      <c r="G33" s="38">
        <f>CE_GL!E33</f>
        <v>-216877.40000000002</v>
      </c>
      <c r="H33" s="60">
        <f t="shared" ref="H33:I35" si="5">F33-D33</f>
        <v>-51046</v>
      </c>
      <c r="I33" s="38">
        <f t="shared" si="5"/>
        <v>-216877.40000000002</v>
      </c>
    </row>
    <row r="34" spans="1:9" x14ac:dyDescent="0.25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53141</v>
      </c>
      <c r="G34" s="38">
        <f>CE_GL!E34</f>
        <v>224894.85</v>
      </c>
      <c r="H34" s="60">
        <f t="shared" si="5"/>
        <v>53141</v>
      </c>
      <c r="I34" s="38">
        <f t="shared" si="5"/>
        <v>224894.85</v>
      </c>
    </row>
    <row r="35" spans="1:9" x14ac:dyDescent="0.25">
      <c r="A35" s="9">
        <v>16</v>
      </c>
      <c r="B35" s="7"/>
      <c r="C35" s="18" t="s">
        <v>42</v>
      </c>
      <c r="D35" s="65">
        <f>'CE-FLSH'!L35</f>
        <v>-35514</v>
      </c>
      <c r="E35" s="66">
        <f>'CE-FLSH'!M35</f>
        <v>-119517</v>
      </c>
      <c r="F35" s="60">
        <f>CE_GL!D35</f>
        <v>15</v>
      </c>
      <c r="G35" s="38">
        <f>CE_GL!E35</f>
        <v>0</v>
      </c>
      <c r="H35" s="60">
        <f t="shared" si="5"/>
        <v>35529</v>
      </c>
      <c r="I35" s="38">
        <f t="shared" si="5"/>
        <v>119517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57070</v>
      </c>
      <c r="E36" s="39">
        <f t="shared" si="6"/>
        <v>281700</v>
      </c>
      <c r="F36" s="61">
        <f t="shared" si="6"/>
        <v>-44434</v>
      </c>
      <c r="G36" s="39">
        <f t="shared" si="6"/>
        <v>-177789.57000000004</v>
      </c>
      <c r="H36" s="61">
        <f t="shared" si="6"/>
        <v>-101504</v>
      </c>
      <c r="I36" s="39">
        <f t="shared" si="6"/>
        <v>-459489.57000000007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'CE-FLSH'!L39</f>
        <v>0</v>
      </c>
      <c r="E39" s="66">
        <f>'CE-FLSH'!M39</f>
        <v>0</v>
      </c>
      <c r="F39" s="60">
        <f>CE_GL!D39</f>
        <v>34022</v>
      </c>
      <c r="G39" s="38">
        <f>CE_GL!E39</f>
        <v>144253.28</v>
      </c>
      <c r="H39" s="60">
        <f t="shared" ref="H39:I41" si="7">F39-D39</f>
        <v>34022</v>
      </c>
      <c r="I39" s="38">
        <f t="shared" si="7"/>
        <v>144253.28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'CE-FLSH'!L40</f>
        <v>0</v>
      </c>
      <c r="E40" s="66">
        <f>'CE-FLSH'!M40</f>
        <v>0</v>
      </c>
      <c r="F40" s="60">
        <f>CE_GL!D40</f>
        <v>-9097</v>
      </c>
      <c r="G40" s="38">
        <f>CE_GL!E40</f>
        <v>-4332.88</v>
      </c>
      <c r="H40" s="60">
        <f t="shared" si="7"/>
        <v>-9097</v>
      </c>
      <c r="I40" s="38">
        <f t="shared" si="7"/>
        <v>-4332.88</v>
      </c>
    </row>
    <row r="41" spans="1:9" x14ac:dyDescent="0.25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-9097</v>
      </c>
      <c r="G42" s="70">
        <f t="shared" si="8"/>
        <v>-4332.88</v>
      </c>
      <c r="H42" s="69">
        <f t="shared" si="8"/>
        <v>-9097</v>
      </c>
      <c r="I42" s="70">
        <f t="shared" si="8"/>
        <v>-4332.88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24925</v>
      </c>
      <c r="G43" s="39">
        <f t="shared" si="9"/>
        <v>139920.4</v>
      </c>
      <c r="H43" s="61">
        <f t="shared" si="9"/>
        <v>24925</v>
      </c>
      <c r="I43" s="39">
        <f t="shared" si="9"/>
        <v>139920.4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'CE-FLSH'!L49</f>
        <v>156521</v>
      </c>
      <c r="E49" s="66">
        <f>'CE-FLSH'!M49</f>
        <v>-663649.04</v>
      </c>
      <c r="F49" s="60">
        <f>CE_GL!D49</f>
        <v>-42303</v>
      </c>
      <c r="G49" s="38">
        <f>CE_GL!E49</f>
        <v>-179364.72000000006</v>
      </c>
      <c r="H49" s="60">
        <f>F49-D49</f>
        <v>-198824</v>
      </c>
      <c r="I49" s="38">
        <f>G49-E49</f>
        <v>484284.31999999995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'CE-FLSH'!L51</f>
        <v>-178409</v>
      </c>
      <c r="E51" s="66">
        <f>'CE-FLSH'!M51</f>
        <v>-718499</v>
      </c>
      <c r="F51" s="60">
        <f>CE_GL!D51</f>
        <v>-182189</v>
      </c>
      <c r="G51" s="38">
        <f>CE_GL!E51</f>
        <v>-772481.35999999975</v>
      </c>
      <c r="H51" s="60">
        <f>F51-D51</f>
        <v>-3780</v>
      </c>
      <c r="I51" s="38">
        <f>G51-E51</f>
        <v>-53982.359999999753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-212416.14660000009</v>
      </c>
      <c r="F54" s="60">
        <f>CE_GL!D54</f>
        <v>-132798516</v>
      </c>
      <c r="G54" s="38">
        <f>CE_GL!E54</f>
        <v>-318173.1500000002</v>
      </c>
      <c r="H54" s="60">
        <f>F54-D54</f>
        <v>-132798516</v>
      </c>
      <c r="I54" s="38">
        <f>G54-E54</f>
        <v>-105757.0034000001</v>
      </c>
    </row>
    <row r="55" spans="1:9" x14ac:dyDescent="0.25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-1777260</v>
      </c>
      <c r="F55" s="60">
        <f>CE_GL!D55</f>
        <v>0</v>
      </c>
      <c r="G55" s="38">
        <f>CE_GL!E55</f>
        <v>-1650765.8199999998</v>
      </c>
      <c r="H55" s="60">
        <f>F55-D55</f>
        <v>0</v>
      </c>
      <c r="I55" s="38">
        <f>G55-E55</f>
        <v>126494.18000000017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-1989676.1466000001</v>
      </c>
      <c r="F56" s="61">
        <f t="shared" si="10"/>
        <v>-132798516</v>
      </c>
      <c r="G56" s="39">
        <f t="shared" si="10"/>
        <v>-1968938.97</v>
      </c>
      <c r="H56" s="61">
        <f t="shared" si="10"/>
        <v>-132798516</v>
      </c>
      <c r="I56" s="39">
        <f t="shared" si="10"/>
        <v>20737.176600000064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11822013.162300002</v>
      </c>
      <c r="F70" s="60">
        <f>CE_GL!D70</f>
        <v>0</v>
      </c>
      <c r="G70" s="38">
        <f>CE_GL!E70</f>
        <v>11822013.16</v>
      </c>
      <c r="H70" s="60">
        <f>F70-D70</f>
        <v>0</v>
      </c>
      <c r="I70" s="38">
        <f>G70-E70</f>
        <v>-2.3000016808509827E-3</v>
      </c>
    </row>
    <row r="71" spans="1:9" x14ac:dyDescent="0.25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-15976612</v>
      </c>
      <c r="F71" s="60">
        <f>CE_GL!D71</f>
        <v>0</v>
      </c>
      <c r="G71" s="38">
        <f>CE_GL!E71</f>
        <v>-15976611</v>
      </c>
      <c r="H71" s="60">
        <f>F71-D71</f>
        <v>0</v>
      </c>
      <c r="I71" s="38">
        <f>G71-E71</f>
        <v>1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-4154598.8376999982</v>
      </c>
      <c r="F72" s="69">
        <f t="shared" si="13"/>
        <v>0</v>
      </c>
      <c r="G72" s="70">
        <f t="shared" si="13"/>
        <v>-4154597.84</v>
      </c>
      <c r="H72" s="69">
        <f t="shared" si="13"/>
        <v>0</v>
      </c>
      <c r="I72" s="70">
        <f t="shared" si="13"/>
        <v>0.99769999831914902</v>
      </c>
    </row>
    <row r="73" spans="1:9" x14ac:dyDescent="0.25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7700994</v>
      </c>
      <c r="F74" s="60">
        <f>CE_GL!D74</f>
        <v>0</v>
      </c>
      <c r="G74" s="38">
        <f>CE_GL!E74</f>
        <v>6938676.3300000001</v>
      </c>
      <c r="H74" s="60">
        <f t="shared" ref="H74:I79" si="14">F74-D74</f>
        <v>0</v>
      </c>
      <c r="I74" s="38">
        <f t="shared" si="14"/>
        <v>-762317.66999999993</v>
      </c>
    </row>
    <row r="75" spans="1:9" x14ac:dyDescent="0.25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172538.1</v>
      </c>
      <c r="F75" s="60">
        <f>CE_GL!D75</f>
        <v>0</v>
      </c>
      <c r="G75" s="38">
        <f>CE_GL!E75</f>
        <v>172538</v>
      </c>
      <c r="H75" s="60">
        <f t="shared" si="14"/>
        <v>0</v>
      </c>
      <c r="I75" s="38">
        <f t="shared" si="14"/>
        <v>-0.10000000000582077</v>
      </c>
    </row>
    <row r="76" spans="1:9" x14ac:dyDescent="0.25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0</v>
      </c>
      <c r="F76" s="60">
        <f>CE_GL!D76</f>
        <v>0</v>
      </c>
      <c r="G76" s="38">
        <f>CE_GL!E76</f>
        <v>-3341.06</v>
      </c>
      <c r="H76" s="60">
        <f t="shared" si="14"/>
        <v>0</v>
      </c>
      <c r="I76" s="38">
        <f t="shared" si="14"/>
        <v>-3341.06</v>
      </c>
    </row>
    <row r="77" spans="1:9" x14ac:dyDescent="0.25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1016486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-1016486</v>
      </c>
    </row>
    <row r="80" spans="1:9" x14ac:dyDescent="0.25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333398</v>
      </c>
      <c r="F81" s="60">
        <f>CE_GL!D81</f>
        <v>0</v>
      </c>
      <c r="G81" s="38">
        <f>CE_GL!E81</f>
        <v>-22500</v>
      </c>
      <c r="H81" s="60">
        <f>F81-D81</f>
        <v>0</v>
      </c>
      <c r="I81" s="38">
        <f>G81-E81</f>
        <v>-355898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3097542.0757000144</v>
      </c>
      <c r="F82" s="71">
        <f>F16+F24+F29+F36+F43+F45+F47+F49</f>
        <v>0</v>
      </c>
      <c r="G82" s="72">
        <f>SUM(G72:G81)+G16+G24+G29+G36+G43+G45+G47+G49+G51+G56+G61+G66</f>
        <v>4382855.6999998577</v>
      </c>
      <c r="H82" s="71">
        <f>H16+H24+H29+H36+H43+H45+H47+H49</f>
        <v>0</v>
      </c>
      <c r="I82" s="72">
        <f>SUM(I72:I81)+I16+I24+I29+I36+I43+I45+I47+I49+I51+I56+I61+I66</f>
        <v>1285313.6242999586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/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198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'SITHE-FLSH'!L11</f>
        <v>4331184</v>
      </c>
      <c r="E11" s="66">
        <f>'SITHE-FLSH'!M11</f>
        <v>18664400</v>
      </c>
      <c r="F11" s="60">
        <f>SITHE_GL!D11</f>
        <v>4331175</v>
      </c>
      <c r="G11" s="38">
        <f>SITHE_GL!E11</f>
        <v>19737612.209999997</v>
      </c>
      <c r="H11" s="60">
        <f>F11-D11</f>
        <v>-9</v>
      </c>
      <c r="I11" s="38">
        <f>G11-E11</f>
        <v>1073212.2099999972</v>
      </c>
    </row>
    <row r="12" spans="1:22" x14ac:dyDescent="0.25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-918830.1</v>
      </c>
      <c r="H12" s="60">
        <f>F12-D12</f>
        <v>0</v>
      </c>
      <c r="I12" s="38">
        <f>G12-E12</f>
        <v>-918830.1</v>
      </c>
    </row>
    <row r="13" spans="1:22" x14ac:dyDescent="0.25">
      <c r="A13" s="9">
        <v>3</v>
      </c>
      <c r="B13" s="7"/>
      <c r="C13" s="18" t="s">
        <v>27</v>
      </c>
      <c r="D13" s="65">
        <f>'SITHE-FLSH'!L13</f>
        <v>6364383</v>
      </c>
      <c r="E13" s="66">
        <f>'SITHE-FLSH'!M13</f>
        <v>27355816</v>
      </c>
      <c r="F13" s="60">
        <f>SITHE_GL!D13</f>
        <v>6364383</v>
      </c>
      <c r="G13" s="38">
        <f>SITHE_GL!E13</f>
        <v>27355816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10695567</v>
      </c>
      <c r="E16" s="39">
        <f t="shared" si="1"/>
        <v>46020216</v>
      </c>
      <c r="F16" s="61">
        <f t="shared" si="1"/>
        <v>10695558</v>
      </c>
      <c r="G16" s="39">
        <f t="shared" si="1"/>
        <v>46174598.109999999</v>
      </c>
      <c r="H16" s="61">
        <f t="shared" si="1"/>
        <v>-9</v>
      </c>
      <c r="I16" s="39">
        <f t="shared" si="1"/>
        <v>154382.10999999719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'SITHE-FLSH'!L19</f>
        <v>0</v>
      </c>
      <c r="E19" s="66">
        <f>'SITHE-FLSH'!M19</f>
        <v>0</v>
      </c>
      <c r="F19" s="60">
        <f>SITHE_GL!D19</f>
        <v>-930000</v>
      </c>
      <c r="G19" s="38">
        <f>SITHE_GL!E19</f>
        <v>-4152898.37</v>
      </c>
      <c r="H19" s="60">
        <f>F19-D19</f>
        <v>-930000</v>
      </c>
      <c r="I19" s="38">
        <f>G19-E19</f>
        <v>-4152898.37</v>
      </c>
    </row>
    <row r="20" spans="1:9" x14ac:dyDescent="0.25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-0.16999999998370185</v>
      </c>
      <c r="H20" s="60">
        <f>F20-D20</f>
        <v>0</v>
      </c>
      <c r="I20" s="38">
        <f>G20-E20</f>
        <v>-0.16999999998370185</v>
      </c>
    </row>
    <row r="21" spans="1:9" x14ac:dyDescent="0.25">
      <c r="A21" s="9">
        <v>8</v>
      </c>
      <c r="B21" s="7"/>
      <c r="C21" s="18" t="s">
        <v>27</v>
      </c>
      <c r="D21" s="65">
        <f>'SITHE-FLSH'!L21</f>
        <v>-10735001</v>
      </c>
      <c r="E21" s="66">
        <f>'SITHE-FLSH'!M21</f>
        <v>-46636512</v>
      </c>
      <c r="F21" s="60">
        <f>SITHE_GL!D21</f>
        <v>-9883001</v>
      </c>
      <c r="G21" s="38">
        <f>SITHE_GL!E21</f>
        <v>-42798908</v>
      </c>
      <c r="H21" s="60">
        <f t="shared" ref="H21:I23" si="2">F21-D21</f>
        <v>852000</v>
      </c>
      <c r="I21" s="38">
        <f t="shared" si="2"/>
        <v>3837604</v>
      </c>
    </row>
    <row r="22" spans="1:9" x14ac:dyDescent="0.25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'SITHE-FLSH'!L23</f>
        <v>3069</v>
      </c>
      <c r="E23" s="66">
        <f>'SITHE-FLSH'!M23</f>
        <v>12843</v>
      </c>
      <c r="F23" s="60">
        <f>SITHE_GL!D23</f>
        <v>3069</v>
      </c>
      <c r="G23" s="38">
        <f>SITHE_GL!E23</f>
        <v>13196.7</v>
      </c>
      <c r="H23" s="60">
        <f t="shared" si="2"/>
        <v>0</v>
      </c>
      <c r="I23" s="38">
        <f t="shared" si="2"/>
        <v>353.70000000000073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-10731932</v>
      </c>
      <c r="E24" s="39">
        <f t="shared" si="3"/>
        <v>-46623669</v>
      </c>
      <c r="F24" s="61">
        <f t="shared" si="3"/>
        <v>-10809932</v>
      </c>
      <c r="G24" s="39">
        <f t="shared" si="3"/>
        <v>-46938609.839999996</v>
      </c>
      <c r="H24" s="61">
        <f t="shared" si="3"/>
        <v>-78000</v>
      </c>
      <c r="I24" s="39">
        <f t="shared" si="3"/>
        <v>-314940.84000000003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-70191.999999999985</v>
      </c>
      <c r="H27" s="60">
        <f>F27-D27</f>
        <v>0</v>
      </c>
      <c r="I27" s="38">
        <f>G27-E27</f>
        <v>-70191.999999999985</v>
      </c>
    </row>
    <row r="28" spans="1:9" x14ac:dyDescent="0.25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-70191.999999999985</v>
      </c>
      <c r="H29" s="69">
        <f t="shared" si="4"/>
        <v>0</v>
      </c>
      <c r="I29" s="70">
        <f t="shared" si="4"/>
        <v>-70191.999999999985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'SITHE-FLSH'!L32</f>
        <v>51919</v>
      </c>
      <c r="E32" s="66">
        <f>'SITHE-FLSH'!M32</f>
        <v>539590</v>
      </c>
      <c r="F32" s="60">
        <f>SITHE_GL!D32</f>
        <v>0</v>
      </c>
      <c r="G32" s="38">
        <f>SITHE_GL!E32</f>
        <v>0</v>
      </c>
      <c r="H32" s="60">
        <f>F32-D32</f>
        <v>-51919</v>
      </c>
      <c r="I32" s="38">
        <f>G32-E32</f>
        <v>-539590</v>
      </c>
    </row>
    <row r="33" spans="1:9" x14ac:dyDescent="0.25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51919</v>
      </c>
      <c r="E36" s="39">
        <f t="shared" si="6"/>
        <v>539590</v>
      </c>
      <c r="F36" s="61">
        <f t="shared" si="6"/>
        <v>0</v>
      </c>
      <c r="G36" s="39">
        <f t="shared" si="6"/>
        <v>0</v>
      </c>
      <c r="H36" s="61">
        <f t="shared" si="6"/>
        <v>-51919</v>
      </c>
      <c r="I36" s="39">
        <f t="shared" si="6"/>
        <v>-539590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'SITHE-FLSH'!L49</f>
        <v>-15554</v>
      </c>
      <c r="E49" s="66">
        <f>'SITHE-FLSH'!M49</f>
        <v>-66882.2</v>
      </c>
      <c r="F49" s="60">
        <f>SITHE_GL!D49</f>
        <v>114374</v>
      </c>
      <c r="G49" s="38">
        <f>SITHE_GL!E49</f>
        <v>491808.2</v>
      </c>
      <c r="H49" s="60">
        <f>F49-D49</f>
        <v>129928</v>
      </c>
      <c r="I49" s="38">
        <f>G49-E49</f>
        <v>558690.4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'SITHE-FLSH'!L51</f>
        <v>-3069</v>
      </c>
      <c r="E51" s="66">
        <f>'SITHE-FLSH'!M51</f>
        <v>-12843</v>
      </c>
      <c r="F51" s="60">
        <f>SITHE_GL!D51</f>
        <v>-3069</v>
      </c>
      <c r="G51" s="38">
        <f>SITHE_GL!E51</f>
        <v>-13196.7</v>
      </c>
      <c r="H51" s="60">
        <f>F51-D51</f>
        <v>0</v>
      </c>
      <c r="I51" s="38">
        <f>G51-E51</f>
        <v>-353.70000000000073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-2163</v>
      </c>
      <c r="F54" s="60">
        <f>SITHE_GL!D54</f>
        <v>-969157.6099999994</v>
      </c>
      <c r="G54" s="38">
        <f>SITHE_GL!E54</f>
        <v>-4236.4699999999721</v>
      </c>
      <c r="H54" s="60">
        <f>F54-D54</f>
        <v>-969157.6099999994</v>
      </c>
      <c r="I54" s="38">
        <f>G54-E54</f>
        <v>-2073.4699999999721</v>
      </c>
    </row>
    <row r="55" spans="1:9" x14ac:dyDescent="0.25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-7370</v>
      </c>
      <c r="F55" s="60">
        <f>SITHE_GL!D55</f>
        <v>0</v>
      </c>
      <c r="G55" s="38">
        <f>SITHE_GL!E55</f>
        <v>-8200</v>
      </c>
      <c r="H55" s="60">
        <f>F55-D55</f>
        <v>0</v>
      </c>
      <c r="I55" s="38">
        <f>G55-E55</f>
        <v>-830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-9533</v>
      </c>
      <c r="F56" s="61">
        <f t="shared" si="10"/>
        <v>-969157.6099999994</v>
      </c>
      <c r="G56" s="39">
        <f t="shared" si="10"/>
        <v>-12436.469999999972</v>
      </c>
      <c r="H56" s="61">
        <f t="shared" si="10"/>
        <v>-969157.6099999994</v>
      </c>
      <c r="I56" s="39">
        <f t="shared" si="10"/>
        <v>-2903.4699999999721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2321550.9972000001</v>
      </c>
      <c r="F70" s="60">
        <f>SITHE_GL!D70</f>
        <v>0</v>
      </c>
      <c r="G70" s="38">
        <f>SITHE_GL!E70</f>
        <v>2321551</v>
      </c>
      <c r="H70" s="60">
        <f>F70-D70</f>
        <v>0</v>
      </c>
      <c r="I70" s="38">
        <f>G70-E70</f>
        <v>2.79999990016222E-3</v>
      </c>
    </row>
    <row r="71" spans="1:9" x14ac:dyDescent="0.25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-1741430</v>
      </c>
      <c r="F71" s="60">
        <f>SITHE_GL!D71</f>
        <v>0</v>
      </c>
      <c r="G71" s="38">
        <f>SITHE_GL!E71</f>
        <v>-1740930</v>
      </c>
      <c r="H71" s="60">
        <f>F71-D71</f>
        <v>0</v>
      </c>
      <c r="I71" s="38">
        <f>G71-E71</f>
        <v>500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580120.9972000001</v>
      </c>
      <c r="F72" s="69">
        <f t="shared" si="13"/>
        <v>0</v>
      </c>
      <c r="G72" s="70">
        <f t="shared" si="13"/>
        <v>580621</v>
      </c>
      <c r="H72" s="69">
        <f t="shared" si="13"/>
        <v>0</v>
      </c>
      <c r="I72" s="70">
        <f t="shared" si="13"/>
        <v>500.00279999990016</v>
      </c>
    </row>
    <row r="73" spans="1:9" x14ac:dyDescent="0.25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-527435</v>
      </c>
      <c r="F74" s="60">
        <f>SITHE_GL!D74</f>
        <v>0</v>
      </c>
      <c r="G74" s="38">
        <f>SITHE_GL!E74</f>
        <v>-527434</v>
      </c>
      <c r="H74" s="60">
        <f t="shared" ref="H74:I79" si="14">F74-D74</f>
        <v>0</v>
      </c>
      <c r="I74" s="38">
        <f t="shared" si="14"/>
        <v>1</v>
      </c>
    </row>
    <row r="75" spans="1:9" x14ac:dyDescent="0.25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62347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-62347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-38088.202800002691</v>
      </c>
      <c r="F82" s="71">
        <f>F16+F24+F29+F36+F43+F45+F47+F49</f>
        <v>0</v>
      </c>
      <c r="G82" s="72">
        <f>SUM(G72:G81)+G16+G24+G29+G36+G43+G45+G47+G49+G51+G56+G61+G66</f>
        <v>-314841.69999999669</v>
      </c>
      <c r="H82" s="71">
        <f>H16+H24+H29+H36+H43+H45+H47+H49</f>
        <v>0</v>
      </c>
      <c r="I82" s="72">
        <f>SUM(I72:I81)+I16+I24+I29+I36+I43+I45+I47+I49+I51+I56+I61+I66</f>
        <v>-276753.49720000284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D61" zoomScale="75" workbookViewId="0">
      <selection activeCell="D61" sqref="D6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customWidth="1"/>
    <col min="8" max="8" width="15.44140625" customWidth="1"/>
    <col min="9" max="9" width="17.109375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187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'ARUBA-FLSH'!L11</f>
        <v>9877555</v>
      </c>
      <c r="E11" s="66">
        <f>'ARUBA-FLSH'!M11</f>
        <v>43767603</v>
      </c>
      <c r="F11" s="60">
        <f>ARUBA_GL!D11</f>
        <v>9877555</v>
      </c>
      <c r="G11" s="38">
        <f>ARUBA_GL!E11</f>
        <v>43678542.75</v>
      </c>
      <c r="H11" s="60">
        <f>F11-D11</f>
        <v>0</v>
      </c>
      <c r="I11" s="38">
        <f>G11-E11</f>
        <v>-89060.25</v>
      </c>
    </row>
    <row r="12" spans="1:22" x14ac:dyDescent="0.25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187937.25</v>
      </c>
      <c r="H12" s="60">
        <f>F12-D12</f>
        <v>0</v>
      </c>
      <c r="I12" s="38">
        <f>G12-E12</f>
        <v>187937.25</v>
      </c>
    </row>
    <row r="13" spans="1:22" x14ac:dyDescent="0.25">
      <c r="A13" s="9">
        <v>3</v>
      </c>
      <c r="B13" s="7"/>
      <c r="C13" s="18" t="s">
        <v>27</v>
      </c>
      <c r="D13" s="65">
        <f>'ARUBA-FLSH'!L13</f>
        <v>23219168</v>
      </c>
      <c r="E13" s="66">
        <f>'ARUBA-FLSH'!M13</f>
        <v>102136858</v>
      </c>
      <c r="F13" s="60">
        <f>ARUBA_GL!D13</f>
        <v>23219168</v>
      </c>
      <c r="G13" s="38">
        <f>ARUBA_GL!E13</f>
        <v>102136858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1502272</v>
      </c>
      <c r="F15" s="60">
        <f>ARUBA_GL!D15</f>
        <v>0</v>
      </c>
      <c r="G15" s="38">
        <f>ARUBA_GL!E15</f>
        <v>1477214.2199999997</v>
      </c>
      <c r="H15" s="60">
        <f t="shared" si="0"/>
        <v>0</v>
      </c>
      <c r="I15" s="38">
        <f t="shared" si="0"/>
        <v>-25057.780000000261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33096723</v>
      </c>
      <c r="E16" s="39">
        <f t="shared" si="1"/>
        <v>147406733</v>
      </c>
      <c r="F16" s="61">
        <f t="shared" si="1"/>
        <v>33096723</v>
      </c>
      <c r="G16" s="39">
        <f t="shared" si="1"/>
        <v>147480552.22</v>
      </c>
      <c r="H16" s="61">
        <f t="shared" si="1"/>
        <v>0</v>
      </c>
      <c r="I16" s="39">
        <f t="shared" si="1"/>
        <v>73819.219999999739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'ARUBA-FLSH'!L19</f>
        <v>-3521108</v>
      </c>
      <c r="E19" s="66">
        <f>'ARUBA-FLSH'!M19</f>
        <v>-14969052</v>
      </c>
      <c r="F19" s="60">
        <f>ARUBA_GL!D19</f>
        <v>-3522587</v>
      </c>
      <c r="G19" s="38">
        <f>ARUBA_GL!E19</f>
        <v>-15122449.799999999</v>
      </c>
      <c r="H19" s="60">
        <f>F19-D19</f>
        <v>-1479</v>
      </c>
      <c r="I19" s="38">
        <f>G19-E19</f>
        <v>-153397.79999999888</v>
      </c>
    </row>
    <row r="20" spans="1:9" x14ac:dyDescent="0.25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147145.57999999999</v>
      </c>
      <c r="H20" s="60">
        <f>F20-D20</f>
        <v>0</v>
      </c>
      <c r="I20" s="38">
        <f>G20-E20</f>
        <v>147145.57999999999</v>
      </c>
    </row>
    <row r="21" spans="1:9" x14ac:dyDescent="0.25">
      <c r="A21" s="9">
        <v>8</v>
      </c>
      <c r="B21" s="7"/>
      <c r="C21" s="18" t="s">
        <v>27</v>
      </c>
      <c r="D21" s="65">
        <f>'ARUBA-FLSH'!L21</f>
        <v>-29734470</v>
      </c>
      <c r="E21" s="66">
        <f>'ARUBA-FLSH'!M21</f>
        <v>-129522006</v>
      </c>
      <c r="F21" s="60">
        <f>ARUBA_GL!D21</f>
        <v>-29734470</v>
      </c>
      <c r="G21" s="38">
        <f>ARUBA_GL!E21</f>
        <v>-129522006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'ARUBA-FLSH'!L23</f>
        <v>151464</v>
      </c>
      <c r="E23" s="66">
        <f>'ARUBA-FLSH'!M23</f>
        <v>634061</v>
      </c>
      <c r="F23" s="60">
        <f>ARUBA_GL!D23</f>
        <v>151464</v>
      </c>
      <c r="G23" s="38">
        <f>ARUBA_GL!E23</f>
        <v>643722</v>
      </c>
      <c r="H23" s="60">
        <f t="shared" si="2"/>
        <v>0</v>
      </c>
      <c r="I23" s="38">
        <f t="shared" si="2"/>
        <v>9661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-33104114</v>
      </c>
      <c r="E24" s="39">
        <f t="shared" si="3"/>
        <v>-143856997</v>
      </c>
      <c r="F24" s="61">
        <f t="shared" si="3"/>
        <v>-33105593</v>
      </c>
      <c r="G24" s="39">
        <f t="shared" si="3"/>
        <v>-143853588.22</v>
      </c>
      <c r="H24" s="61">
        <f t="shared" si="3"/>
        <v>-1479</v>
      </c>
      <c r="I24" s="39">
        <f t="shared" si="3"/>
        <v>3408.7800000011048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'ARUBA-FLSH'!L49</f>
        <v>7391</v>
      </c>
      <c r="E49" s="66">
        <f>'ARUBA-FLSH'!M49</f>
        <v>31411.75</v>
      </c>
      <c r="F49" s="60">
        <f>ARUBA_GL!D49</f>
        <v>8870</v>
      </c>
      <c r="G49" s="38">
        <f>ARUBA_GL!E49</f>
        <v>37697.5</v>
      </c>
      <c r="H49" s="60">
        <f>F49-D49</f>
        <v>1479</v>
      </c>
      <c r="I49" s="38">
        <f>G49-E49</f>
        <v>6285.75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'ARUBA-FLSH'!L51</f>
        <v>-151464</v>
      </c>
      <c r="E51" s="66">
        <f>'ARUBA-FLSH'!M51</f>
        <v>-634061</v>
      </c>
      <c r="F51" s="60">
        <f>ARUBA_GL!D51</f>
        <v>-151464</v>
      </c>
      <c r="G51" s="38">
        <f>ARUBA_GL!E51</f>
        <v>-643722</v>
      </c>
      <c r="H51" s="60">
        <f>F51-D51</f>
        <v>0</v>
      </c>
      <c r="I51" s="38">
        <f>G51-E51</f>
        <v>-9661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-43511</v>
      </c>
      <c r="F54" s="60">
        <f>ARUBA_GL!D54</f>
        <v>-3153706</v>
      </c>
      <c r="G54" s="38">
        <f>ARUBA_GL!E54</f>
        <v>-43289.159999999916</v>
      </c>
      <c r="H54" s="60">
        <f>F54-D54</f>
        <v>-3153706</v>
      </c>
      <c r="I54" s="38">
        <f>G54-E54</f>
        <v>221.84000000008382</v>
      </c>
    </row>
    <row r="55" spans="1:9" x14ac:dyDescent="0.25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-1502272</v>
      </c>
      <c r="F55" s="60">
        <f>ARUBA_GL!D55</f>
        <v>0</v>
      </c>
      <c r="G55" s="38">
        <f>ARUBA_GL!E55</f>
        <v>-1470008.87</v>
      </c>
      <c r="H55" s="60">
        <f>F55-D55</f>
        <v>0</v>
      </c>
      <c r="I55" s="38">
        <f>G55-E55</f>
        <v>32263.129999999888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-1545783</v>
      </c>
      <c r="F56" s="61">
        <f t="shared" si="10"/>
        <v>-3153706</v>
      </c>
      <c r="G56" s="39">
        <f t="shared" si="10"/>
        <v>-1513298.03</v>
      </c>
      <c r="H56" s="61">
        <f t="shared" si="10"/>
        <v>-3153706</v>
      </c>
      <c r="I56" s="39">
        <f t="shared" si="10"/>
        <v>32484.969999999972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10336992.175900005</v>
      </c>
      <c r="F70" s="60">
        <f>ARUBA_GL!D70</f>
        <v>0</v>
      </c>
      <c r="G70" s="38">
        <f>ARUBA_GL!E70</f>
        <v>10119630.18</v>
      </c>
      <c r="H70" s="60">
        <f>F70-D70</f>
        <v>0</v>
      </c>
      <c r="I70" s="38">
        <f>G70-E70</f>
        <v>-217361.9959000051</v>
      </c>
    </row>
    <row r="71" spans="1:9" x14ac:dyDescent="0.25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-8677221</v>
      </c>
      <c r="F71" s="60">
        <f>ARUBA_GL!D71</f>
        <v>0</v>
      </c>
      <c r="G71" s="38">
        <f>ARUBA_GL!E71</f>
        <v>-8459859</v>
      </c>
      <c r="H71" s="60">
        <f>F71-D71</f>
        <v>0</v>
      </c>
      <c r="I71" s="38">
        <f>G71-E71</f>
        <v>217362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1659771.1759000048</v>
      </c>
      <c r="F72" s="69">
        <f t="shared" si="13"/>
        <v>0</v>
      </c>
      <c r="G72" s="70">
        <f t="shared" si="13"/>
        <v>1659771.1799999997</v>
      </c>
      <c r="H72" s="69">
        <f t="shared" si="13"/>
        <v>0</v>
      </c>
      <c r="I72" s="70">
        <f t="shared" si="13"/>
        <v>4.0999948978424072E-3</v>
      </c>
    </row>
    <row r="73" spans="1:9" x14ac:dyDescent="0.25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-467646.63550000021</v>
      </c>
      <c r="F74" s="60">
        <f>ARUBA_GL!D74</f>
        <v>0</v>
      </c>
      <c r="G74" s="38">
        <f>ARUBA_GL!E74</f>
        <v>-635477.85000000009</v>
      </c>
      <c r="H74" s="60">
        <f t="shared" ref="H74:I79" si="14">F74-D74</f>
        <v>0</v>
      </c>
      <c r="I74" s="38">
        <f t="shared" si="14"/>
        <v>-167831.21449999989</v>
      </c>
    </row>
    <row r="75" spans="1:9" x14ac:dyDescent="0.25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-998728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998728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1594700.2903999984</v>
      </c>
      <c r="F82" s="71">
        <f>F16+F24+F29+F36+F43+F45+F47+F49</f>
        <v>0</v>
      </c>
      <c r="G82" s="72">
        <f>SUM(G72:G81)+G16+G24+G29+G36+G43+G45+G47+G49+G51+G56+G61+G66</f>
        <v>2531934.8000000129</v>
      </c>
      <c r="H82" s="71">
        <f>H16+H24+H29+H36+H43+H45+H47+H49</f>
        <v>0</v>
      </c>
      <c r="I82" s="72">
        <f>SUM(I72:I81)+I16+I24+I29+I36+I43+I45+I47+I49+I51+I56+I61+I66</f>
        <v>937234.5095999958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/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customWidth="1"/>
    <col min="8" max="8" width="15.44140625" customWidth="1"/>
    <col min="9" max="9" width="17.109375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224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'MidMarket-FLSH'!L11</f>
        <v>1377361</v>
      </c>
      <c r="E11" s="66">
        <f>'MidMarket-FLSH'!M11</f>
        <v>5802033</v>
      </c>
      <c r="F11" s="60">
        <f>MidMarket_GL!D11</f>
        <v>-1725</v>
      </c>
      <c r="G11" s="38">
        <f>MidMarket_GL!E11</f>
        <v>-7759.47</v>
      </c>
      <c r="H11" s="60">
        <f>F11-D11</f>
        <v>-1379086</v>
      </c>
      <c r="I11" s="38">
        <f>G11-E11</f>
        <v>-5809792.4699999997</v>
      </c>
    </row>
    <row r="12" spans="1:22" x14ac:dyDescent="0.25">
      <c r="A12" s="9">
        <v>2</v>
      </c>
      <c r="B12" s="7"/>
      <c r="C12" s="18" t="s">
        <v>26</v>
      </c>
      <c r="D12" s="65">
        <f>'MidMarket-FLSH'!L12</f>
        <v>0</v>
      </c>
      <c r="E12" s="66">
        <f>'MidMarket-FLSH'!M12</f>
        <v>0</v>
      </c>
      <c r="F12" s="60">
        <f>MidMarket_GL!D12</f>
        <v>0</v>
      </c>
      <c r="G12" s="38">
        <f>MidMarket_GL!E12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'MidMarket-FLSH'!L13</f>
        <v>0</v>
      </c>
      <c r="E13" s="66">
        <f>'MidMarket-FLSH'!M13</f>
        <v>0</v>
      </c>
      <c r="F13" s="60">
        <f>MidMarket_GL!D13</f>
        <v>0</v>
      </c>
      <c r="G13" s="38">
        <f>MidMarket_GL!E13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'MidMarket-FLSH'!L14</f>
        <v>0</v>
      </c>
      <c r="E14" s="66">
        <f>'MidMarket-FLSH'!M14</f>
        <v>0</v>
      </c>
      <c r="F14" s="60">
        <f>MidMarket_GL!D14</f>
        <v>0</v>
      </c>
      <c r="G14" s="38">
        <f>MidMarket_GL!E14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'MidMarket-FLSH'!L15</f>
        <v>0</v>
      </c>
      <c r="E15" s="66">
        <f>'MidMarket-FLSH'!M15</f>
        <v>0</v>
      </c>
      <c r="F15" s="60">
        <f>MidMarket_GL!D15</f>
        <v>0</v>
      </c>
      <c r="G15" s="38">
        <f>MidMarket_GL!E15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1377361</v>
      </c>
      <c r="E16" s="39">
        <f t="shared" si="1"/>
        <v>5802033</v>
      </c>
      <c r="F16" s="61">
        <f t="shared" si="1"/>
        <v>-1725</v>
      </c>
      <c r="G16" s="39">
        <f t="shared" si="1"/>
        <v>-7759.47</v>
      </c>
      <c r="H16" s="61">
        <f t="shared" si="1"/>
        <v>-1379086</v>
      </c>
      <c r="I16" s="39">
        <f t="shared" si="1"/>
        <v>-5809792.4699999997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'MidMarket-FLSH'!L19</f>
        <v>-1395244</v>
      </c>
      <c r="E19" s="66">
        <f>'MidMarket-FLSH'!M19</f>
        <v>-5739334</v>
      </c>
      <c r="F19" s="60">
        <f>MidMarket_GL!D19</f>
        <v>0</v>
      </c>
      <c r="G19" s="38">
        <f>MidMarket_GL!E19</f>
        <v>0</v>
      </c>
      <c r="H19" s="60">
        <f>F19-D19</f>
        <v>1395244</v>
      </c>
      <c r="I19" s="38">
        <f>G19-E19</f>
        <v>5739334</v>
      </c>
    </row>
    <row r="20" spans="1:9" x14ac:dyDescent="0.25">
      <c r="A20" s="9">
        <v>7</v>
      </c>
      <c r="B20" s="7"/>
      <c r="C20" s="18" t="s">
        <v>26</v>
      </c>
      <c r="D20" s="65">
        <f>'MidMarket-FLSH'!L20</f>
        <v>0</v>
      </c>
      <c r="E20" s="66">
        <f>'MidMarket-FLSH'!M20</f>
        <v>0</v>
      </c>
      <c r="F20" s="60">
        <f>MidMarket_GL!D20</f>
        <v>0</v>
      </c>
      <c r="G20" s="38">
        <f>MidMarket_GL!E20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'MidMarket-FLSH'!L21</f>
        <v>0</v>
      </c>
      <c r="E21" s="66">
        <f>'MidMarket-FLSH'!M21</f>
        <v>0</v>
      </c>
      <c r="F21" s="60">
        <f>MidMarket_GL!D21</f>
        <v>0</v>
      </c>
      <c r="G21" s="38">
        <f>MidMarket_GL!E21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'MidMarket-FLSH'!L22</f>
        <v>0</v>
      </c>
      <c r="E22" s="66">
        <f>'MidMarket-FLSH'!M22</f>
        <v>0</v>
      </c>
      <c r="F22" s="60">
        <f>MidMarket_GL!D22</f>
        <v>0</v>
      </c>
      <c r="G22" s="38">
        <f>MidMarket_GL!E22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'MidMarket-FLSH'!L23</f>
        <v>0</v>
      </c>
      <c r="E23" s="66">
        <f>'MidMarket-FLSH'!M23</f>
        <v>0</v>
      </c>
      <c r="F23" s="60">
        <f>MidMarket_GL!D23</f>
        <v>0</v>
      </c>
      <c r="G23" s="38">
        <f>MidMarket_GL!E23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-1395244</v>
      </c>
      <c r="E24" s="39">
        <f t="shared" si="3"/>
        <v>-5739334</v>
      </c>
      <c r="F24" s="61">
        <f t="shared" si="3"/>
        <v>0</v>
      </c>
      <c r="G24" s="39">
        <f t="shared" si="3"/>
        <v>0</v>
      </c>
      <c r="H24" s="61">
        <f t="shared" si="3"/>
        <v>1395244</v>
      </c>
      <c r="I24" s="39">
        <f t="shared" si="3"/>
        <v>5739334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'MidMarket-FLSH'!L27</f>
        <v>0</v>
      </c>
      <c r="E27" s="66">
        <f>'MidMarket-FLSH'!M27</f>
        <v>0</v>
      </c>
      <c r="F27" s="60">
        <f>MidMarket_GL!D27</f>
        <v>0</v>
      </c>
      <c r="G27" s="38">
        <f>MidMarket_GL!E27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'MidMarket-FLSH'!L28</f>
        <v>0</v>
      </c>
      <c r="E28" s="66">
        <f>'MidMarket-FLSH'!M28</f>
        <v>0</v>
      </c>
      <c r="F28" s="60">
        <f>MidMarket_GL!D28</f>
        <v>0</v>
      </c>
      <c r="G28" s="38">
        <f>MidMarket_GL!E28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'MidMarket-FLSH'!L32</f>
        <v>0</v>
      </c>
      <c r="E32" s="66">
        <f>'MidMarket-FLSH'!M32</f>
        <v>0</v>
      </c>
      <c r="F32" s="60">
        <f>MidMarket_GL!D32</f>
        <v>0</v>
      </c>
      <c r="G32" s="38">
        <f>MidMarket_GL!E32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'MidMarket-FLSH'!L33</f>
        <v>0</v>
      </c>
      <c r="E33" s="66">
        <f>'MidMarket-FLSH'!M33</f>
        <v>0</v>
      </c>
      <c r="F33" s="60">
        <f>MidMarket_GL!D33</f>
        <v>0</v>
      </c>
      <c r="G33" s="38">
        <f>MidMarket_GL!E33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'MidMarket-FLSH'!L34</f>
        <v>0</v>
      </c>
      <c r="E34" s="66">
        <f>'MidMarket-FLSH'!M34</f>
        <v>0</v>
      </c>
      <c r="F34" s="60">
        <f>MidMarket_GL!D34</f>
        <v>0</v>
      </c>
      <c r="G34" s="38">
        <f>MidMarket_GL!E34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'MidMarket-FLSH'!L35</f>
        <v>0</v>
      </c>
      <c r="E35" s="66">
        <f>'MidMarket-FLSH'!M35</f>
        <v>0</v>
      </c>
      <c r="F35" s="60">
        <f>MidMarket_GL!D35</f>
        <v>0</v>
      </c>
      <c r="G35" s="38">
        <f>MidMarket_GL!E35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'MidMarket-FLSH'!L39</f>
        <v>0</v>
      </c>
      <c r="E39" s="66">
        <f>'MidMarket-FLSH'!M39</f>
        <v>0</v>
      </c>
      <c r="F39" s="60">
        <f>MidMarket_GL!D39</f>
        <v>0</v>
      </c>
      <c r="G39" s="38">
        <f>MidMarket_GL!E39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'MidMarket-FLSH'!L40</f>
        <v>0</v>
      </c>
      <c r="E40" s="66">
        <f>'MidMarket-FLSH'!M40</f>
        <v>0</v>
      </c>
      <c r="F40" s="60">
        <f>MidMarket_GL!D40</f>
        <v>0</v>
      </c>
      <c r="G40" s="38">
        <f>MidMarket_GL!E40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'MidMarket-FLSH'!L41</f>
        <v>0</v>
      </c>
      <c r="E41" s="66">
        <f>'MidMarket-FLSH'!M41</f>
        <v>0</v>
      </c>
      <c r="F41" s="60">
        <f>MidMarket_GL!D41</f>
        <v>0</v>
      </c>
      <c r="G41" s="38">
        <f>MidMarket_GL!E41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'MidMarket-FLSH'!L45</f>
        <v>0</v>
      </c>
      <c r="E45" s="66">
        <f>'MidMarket-FLSH'!M45</f>
        <v>0</v>
      </c>
      <c r="F45" s="60">
        <f>MidMarket_GL!D45</f>
        <v>0</v>
      </c>
      <c r="G45" s="38">
        <f>MidMarket_GL!E45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'MidMarket-FLSH'!L47</f>
        <v>0</v>
      </c>
      <c r="E47" s="66">
        <f>'MidMarket-FLSH'!M47</f>
        <v>0</v>
      </c>
      <c r="F47" s="60">
        <f>MidMarket_GL!D47</f>
        <v>0</v>
      </c>
      <c r="G47" s="38">
        <f>MidMarket_GL!E47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'MidMarket-FLSH'!L49</f>
        <v>17883</v>
      </c>
      <c r="E49" s="66">
        <f>'MidMarket-FLSH'!M49</f>
        <v>79130.603274660549</v>
      </c>
      <c r="F49" s="60">
        <f>MidMarket_GL!D49</f>
        <v>1725</v>
      </c>
      <c r="G49" s="38">
        <f>MidMarket_GL!E49</f>
        <v>-52444.5</v>
      </c>
      <c r="H49" s="60">
        <f>F49-D49</f>
        <v>-16158</v>
      </c>
      <c r="I49" s="38">
        <f>G49-E49</f>
        <v>-131575.10327466053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'MidMarket-FLSH'!L51</f>
        <v>0</v>
      </c>
      <c r="E51" s="66">
        <f>'MidMarket-FLSH'!M51</f>
        <v>0</v>
      </c>
      <c r="F51" s="60">
        <f>MidMarket_GL!D51</f>
        <v>0</v>
      </c>
      <c r="G51" s="38">
        <f>MidMarket_GL!E51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'MidMarket-FLSH'!L54</f>
        <v>0</v>
      </c>
      <c r="E54" s="66">
        <f>'MidMarket-FLSH'!M54</f>
        <v>0</v>
      </c>
      <c r="F54" s="60">
        <f>MidMarket_GL!D54</f>
        <v>0</v>
      </c>
      <c r="G54" s="38">
        <f>MidMarket_GL!E54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'MidMarket-FLSH'!L55</f>
        <v>0</v>
      </c>
      <c r="E55" s="66">
        <f>'MidMarket-FLSH'!M55</f>
        <v>0</v>
      </c>
      <c r="F55" s="60">
        <f>MidMarket_GL!D55</f>
        <v>0</v>
      </c>
      <c r="G55" s="38">
        <f>MidMarket_GL!E55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'MidMarket-FLSH'!L59</f>
        <v>0</v>
      </c>
      <c r="E59" s="66">
        <f>'MidMarket-FLSH'!M59</f>
        <v>0</v>
      </c>
      <c r="F59" s="60">
        <f>MidMarket_GL!D59</f>
        <v>0</v>
      </c>
      <c r="G59" s="38">
        <f>MidMarket_GL!E59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'MidMarket-FLSH'!L60</f>
        <v>0</v>
      </c>
      <c r="E60" s="66">
        <f>'MidMarket-FLSH'!M60</f>
        <v>0</v>
      </c>
      <c r="F60" s="60">
        <f>MidMarket_GL!D60</f>
        <v>0</v>
      </c>
      <c r="G60" s="38">
        <f>MidMarket_GL!E60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'MidMarket-FLSH'!L64</f>
        <v>0</v>
      </c>
      <c r="E64" s="66">
        <f>'MidMarket-FLSH'!M64</f>
        <v>0</v>
      </c>
      <c r="F64" s="60">
        <f>MidMarket_GL!D64</f>
        <v>0</v>
      </c>
      <c r="G64" s="38">
        <f>MidMarket_GL!E64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'MidMarket-FLSH'!L65</f>
        <v>0</v>
      </c>
      <c r="E65" s="66">
        <f>'MidMarket-FLSH'!M65</f>
        <v>0</v>
      </c>
      <c r="F65" s="60">
        <f>MidMarket_GL!D65</f>
        <v>0</v>
      </c>
      <c r="G65" s="38">
        <f>MidMarket_GL!E65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'MidMarket-FLSH'!L70</f>
        <v>0</v>
      </c>
      <c r="E70" s="66">
        <f>'MidMarket-FLSH'!M70</f>
        <v>16443493.423999999</v>
      </c>
      <c r="F70" s="60">
        <f>MidMarket_GL!D70</f>
        <v>0</v>
      </c>
      <c r="G70" s="38">
        <f>MidMarket_GL!E70</f>
        <v>0</v>
      </c>
      <c r="H70" s="60">
        <f>F70-D70</f>
        <v>0</v>
      </c>
      <c r="I70" s="38">
        <f>G70-E70</f>
        <v>-16443493.423999999</v>
      </c>
    </row>
    <row r="71" spans="1:9" x14ac:dyDescent="0.25">
      <c r="A71" s="9">
        <v>31</v>
      </c>
      <c r="B71" s="3"/>
      <c r="C71" s="10" t="s">
        <v>68</v>
      </c>
      <c r="D71" s="65">
        <f>'MidMarket-FLSH'!L71</f>
        <v>0</v>
      </c>
      <c r="E71" s="66">
        <f>'MidMarket-FLSH'!M71</f>
        <v>0</v>
      </c>
      <c r="F71" s="60">
        <f>MidMarket_GL!D71</f>
        <v>0</v>
      </c>
      <c r="G71" s="38">
        <f>MidMarket_GL!E71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16443493.423999999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-16443493.423999999</v>
      </c>
    </row>
    <row r="73" spans="1:9" x14ac:dyDescent="0.25">
      <c r="A73" s="9">
        <v>32</v>
      </c>
      <c r="B73" s="3"/>
      <c r="C73" s="10" t="s">
        <v>70</v>
      </c>
      <c r="D73" s="65">
        <f>'MidMarket-FLSH'!L73</f>
        <v>0</v>
      </c>
      <c r="E73" s="66">
        <f>'MidMarket-FLSH'!M73</f>
        <v>0</v>
      </c>
      <c r="F73" s="60">
        <f>MidMarket_GL!D73</f>
        <v>0</v>
      </c>
      <c r="G73" s="38">
        <f>MidMarket_GL!E73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'MidMarket-FLSH'!L74</f>
        <v>0</v>
      </c>
      <c r="E74" s="66">
        <f>'MidMarket-FLSH'!M74</f>
        <v>-6607767.8269999996</v>
      </c>
      <c r="F74" s="60">
        <f>MidMarket_GL!D74</f>
        <v>0</v>
      </c>
      <c r="G74" s="38">
        <f>MidMarket_GL!E74</f>
        <v>0</v>
      </c>
      <c r="H74" s="60">
        <f t="shared" ref="H74:I79" si="14">F74-D74</f>
        <v>0</v>
      </c>
      <c r="I74" s="38">
        <f t="shared" si="14"/>
        <v>6607767.8269999996</v>
      </c>
    </row>
    <row r="75" spans="1:9" x14ac:dyDescent="0.25">
      <c r="A75" s="9">
        <v>34</v>
      </c>
      <c r="B75" s="3"/>
      <c r="C75" s="10" t="s">
        <v>72</v>
      </c>
      <c r="D75" s="65">
        <f>'MidMarket-FLSH'!L75</f>
        <v>0</v>
      </c>
      <c r="E75" s="66">
        <f>'MidMarket-FLSH'!M75</f>
        <v>0</v>
      </c>
      <c r="F75" s="60">
        <f>MidMarket_GL!D75</f>
        <v>0</v>
      </c>
      <c r="G75" s="38">
        <f>MidMarket_GL!E75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'MidMarket-FLSH'!L76</f>
        <v>0</v>
      </c>
      <c r="E76" s="66">
        <f>'MidMarket-FLSH'!M76</f>
        <v>0</v>
      </c>
      <c r="F76" s="60">
        <f>MidMarket_GL!D76</f>
        <v>0</v>
      </c>
      <c r="G76" s="38">
        <f>MidMarket_GL!E76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'MidMarket-FLSH'!L77</f>
        <v>0</v>
      </c>
      <c r="E77" s="66">
        <f>'MidMarket-FLSH'!M77</f>
        <v>0</v>
      </c>
      <c r="F77" s="60">
        <f>MidMarket_GL!D77</f>
        <v>0</v>
      </c>
      <c r="G77" s="38">
        <f>MidMarket_GL!E77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'MidMarket-FLSH'!L78</f>
        <v>0</v>
      </c>
      <c r="E78" s="66">
        <f>'MidMarket-FLSH'!M78</f>
        <v>0</v>
      </c>
      <c r="F78" s="60">
        <f>MidMarket_GL!D78</f>
        <v>0</v>
      </c>
      <c r="G78" s="38">
        <f>MidMarket_GL!E78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'MidMarket-FLSH'!L79</f>
        <v>0</v>
      </c>
      <c r="E79" s="66">
        <f>'MidMarket-FLSH'!M79</f>
        <v>0</v>
      </c>
      <c r="F79" s="60">
        <f>MidMarket_GL!D79</f>
        <v>0</v>
      </c>
      <c r="G79" s="38">
        <f>MidMarket_GL!E79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'MidMarket-FLSH'!L80</f>
        <v>0</v>
      </c>
      <c r="E80" s="66">
        <f>'MidMarket-FLSH'!M80</f>
        <v>0</v>
      </c>
      <c r="F80" s="60">
        <f>MidMarket_GL!D80</f>
        <v>0</v>
      </c>
      <c r="G80" s="38">
        <f>MidMarket_GL!E80</f>
        <v>-3200780</v>
      </c>
      <c r="H80" s="60">
        <f>F80-D80</f>
        <v>0</v>
      </c>
      <c r="I80" s="38">
        <f>G80-E80</f>
        <v>-3200780</v>
      </c>
    </row>
    <row r="81" spans="1:63" x14ac:dyDescent="0.25">
      <c r="A81" s="9">
        <v>40</v>
      </c>
      <c r="B81" s="3"/>
      <c r="C81" s="10" t="s">
        <v>78</v>
      </c>
      <c r="D81" s="65">
        <f>'MidMarket-FLSH'!L81</f>
        <v>0</v>
      </c>
      <c r="E81" s="66">
        <f>'MidMarket-FLSH'!M81</f>
        <v>-9289031</v>
      </c>
      <c r="F81" s="60">
        <f>MidMarket_GL!D81</f>
        <v>0</v>
      </c>
      <c r="G81" s="38">
        <f>MidMarket_GL!E81</f>
        <v>3949983.8000000003</v>
      </c>
      <c r="H81" s="60">
        <f>F81-D81</f>
        <v>0</v>
      </c>
      <c r="I81" s="38">
        <f>G81-E81</f>
        <v>13239014.800000001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688524.20027465967</v>
      </c>
      <c r="F82" s="71">
        <f>F16+F24+F29+F36+F43+F45+F47+F49</f>
        <v>0</v>
      </c>
      <c r="G82" s="72">
        <f>SUM(G72:G81)+G16+G24+G29+G36+G43+G45+G47+G49+G51+G56+G61+G66</f>
        <v>688999.83000000031</v>
      </c>
      <c r="H82" s="71">
        <f>H16+H24+H29+H36+H43+H45+H47+H49</f>
        <v>0</v>
      </c>
      <c r="I82" s="72">
        <f>SUM(I72:I81)+I16+I24+I29+I36+I43+I45+I47+I49+I51+I56+I61+I66</f>
        <v>475.62972534133587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25" right="0.25" top="0.5" bottom="0.5" header="0.5" footer="0.5"/>
  <pageSetup paperSize="5" scale="79" orientation="portrait" verticalDpi="0" r:id="rId1"/>
  <headerFooter alignWithMargins="0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E7" sqref="E7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4" width="15.44140625" style="31" customWidth="1"/>
    <col min="5" max="5" width="16.88671875" style="31" bestFit="1" customWidth="1"/>
    <col min="6" max="6" width="15.44140625" customWidth="1"/>
    <col min="7" max="7" width="17.88671875" bestFit="1" customWidth="1"/>
    <col min="8" max="8" width="15.44140625" customWidth="1"/>
    <col min="9" max="9" width="17.8867187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227">
        <f>+E11/D11</f>
        <v>4.3144457252581709</v>
      </c>
      <c r="F7" s="33"/>
      <c r="G7" s="227">
        <f>+G11/F11</f>
        <v>4.1916520314158232</v>
      </c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'EAST-EGM-FLSH'!L11</f>
        <v>153756420</v>
      </c>
      <c r="E11" s="66">
        <f>'EAST-EGM-FLSH'!M11</f>
        <v>663373729</v>
      </c>
      <c r="F11" s="60">
        <f>'EAST-EGM-GL'!D11</f>
        <v>157990573</v>
      </c>
      <c r="G11" s="38">
        <f>'EAST-EGM-GL'!E11</f>
        <v>662241506.25999987</v>
      </c>
      <c r="H11" s="60">
        <f>F11-D11</f>
        <v>4234153</v>
      </c>
      <c r="I11" s="38">
        <f>G11-E11</f>
        <v>-1132222.7400001287</v>
      </c>
    </row>
    <row r="12" spans="1:22" x14ac:dyDescent="0.25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20325826.789999999</v>
      </c>
      <c r="H12" s="60">
        <f>F12-D12</f>
        <v>0</v>
      </c>
      <c r="I12" s="38">
        <f>G12-E12</f>
        <v>20325826.789999999</v>
      </c>
    </row>
    <row r="13" spans="1:22" x14ac:dyDescent="0.25">
      <c r="A13" s="9">
        <v>3</v>
      </c>
      <c r="B13" s="7"/>
      <c r="C13" s="18" t="s">
        <v>27</v>
      </c>
      <c r="D13" s="65">
        <f>'EAST-EGM-FLSH'!L13</f>
        <v>98199788</v>
      </c>
      <c r="E13" s="66">
        <f>'EAST-EGM-FLSH'!M13</f>
        <v>425874002</v>
      </c>
      <c r="F13" s="60">
        <f>'EAST-EGM-GL'!D13</f>
        <v>98199788</v>
      </c>
      <c r="G13" s="38">
        <f>'EAST-EGM-GL'!E13</f>
        <v>425874002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30520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-30520</v>
      </c>
    </row>
    <row r="15" spans="1:22" x14ac:dyDescent="0.25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4853957.24</v>
      </c>
      <c r="H15" s="60">
        <f t="shared" si="0"/>
        <v>0</v>
      </c>
      <c r="I15" s="38">
        <f t="shared" si="0"/>
        <v>4853957.24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251956208</v>
      </c>
      <c r="E16" s="39">
        <f t="shared" si="1"/>
        <v>1089278251</v>
      </c>
      <c r="F16" s="61">
        <f t="shared" si="1"/>
        <v>256190361</v>
      </c>
      <c r="G16" s="39">
        <f t="shared" si="1"/>
        <v>1113295292.2899997</v>
      </c>
      <c r="H16" s="61">
        <f t="shared" si="1"/>
        <v>4234153</v>
      </c>
      <c r="I16" s="39">
        <f t="shared" si="1"/>
        <v>24017041.289999872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'EAST-EGM-FLSH'!L19</f>
        <v>-160335517</v>
      </c>
      <c r="E19" s="66">
        <f>'EAST-EGM-FLSH'!M19</f>
        <v>-690300032</v>
      </c>
      <c r="F19" s="60">
        <f>'EAST-EGM-GL'!D19</f>
        <v>-170771873</v>
      </c>
      <c r="G19" s="38">
        <f>'EAST-EGM-GL'!E19</f>
        <v>-719038282.99000013</v>
      </c>
      <c r="H19" s="60">
        <f>F19-D19</f>
        <v>-10436356</v>
      </c>
      <c r="I19" s="38">
        <f>G19-E19</f>
        <v>-28738250.990000129</v>
      </c>
    </row>
    <row r="20" spans="1:9" x14ac:dyDescent="0.25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-31658710.870000001</v>
      </c>
      <c r="H20" s="60">
        <f>F20-D20</f>
        <v>0</v>
      </c>
      <c r="I20" s="38">
        <f>G20-E20</f>
        <v>-31658710.870000001</v>
      </c>
    </row>
    <row r="21" spans="1:9" x14ac:dyDescent="0.25">
      <c r="A21" s="9">
        <v>8</v>
      </c>
      <c r="B21" s="7"/>
      <c r="C21" s="18" t="s">
        <v>27</v>
      </c>
      <c r="D21" s="65">
        <f>'EAST-EGM-FLSH'!L21</f>
        <v>-92207938</v>
      </c>
      <c r="E21" s="66">
        <f>'EAST-EGM-FLSH'!M21</f>
        <v>-398424782</v>
      </c>
      <c r="F21" s="60">
        <f>'EAST-EGM-GL'!D21</f>
        <v>-92207938</v>
      </c>
      <c r="G21" s="38">
        <f>'EAST-EGM-GL'!E21</f>
        <v>-398424782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'EAST-EGM-FLSH'!L23</f>
        <v>574829</v>
      </c>
      <c r="E23" s="66">
        <f>'EAST-EGM-FLSH'!M23</f>
        <v>2438737</v>
      </c>
      <c r="F23" s="60">
        <f>'EAST-EGM-GL'!D23</f>
        <v>794469</v>
      </c>
      <c r="G23" s="38">
        <f>'EAST-EGM-GL'!E23</f>
        <v>3410655.4210000006</v>
      </c>
      <c r="H23" s="60">
        <f t="shared" si="2"/>
        <v>219640</v>
      </c>
      <c r="I23" s="38">
        <f t="shared" si="2"/>
        <v>971918.42100000056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-251968626</v>
      </c>
      <c r="E24" s="39">
        <f t="shared" si="3"/>
        <v>-1086286077</v>
      </c>
      <c r="F24" s="61">
        <f t="shared" si="3"/>
        <v>-262185342</v>
      </c>
      <c r="G24" s="39">
        <f t="shared" si="3"/>
        <v>-1145711120.4390001</v>
      </c>
      <c r="H24" s="61">
        <f t="shared" si="3"/>
        <v>-10216716</v>
      </c>
      <c r="I24" s="39">
        <f t="shared" si="3"/>
        <v>-59425043.43900013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139825</v>
      </c>
      <c r="G27" s="38">
        <f>'EAST-EGM-GL'!E27</f>
        <v>578895.73</v>
      </c>
      <c r="H27" s="60">
        <f>F27-D27</f>
        <v>139825</v>
      </c>
      <c r="I27" s="38">
        <f>G27-E27</f>
        <v>578895.73</v>
      </c>
    </row>
    <row r="28" spans="1:9" x14ac:dyDescent="0.25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-89332</v>
      </c>
      <c r="G28" s="38">
        <f>'EAST-EGM-GL'!E28</f>
        <v>-369479.04</v>
      </c>
      <c r="H28" s="60">
        <f>F28-D28</f>
        <v>-89332</v>
      </c>
      <c r="I28" s="38">
        <f>G28-E28</f>
        <v>-369479.04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50493</v>
      </c>
      <c r="G29" s="70">
        <f t="shared" si="4"/>
        <v>209416.69</v>
      </c>
      <c r="H29" s="69">
        <f t="shared" si="4"/>
        <v>50493</v>
      </c>
      <c r="I29" s="70">
        <f t="shared" si="4"/>
        <v>209416.69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'EAST-EGM-FLSH'!L32</f>
        <v>-15987</v>
      </c>
      <c r="E32" s="66">
        <f>'EAST-EGM-FLSH'!M32</f>
        <v>-68946</v>
      </c>
      <c r="F32" s="60">
        <f>'EAST-EGM-GL'!D32</f>
        <v>-1193931</v>
      </c>
      <c r="G32" s="38">
        <f>'EAST-EGM-GL'!E32</f>
        <v>-5125414.9930000007</v>
      </c>
      <c r="H32" s="60">
        <f>F32-D32</f>
        <v>-1177944</v>
      </c>
      <c r="I32" s="38">
        <f>G32-E32</f>
        <v>-5056468.9930000007</v>
      </c>
    </row>
    <row r="33" spans="1:9" x14ac:dyDescent="0.25">
      <c r="A33" s="9">
        <v>14</v>
      </c>
      <c r="B33" s="7"/>
      <c r="C33" s="18" t="s">
        <v>40</v>
      </c>
      <c r="D33" s="65">
        <f>'EAST-EGM-FLSH'!L33</f>
        <v>678108</v>
      </c>
      <c r="E33" s="66">
        <f>'EAST-EGM-FLSH'!M33</f>
        <v>2882796</v>
      </c>
      <c r="F33" s="60">
        <f>'EAST-EGM-GL'!D33</f>
        <v>-377965</v>
      </c>
      <c r="G33" s="38">
        <f>'EAST-EGM-GL'!E33</f>
        <v>-1489667.72</v>
      </c>
      <c r="H33" s="60">
        <f t="shared" ref="H33:I35" si="5">F33-D33</f>
        <v>-1056073</v>
      </c>
      <c r="I33" s="38">
        <f t="shared" si="5"/>
        <v>-4372463.72</v>
      </c>
    </row>
    <row r="34" spans="1:9" x14ac:dyDescent="0.25">
      <c r="A34" s="9">
        <v>15</v>
      </c>
      <c r="B34" s="7"/>
      <c r="C34" s="18" t="s">
        <v>41</v>
      </c>
      <c r="D34" s="65">
        <f>'EAST-EGM-FLSH'!L34</f>
        <v>-624629</v>
      </c>
      <c r="E34" s="66">
        <f>'EAST-EGM-FLSH'!M34</f>
        <v>-2675858</v>
      </c>
      <c r="F34" s="60">
        <f>'EAST-EGM-GL'!D34</f>
        <v>462391</v>
      </c>
      <c r="G34" s="38">
        <f>'EAST-EGM-GL'!E34</f>
        <v>1779892.4100000001</v>
      </c>
      <c r="H34" s="60">
        <f t="shared" si="5"/>
        <v>1087020</v>
      </c>
      <c r="I34" s="38">
        <f t="shared" si="5"/>
        <v>4455750.41</v>
      </c>
    </row>
    <row r="35" spans="1:9" x14ac:dyDescent="0.25">
      <c r="A35" s="9">
        <v>16</v>
      </c>
      <c r="B35" s="7"/>
      <c r="C35" s="18" t="s">
        <v>42</v>
      </c>
      <c r="D35" s="65">
        <f>'EAST-EGM-FLSH'!L35</f>
        <v>530010</v>
      </c>
      <c r="E35" s="66">
        <f>'EAST-EGM-FLSH'!M35</f>
        <v>2113994</v>
      </c>
      <c r="F35" s="60">
        <f>'EAST-EGM-GL'!D35</f>
        <v>778347</v>
      </c>
      <c r="G35" s="38">
        <f>'EAST-EGM-GL'!E35</f>
        <v>2223440.09</v>
      </c>
      <c r="H35" s="60">
        <f t="shared" si="5"/>
        <v>248337</v>
      </c>
      <c r="I35" s="38">
        <f t="shared" si="5"/>
        <v>109446.08999999985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567502</v>
      </c>
      <c r="E36" s="39">
        <f t="shared" si="6"/>
        <v>2251986</v>
      </c>
      <c r="F36" s="61">
        <f t="shared" si="6"/>
        <v>-331158</v>
      </c>
      <c r="G36" s="39">
        <f t="shared" si="6"/>
        <v>-2611750.2130000005</v>
      </c>
      <c r="H36" s="61">
        <f t="shared" si="6"/>
        <v>-898660</v>
      </c>
      <c r="I36" s="39">
        <f t="shared" si="6"/>
        <v>-4863736.2129999995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'EAST-EGM-FLSH'!L39</f>
        <v>1423689</v>
      </c>
      <c r="E39" s="66">
        <f>'EAST-EGM-FLSH'!M39</f>
        <v>6198360</v>
      </c>
      <c r="F39" s="60">
        <f>'EAST-EGM-GL'!D39</f>
        <v>2505480</v>
      </c>
      <c r="G39" s="38">
        <f>'EAST-EGM-GL'!E39</f>
        <v>9351594.2799999993</v>
      </c>
      <c r="H39" s="60">
        <f t="shared" ref="H39:I41" si="7">F39-D39</f>
        <v>1081791</v>
      </c>
      <c r="I39" s="38">
        <f t="shared" si="7"/>
        <v>3153234.2799999993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'EAST-EGM-FLSH'!L40</f>
        <v>-1006097</v>
      </c>
      <c r="E40" s="66">
        <f>'EAST-EGM-FLSH'!M40</f>
        <v>-4370253</v>
      </c>
      <c r="F40" s="60">
        <f>'EAST-EGM-GL'!D40</f>
        <v>-1164897</v>
      </c>
      <c r="G40" s="38">
        <f>'EAST-EGM-GL'!E40</f>
        <v>-5387268.0200000005</v>
      </c>
      <c r="H40" s="60">
        <f t="shared" si="7"/>
        <v>-158800</v>
      </c>
      <c r="I40" s="38">
        <f t="shared" si="7"/>
        <v>-1017015.0200000005</v>
      </c>
    </row>
    <row r="41" spans="1:9" x14ac:dyDescent="0.25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-1006097</v>
      </c>
      <c r="E42" s="70">
        <f t="shared" si="8"/>
        <v>-4370253</v>
      </c>
      <c r="F42" s="69">
        <f t="shared" si="8"/>
        <v>-1164897</v>
      </c>
      <c r="G42" s="70">
        <f t="shared" si="8"/>
        <v>-5387268.0200000005</v>
      </c>
      <c r="H42" s="69">
        <f t="shared" si="8"/>
        <v>-158800</v>
      </c>
      <c r="I42" s="70">
        <f t="shared" si="8"/>
        <v>-1017015.0200000005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417592</v>
      </c>
      <c r="E43" s="39">
        <f t="shared" si="9"/>
        <v>1828107</v>
      </c>
      <c r="F43" s="61">
        <f t="shared" si="9"/>
        <v>1340583</v>
      </c>
      <c r="G43" s="39">
        <f t="shared" si="9"/>
        <v>3964326.2599999988</v>
      </c>
      <c r="H43" s="61">
        <f t="shared" si="9"/>
        <v>922991</v>
      </c>
      <c r="I43" s="39">
        <f t="shared" si="9"/>
        <v>2136219.2599999988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'EAST-EGM-FLSH'!L49</f>
        <v>-972676</v>
      </c>
      <c r="E49" s="66">
        <f>'EAST-EGM-FLSH'!M49</f>
        <v>-4175600.8004000005</v>
      </c>
      <c r="F49" s="60">
        <f>'EAST-EGM-GL'!D49</f>
        <v>4935228</v>
      </c>
      <c r="G49" s="38">
        <f>'EAST-EGM-GL'!E49</f>
        <v>21186933.804000001</v>
      </c>
      <c r="H49" s="60">
        <f>F49-D49</f>
        <v>5907904</v>
      </c>
      <c r="I49" s="38">
        <f>G49-E49</f>
        <v>25362534.604400001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'EAST-EGM-FLSH'!L51</f>
        <v>-574829</v>
      </c>
      <c r="E51" s="66">
        <f>'EAST-EGM-FLSH'!M51</f>
        <v>-2438737</v>
      </c>
      <c r="F51" s="60">
        <f>'EAST-EGM-GL'!D51</f>
        <v>-794469</v>
      </c>
      <c r="G51" s="38">
        <f>'EAST-EGM-GL'!E51</f>
        <v>-3410655.4210000006</v>
      </c>
      <c r="H51" s="60">
        <f>F51-D51</f>
        <v>-219640</v>
      </c>
      <c r="I51" s="38">
        <f>G51-E51</f>
        <v>-971918.42100000056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-2048301</v>
      </c>
      <c r="F54" s="60">
        <f>'EAST-EGM-GL'!D54</f>
        <v>-138037335</v>
      </c>
      <c r="G54" s="38">
        <f>'EAST-EGM-GL'!E54</f>
        <v>2199631.6199999996</v>
      </c>
      <c r="H54" s="60">
        <f>F54-D54</f>
        <v>-138037335</v>
      </c>
      <c r="I54" s="38">
        <f>G54-E54</f>
        <v>4247932.6199999992</v>
      </c>
    </row>
    <row r="55" spans="1:9" x14ac:dyDescent="0.25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-2220811.5</v>
      </c>
      <c r="F55" s="60">
        <f>'EAST-EGM-GL'!D55</f>
        <v>0</v>
      </c>
      <c r="G55" s="38">
        <f>'EAST-EGM-GL'!E55</f>
        <v>-9220428.129999999</v>
      </c>
      <c r="H55" s="60">
        <f>F55-D55</f>
        <v>0</v>
      </c>
      <c r="I55" s="38">
        <f>G55-E55</f>
        <v>-6999616.629999999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-4269112.5</v>
      </c>
      <c r="F56" s="61">
        <f t="shared" si="10"/>
        <v>-138037335</v>
      </c>
      <c r="G56" s="39">
        <f t="shared" si="10"/>
        <v>-7020796.5099999998</v>
      </c>
      <c r="H56" s="61">
        <f t="shared" si="10"/>
        <v>-138037335</v>
      </c>
      <c r="I56" s="39">
        <f t="shared" si="10"/>
        <v>-2751684.01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48847.92</v>
      </c>
      <c r="H59" s="60">
        <f>F59-D59</f>
        <v>0</v>
      </c>
      <c r="I59" s="38">
        <f>G59-E59</f>
        <v>48847.92</v>
      </c>
    </row>
    <row r="60" spans="1:9" x14ac:dyDescent="0.25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0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48847.92</v>
      </c>
      <c r="H61" s="69">
        <f t="shared" si="11"/>
        <v>0</v>
      </c>
      <c r="I61" s="70">
        <f t="shared" si="11"/>
        <v>48847.92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-5134326.6295999996</v>
      </c>
      <c r="F70" s="60">
        <f>'EAST-EGM-GL'!D70</f>
        <v>0</v>
      </c>
      <c r="G70" s="38">
        <f>'EAST-EGM-GL'!E70</f>
        <v>-5134326.63</v>
      </c>
      <c r="H70" s="60">
        <f>F70-D70</f>
        <v>0</v>
      </c>
      <c r="I70" s="38">
        <f>G70-E70</f>
        <v>-4.0000025182962418E-4</v>
      </c>
    </row>
    <row r="71" spans="1:9" x14ac:dyDescent="0.25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-14964909</v>
      </c>
      <c r="F71" s="60">
        <f>'EAST-EGM-GL'!D71</f>
        <v>0</v>
      </c>
      <c r="G71" s="38">
        <f>'EAST-EGM-GL'!E71</f>
        <v>-14964909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-20099235.6296</v>
      </c>
      <c r="F72" s="69">
        <f t="shared" si="13"/>
        <v>0</v>
      </c>
      <c r="G72" s="70">
        <f t="shared" si="13"/>
        <v>-20099235.629999999</v>
      </c>
      <c r="H72" s="69">
        <f t="shared" si="13"/>
        <v>0</v>
      </c>
      <c r="I72" s="70">
        <f t="shared" si="13"/>
        <v>-4.0000025182962418E-4</v>
      </c>
    </row>
    <row r="73" spans="1:9" x14ac:dyDescent="0.25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13849134</v>
      </c>
      <c r="F74" s="60">
        <f>'EAST-EGM-GL'!D74</f>
        <v>0</v>
      </c>
      <c r="G74" s="38">
        <f>'EAST-EGM-GL'!E74</f>
        <v>15790987.42</v>
      </c>
      <c r="H74" s="60">
        <f t="shared" ref="H74:I79" si="14">F74-D74</f>
        <v>0</v>
      </c>
      <c r="I74" s="38">
        <f t="shared" si="14"/>
        <v>1941853.42</v>
      </c>
    </row>
    <row r="75" spans="1:9" x14ac:dyDescent="0.25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210386</v>
      </c>
      <c r="F75" s="60">
        <f>'EAST-EGM-GL'!D75</f>
        <v>0</v>
      </c>
      <c r="G75" s="38">
        <f>'EAST-EGM-GL'!E75</f>
        <v>228732</v>
      </c>
      <c r="H75" s="60">
        <f t="shared" si="14"/>
        <v>0</v>
      </c>
      <c r="I75" s="38">
        <f t="shared" si="14"/>
        <v>18346</v>
      </c>
    </row>
    <row r="76" spans="1:9" x14ac:dyDescent="0.25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-867</v>
      </c>
      <c r="F76" s="60">
        <f>'EAST-EGM-GL'!D76</f>
        <v>0</v>
      </c>
      <c r="G76" s="38">
        <f>'EAST-EGM-GL'!E76</f>
        <v>-866.58</v>
      </c>
      <c r="H76" s="60">
        <f t="shared" si="14"/>
        <v>0</v>
      </c>
      <c r="I76" s="38">
        <f t="shared" si="14"/>
        <v>0.41999999999995907</v>
      </c>
    </row>
    <row r="77" spans="1:9" x14ac:dyDescent="0.25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20000</v>
      </c>
      <c r="F77" s="60">
        <f>'EAST-EGM-GL'!D77</f>
        <v>0</v>
      </c>
      <c r="G77" s="38">
        <f>'EAST-EGM-GL'!E77</f>
        <v>0</v>
      </c>
      <c r="H77" s="60">
        <f t="shared" si="14"/>
        <v>0</v>
      </c>
      <c r="I77" s="38">
        <f t="shared" si="14"/>
        <v>-20000</v>
      </c>
    </row>
    <row r="78" spans="1:9" x14ac:dyDescent="0.25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23733</v>
      </c>
      <c r="F78" s="60">
        <f>'EAST-EGM-GL'!D78</f>
        <v>0</v>
      </c>
      <c r="G78" s="38">
        <f>'EAST-EGM-GL'!E78</f>
        <v>0</v>
      </c>
      <c r="H78" s="60">
        <f t="shared" si="14"/>
        <v>0</v>
      </c>
      <c r="I78" s="38">
        <f t="shared" si="14"/>
        <v>-23733</v>
      </c>
    </row>
    <row r="79" spans="1:9" x14ac:dyDescent="0.25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-66750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66750</v>
      </c>
    </row>
    <row r="81" spans="1:63" x14ac:dyDescent="0.25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963669</v>
      </c>
      <c r="F81" s="60">
        <f>'EAST-EGM-GL'!D81</f>
        <v>0</v>
      </c>
      <c r="G81" s="38">
        <f>'EAST-EGM-GL'!E81</f>
        <v>468168.06</v>
      </c>
      <c r="H81" s="60">
        <f>F81-D81</f>
        <v>0</v>
      </c>
      <c r="I81" s="38">
        <f>G81-E81</f>
        <v>-495500.94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-8911113.9300000481</v>
      </c>
      <c r="F82" s="71">
        <f>F16+F24+F29+F36+F43+F45+F47+F49</f>
        <v>165</v>
      </c>
      <c r="G82" s="72">
        <f>SUM(G72:G81)+G16+G24+G29+G36+G43+G45+G47+G49+G51+G56+G61+G66</f>
        <v>-23661720.349000424</v>
      </c>
      <c r="H82" s="71">
        <f>H16+H24+H29+H36+H43+H45+H47+H49</f>
        <v>165</v>
      </c>
      <c r="I82" s="72">
        <f>SUM(I72:I81)+I16+I24+I29+I36+I43+I45+I47+I49+I51+I56+I61+I66</f>
        <v>-14750606.419000261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'EAST-EGM-FLSH'!L86</f>
        <v>0</v>
      </c>
      <c r="E86" s="145">
        <f>'EAST-EGM-FLSH'!M86</f>
        <v>-42632</v>
      </c>
      <c r="F86" s="145">
        <f>'EAST-EGM-GL'!D86</f>
        <v>0</v>
      </c>
      <c r="G86" s="145">
        <f>'EAST-EGM-GL'!E86</f>
        <v>-43000</v>
      </c>
      <c r="H86" s="145">
        <f t="shared" ref="H86:I88" si="15">F86-D86</f>
        <v>0</v>
      </c>
      <c r="I86" s="145">
        <f t="shared" si="15"/>
        <v>-368</v>
      </c>
    </row>
    <row r="87" spans="1:63" x14ac:dyDescent="0.25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-42632</v>
      </c>
      <c r="F89" s="160">
        <f t="shared" si="16"/>
        <v>0</v>
      </c>
      <c r="G89" s="160">
        <f t="shared" si="16"/>
        <v>-43000</v>
      </c>
      <c r="H89" s="160">
        <f t="shared" si="16"/>
        <v>0</v>
      </c>
      <c r="I89" s="160">
        <f t="shared" si="16"/>
        <v>-368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-8953745.9300000481</v>
      </c>
      <c r="F91" s="160">
        <f t="shared" si="17"/>
        <v>165</v>
      </c>
      <c r="G91" s="160">
        <f t="shared" si="17"/>
        <v>-23704720.349000424</v>
      </c>
      <c r="H91" s="160">
        <f t="shared" si="17"/>
        <v>165</v>
      </c>
      <c r="I91" s="160">
        <f t="shared" si="17"/>
        <v>-14750974.419000261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2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44" zoomScale="75" workbookViewId="0"/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217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'EAST-MKT-FLSH'!L11</f>
        <v>65293826</v>
      </c>
      <c r="E11" s="66">
        <f>'EAST-MKT-FLSH'!M11</f>
        <v>295459076</v>
      </c>
      <c r="F11" s="60">
        <f>'EAST-MKT-GL'!D11</f>
        <v>65274394</v>
      </c>
      <c r="G11" s="38">
        <f>'EAST-MKT-GL'!E11</f>
        <v>290793958.98000002</v>
      </c>
      <c r="H11" s="60">
        <f>F11-D11</f>
        <v>-19432</v>
      </c>
      <c r="I11" s="38">
        <f>G11-E11</f>
        <v>-4665117.0199999809</v>
      </c>
    </row>
    <row r="12" spans="1:22" x14ac:dyDescent="0.25">
      <c r="A12" s="9">
        <v>2</v>
      </c>
      <c r="B12" s="7"/>
      <c r="C12" s="18" t="s">
        <v>26</v>
      </c>
      <c r="D12" s="65">
        <f>'EAST-MKT-FLSH'!L12</f>
        <v>0</v>
      </c>
      <c r="E12" s="66">
        <f>'EAST-MKT-FLSH'!M12</f>
        <v>0</v>
      </c>
      <c r="F12" s="60">
        <f>'EAST-MKT-GL'!D12</f>
        <v>0</v>
      </c>
      <c r="G12" s="38">
        <f>'EAST-MKT-GL'!E12</f>
        <v>5954584.3499999996</v>
      </c>
      <c r="H12" s="60">
        <f>F12-D12</f>
        <v>0</v>
      </c>
      <c r="I12" s="38">
        <f>G12-E12</f>
        <v>5954584.3499999996</v>
      </c>
    </row>
    <row r="13" spans="1:22" x14ac:dyDescent="0.25">
      <c r="A13" s="9">
        <v>3</v>
      </c>
      <c r="B13" s="7"/>
      <c r="C13" s="18" t="s">
        <v>27</v>
      </c>
      <c r="D13" s="65">
        <f>'EAST-MKT-FLSH'!L13</f>
        <v>8679509</v>
      </c>
      <c r="E13" s="66">
        <f>'EAST-MKT-FLSH'!M13</f>
        <v>39511966</v>
      </c>
      <c r="F13" s="60">
        <f>'EAST-MKT-GL'!D13</f>
        <v>8679509</v>
      </c>
      <c r="G13" s="38">
        <f>'EAST-MKT-GL'!E13</f>
        <v>39511966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'EAST-MKT-FLSH'!L14</f>
        <v>0</v>
      </c>
      <c r="E14" s="66">
        <f>'EAST-MKT-FLSH'!M14</f>
        <v>0</v>
      </c>
      <c r="F14" s="60">
        <f>'EAST-MKT-GL'!D14</f>
        <v>0</v>
      </c>
      <c r="G14" s="38">
        <f>'EAST-MKT-GL'!E14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'EAST-MKT-FLSH'!L15</f>
        <v>0</v>
      </c>
      <c r="E15" s="66">
        <f>'EAST-MKT-FLSH'!M15</f>
        <v>0</v>
      </c>
      <c r="F15" s="60">
        <f>'EAST-MKT-GL'!D15</f>
        <v>-450000</v>
      </c>
      <c r="G15" s="38">
        <f>'EAST-MKT-GL'!E15</f>
        <v>393352.10999999993</v>
      </c>
      <c r="H15" s="60">
        <f t="shared" si="0"/>
        <v>-450000</v>
      </c>
      <c r="I15" s="38">
        <f t="shared" si="0"/>
        <v>393352.10999999993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73973335</v>
      </c>
      <c r="E16" s="39">
        <f t="shared" si="1"/>
        <v>334971042</v>
      </c>
      <c r="F16" s="61">
        <f t="shared" si="1"/>
        <v>73503903</v>
      </c>
      <c r="G16" s="39">
        <f t="shared" si="1"/>
        <v>336653861.44000006</v>
      </c>
      <c r="H16" s="61">
        <f t="shared" si="1"/>
        <v>-469432</v>
      </c>
      <c r="I16" s="39">
        <f t="shared" si="1"/>
        <v>1682819.4400000186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'EAST-MKT-FLSH'!L19</f>
        <v>-60041053</v>
      </c>
      <c r="E19" s="66">
        <f>'EAST-MKT-FLSH'!M19</f>
        <v>-271749316</v>
      </c>
      <c r="F19" s="60">
        <f>'EAST-MKT-GL'!D19</f>
        <v>-59464453</v>
      </c>
      <c r="G19" s="38">
        <f>'EAST-MKT-GL'!E19</f>
        <v>-261787815.50000003</v>
      </c>
      <c r="H19" s="60">
        <f>F19-D19</f>
        <v>576600</v>
      </c>
      <c r="I19" s="38">
        <f>G19-E19</f>
        <v>9961500.4999999702</v>
      </c>
    </row>
    <row r="20" spans="1:9" x14ac:dyDescent="0.25">
      <c r="A20" s="9">
        <v>7</v>
      </c>
      <c r="B20" s="7"/>
      <c r="C20" s="18" t="s">
        <v>26</v>
      </c>
      <c r="D20" s="65">
        <f>'EAST-MKT-FLSH'!L20</f>
        <v>0</v>
      </c>
      <c r="E20" s="66">
        <f>'EAST-MKT-FLSH'!M20</f>
        <v>0</v>
      </c>
      <c r="F20" s="60">
        <f>'EAST-MKT-GL'!D20</f>
        <v>0</v>
      </c>
      <c r="G20" s="38">
        <f>'EAST-MKT-GL'!E20</f>
        <v>-11625586.74</v>
      </c>
      <c r="H20" s="60">
        <f>F20-D20</f>
        <v>0</v>
      </c>
      <c r="I20" s="38">
        <f>G20-E20</f>
        <v>-11625586.74</v>
      </c>
    </row>
    <row r="21" spans="1:9" x14ac:dyDescent="0.25">
      <c r="A21" s="9">
        <v>8</v>
      </c>
      <c r="B21" s="7"/>
      <c r="C21" s="18" t="s">
        <v>27</v>
      </c>
      <c r="D21" s="65">
        <f>'EAST-MKT-FLSH'!L21</f>
        <v>-15310495</v>
      </c>
      <c r="E21" s="66">
        <f>'EAST-MKT-FLSH'!M21</f>
        <v>-69724975</v>
      </c>
      <c r="F21" s="60">
        <f>'EAST-MKT-GL'!D21</f>
        <v>-15310495</v>
      </c>
      <c r="G21" s="38">
        <f>'EAST-MKT-GL'!E21</f>
        <v>-69724975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'EAST-MKT-FLSH'!L22</f>
        <v>0</v>
      </c>
      <c r="E22" s="66">
        <f>'EAST-MKT-FLSH'!M22</f>
        <v>0</v>
      </c>
      <c r="F22" s="60">
        <f>'EAST-MKT-GL'!D22</f>
        <v>0</v>
      </c>
      <c r="G22" s="38">
        <f>'EAST-MKT-GL'!E22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'EAST-MKT-FLSH'!L23</f>
        <v>113651</v>
      </c>
      <c r="E23" s="66">
        <f>'EAST-MKT-FLSH'!M23</f>
        <v>503435</v>
      </c>
      <c r="F23" s="60">
        <f>'EAST-MKT-GL'!D23</f>
        <v>0</v>
      </c>
      <c r="G23" s="38">
        <f>'EAST-MKT-GL'!E23</f>
        <v>0</v>
      </c>
      <c r="H23" s="60">
        <f t="shared" si="2"/>
        <v>-113651</v>
      </c>
      <c r="I23" s="38">
        <f t="shared" si="2"/>
        <v>-503435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-75237897</v>
      </c>
      <c r="E24" s="39">
        <f t="shared" si="3"/>
        <v>-340970856</v>
      </c>
      <c r="F24" s="61">
        <f t="shared" si="3"/>
        <v>-74774948</v>
      </c>
      <c r="G24" s="39">
        <f t="shared" si="3"/>
        <v>-343138377.24000001</v>
      </c>
      <c r="H24" s="61">
        <f t="shared" si="3"/>
        <v>462949</v>
      </c>
      <c r="I24" s="39">
        <f t="shared" si="3"/>
        <v>-2167521.24000003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'EAST-MKT-FLSH'!L27</f>
        <v>0</v>
      </c>
      <c r="E27" s="66">
        <f>'EAST-MKT-FLSH'!M27</f>
        <v>0</v>
      </c>
      <c r="F27" s="60">
        <f>'EAST-MKT-GL'!D27</f>
        <v>0</v>
      </c>
      <c r="G27" s="38">
        <f>'EAST-MKT-GL'!E27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'EAST-MKT-FLSH'!L28</f>
        <v>0</v>
      </c>
      <c r="E28" s="66">
        <f>'EAST-MKT-FLSH'!M28</f>
        <v>0</v>
      </c>
      <c r="F28" s="60">
        <f>'EAST-MKT-GL'!D28</f>
        <v>0</v>
      </c>
      <c r="G28" s="38">
        <f>'EAST-MKT-GL'!E28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'EAST-MKT-FLSH'!L32</f>
        <v>62465</v>
      </c>
      <c r="E32" s="66">
        <f>'EAST-MKT-FLSH'!M32</f>
        <v>282829</v>
      </c>
      <c r="F32" s="60">
        <f>'EAST-MKT-GL'!D32</f>
        <v>1404467</v>
      </c>
      <c r="G32" s="38">
        <f>'EAST-MKT-GL'!E32</f>
        <v>6334146</v>
      </c>
      <c r="H32" s="60">
        <f>F32-D32</f>
        <v>1342002</v>
      </c>
      <c r="I32" s="38">
        <f>G32-E32</f>
        <v>6051317</v>
      </c>
    </row>
    <row r="33" spans="1:9" x14ac:dyDescent="0.25">
      <c r="A33" s="9">
        <v>14</v>
      </c>
      <c r="B33" s="7"/>
      <c r="C33" s="18" t="s">
        <v>40</v>
      </c>
      <c r="D33" s="65">
        <f>'EAST-MKT-FLSH'!L33</f>
        <v>208</v>
      </c>
      <c r="E33" s="66">
        <f>'EAST-MKT-FLSH'!M33</f>
        <v>0</v>
      </c>
      <c r="F33" s="60">
        <f>'EAST-MKT-GL'!D33</f>
        <v>0</v>
      </c>
      <c r="G33" s="38">
        <f>'EAST-MKT-GL'!E33</f>
        <v>0</v>
      </c>
      <c r="H33" s="60">
        <f t="shared" ref="H33:I35" si="5">F33-D33</f>
        <v>-208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'EAST-MKT-FLSH'!L34</f>
        <v>0</v>
      </c>
      <c r="E34" s="66">
        <f>'EAST-MKT-FLSH'!M34</f>
        <v>0</v>
      </c>
      <c r="F34" s="60">
        <f>'EAST-MKT-GL'!D34</f>
        <v>0</v>
      </c>
      <c r="G34" s="38">
        <f>'EAST-MKT-GL'!E34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'EAST-MKT-FLSH'!L35</f>
        <v>248589</v>
      </c>
      <c r="E35" s="66">
        <f>'EAST-MKT-FLSH'!M35</f>
        <v>1404828</v>
      </c>
      <c r="F35" s="60">
        <f>'EAST-MKT-GL'!D35</f>
        <v>0</v>
      </c>
      <c r="G35" s="38">
        <f>'EAST-MKT-GL'!E35</f>
        <v>1408174.91</v>
      </c>
      <c r="H35" s="60">
        <f t="shared" si="5"/>
        <v>-248589</v>
      </c>
      <c r="I35" s="38">
        <f t="shared" si="5"/>
        <v>3346.9099999999162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311262</v>
      </c>
      <c r="E36" s="39">
        <f t="shared" si="6"/>
        <v>1687657</v>
      </c>
      <c r="F36" s="61">
        <f t="shared" si="6"/>
        <v>1404467</v>
      </c>
      <c r="G36" s="39">
        <f t="shared" si="6"/>
        <v>7742320.9100000001</v>
      </c>
      <c r="H36" s="61">
        <f t="shared" si="6"/>
        <v>1093205</v>
      </c>
      <c r="I36" s="39">
        <f t="shared" si="6"/>
        <v>6054663.9100000001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'EAST-MKT-FLSH'!L39</f>
        <v>1058782</v>
      </c>
      <c r="E39" s="66">
        <f>'EAST-MKT-FLSH'!M39</f>
        <v>220712</v>
      </c>
      <c r="F39" s="60">
        <f>'EAST-MKT-GL'!D39</f>
        <v>0</v>
      </c>
      <c r="G39" s="38">
        <f>'EAST-MKT-GL'!E39</f>
        <v>0</v>
      </c>
      <c r="H39" s="60">
        <f t="shared" ref="H39:I41" si="7">F39-D39</f>
        <v>-1058782</v>
      </c>
      <c r="I39" s="38">
        <f t="shared" si="7"/>
        <v>-220712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'EAST-MKT-FLSH'!L40</f>
        <v>-1000000</v>
      </c>
      <c r="E40" s="66">
        <f>'EAST-MKT-FLSH'!M40</f>
        <v>-10</v>
      </c>
      <c r="F40" s="60">
        <f>'EAST-MKT-GL'!D40</f>
        <v>0</v>
      </c>
      <c r="G40" s="38">
        <f>'EAST-MKT-GL'!E40</f>
        <v>0</v>
      </c>
      <c r="H40" s="60">
        <f t="shared" si="7"/>
        <v>1000000</v>
      </c>
      <c r="I40" s="38">
        <f t="shared" si="7"/>
        <v>10</v>
      </c>
    </row>
    <row r="41" spans="1:9" x14ac:dyDescent="0.25">
      <c r="A41" s="9">
        <v>19</v>
      </c>
      <c r="B41" s="7"/>
      <c r="C41" s="18" t="s">
        <v>47</v>
      </c>
      <c r="D41" s="65">
        <f>'EAST-MKT-FLSH'!L41</f>
        <v>0</v>
      </c>
      <c r="E41" s="66">
        <f>'EAST-MKT-FLSH'!M41</f>
        <v>0</v>
      </c>
      <c r="F41" s="60">
        <f>'EAST-MKT-GL'!D41</f>
        <v>0</v>
      </c>
      <c r="G41" s="38">
        <f>'EAST-MKT-GL'!E41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-1000000</v>
      </c>
      <c r="E42" s="70">
        <f t="shared" si="8"/>
        <v>-10</v>
      </c>
      <c r="F42" s="69">
        <f t="shared" si="8"/>
        <v>0</v>
      </c>
      <c r="G42" s="70">
        <f t="shared" si="8"/>
        <v>0</v>
      </c>
      <c r="H42" s="69">
        <f t="shared" si="8"/>
        <v>1000000</v>
      </c>
      <c r="I42" s="70">
        <f t="shared" si="8"/>
        <v>10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58782</v>
      </c>
      <c r="E43" s="39">
        <f t="shared" si="9"/>
        <v>220702</v>
      </c>
      <c r="F43" s="61">
        <f t="shared" si="9"/>
        <v>0</v>
      </c>
      <c r="G43" s="39">
        <f t="shared" si="9"/>
        <v>0</v>
      </c>
      <c r="H43" s="61">
        <f t="shared" si="9"/>
        <v>-58782</v>
      </c>
      <c r="I43" s="39">
        <f t="shared" si="9"/>
        <v>-220702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'EAST-MKT-FLSH'!L45</f>
        <v>0</v>
      </c>
      <c r="E45" s="66">
        <f>'EAST-MKT-FLSH'!M45</f>
        <v>0</v>
      </c>
      <c r="F45" s="60">
        <f>'EAST-MKT-GL'!D45</f>
        <v>0</v>
      </c>
      <c r="G45" s="38">
        <f>'EAST-MKT-GL'!E45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'EAST-MKT-FLSH'!L47</f>
        <v>0</v>
      </c>
      <c r="E47" s="66">
        <f>'EAST-MKT-FLSH'!M47</f>
        <v>0</v>
      </c>
      <c r="F47" s="60">
        <f>'EAST-MKT-GL'!D47</f>
        <v>0</v>
      </c>
      <c r="G47" s="38">
        <f>'EAST-MKT-GL'!E47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'EAST-MKT-FLSH'!L49</f>
        <v>894518</v>
      </c>
      <c r="E49" s="66">
        <f>'EAST-MKT-FLSH'!M49</f>
        <v>4034276.18</v>
      </c>
      <c r="F49" s="60">
        <f>'EAST-MKT-GL'!D49</f>
        <v>-133422</v>
      </c>
      <c r="G49" s="38">
        <f>'EAST-MKT-GL'!E49</f>
        <v>-601733.22000000067</v>
      </c>
      <c r="H49" s="60">
        <f>F49-D49</f>
        <v>-1027940</v>
      </c>
      <c r="I49" s="38">
        <f>G49-E49</f>
        <v>-4636009.4000000004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'EAST-MKT-FLSH'!L51</f>
        <v>-113651</v>
      </c>
      <c r="E51" s="66">
        <f>'EAST-MKT-FLSH'!M51</f>
        <v>-503435</v>
      </c>
      <c r="F51" s="60">
        <f>'EAST-MKT-GL'!D51</f>
        <v>0</v>
      </c>
      <c r="G51" s="38">
        <f>'EAST-MKT-GL'!E51</f>
        <v>0</v>
      </c>
      <c r="H51" s="60">
        <f>F51-D51</f>
        <v>113651</v>
      </c>
      <c r="I51" s="38">
        <f>G51-E51</f>
        <v>503435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'EAST-MKT-FLSH'!L54</f>
        <v>0</v>
      </c>
      <c r="E54" s="66">
        <f>'EAST-MKT-FLSH'!M54</f>
        <v>-341659</v>
      </c>
      <c r="F54" s="60">
        <f>'EAST-MKT-GL'!D54</f>
        <v>-9092424</v>
      </c>
      <c r="G54" s="38">
        <f>'EAST-MKT-GL'!E54</f>
        <v>1060535.17</v>
      </c>
      <c r="H54" s="60">
        <f>F54-D54</f>
        <v>-9092424</v>
      </c>
      <c r="I54" s="38">
        <f>G54-E54</f>
        <v>1402194.17</v>
      </c>
    </row>
    <row r="55" spans="1:9" x14ac:dyDescent="0.25">
      <c r="A55" s="9">
        <v>25</v>
      </c>
      <c r="B55" s="7"/>
      <c r="C55" s="18" t="s">
        <v>56</v>
      </c>
      <c r="D55" s="65">
        <f>'EAST-MKT-FLSH'!L55</f>
        <v>0</v>
      </c>
      <c r="E55" s="66">
        <f>'EAST-MKT-FLSH'!M55</f>
        <v>-320894.12</v>
      </c>
      <c r="F55" s="60">
        <f>'EAST-MKT-GL'!D55</f>
        <v>0</v>
      </c>
      <c r="G55" s="38">
        <f>'EAST-MKT-GL'!E55</f>
        <v>-3479497.4699999997</v>
      </c>
      <c r="H55" s="60">
        <f>F55-D55</f>
        <v>0</v>
      </c>
      <c r="I55" s="38">
        <f>G55-E55</f>
        <v>-3158603.3499999996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-662553.12</v>
      </c>
      <c r="F56" s="61">
        <f t="shared" si="10"/>
        <v>-9092424</v>
      </c>
      <c r="G56" s="39">
        <f t="shared" si="10"/>
        <v>-2418962.2999999998</v>
      </c>
      <c r="H56" s="61">
        <f t="shared" si="10"/>
        <v>-9092424</v>
      </c>
      <c r="I56" s="39">
        <f t="shared" si="10"/>
        <v>-1756409.1799999997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'EAST-MKT-FLSH'!L59</f>
        <v>0</v>
      </c>
      <c r="E59" s="66">
        <f>'EAST-MKT-FLSH'!M59</f>
        <v>0</v>
      </c>
      <c r="F59" s="60">
        <f>'EAST-MKT-GL'!D59</f>
        <v>0</v>
      </c>
      <c r="G59" s="38">
        <f>'EAST-MKT-GL'!E59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'EAST-MKT-FLSH'!L60</f>
        <v>0</v>
      </c>
      <c r="E60" s="66">
        <f>'EAST-MKT-FLSH'!M60</f>
        <v>0</v>
      </c>
      <c r="F60" s="60">
        <f>'EAST-MKT-GL'!D60</f>
        <v>0</v>
      </c>
      <c r="G60" s="38">
        <f>'EAST-MKT-GL'!E60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'EAST-MKT-FLSH'!L64</f>
        <v>0</v>
      </c>
      <c r="E64" s="66">
        <f>'EAST-MKT-FLSH'!M64</f>
        <v>0</v>
      </c>
      <c r="F64" s="60">
        <f>'EAST-MKT-GL'!D64</f>
        <v>0</v>
      </c>
      <c r="G64" s="38">
        <f>'EAST-MKT-GL'!E64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'EAST-MKT-FLSH'!L65</f>
        <v>0</v>
      </c>
      <c r="E65" s="66">
        <f>'EAST-MKT-FLSH'!M65</f>
        <v>0</v>
      </c>
      <c r="F65" s="60">
        <f>'EAST-MKT-GL'!D65</f>
        <v>0</v>
      </c>
      <c r="G65" s="38">
        <f>'EAST-MKT-GL'!E65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'EAST-MKT-FLSH'!L70</f>
        <v>0</v>
      </c>
      <c r="E70" s="66">
        <f>'EAST-MKT-FLSH'!M70</f>
        <v>1198403.767599999</v>
      </c>
      <c r="F70" s="60">
        <f>'EAST-MKT-GL'!D70</f>
        <v>0</v>
      </c>
      <c r="G70" s="38">
        <f>'EAST-MKT-GL'!E70</f>
        <v>1198403.77</v>
      </c>
      <c r="H70" s="60">
        <f>F70-D70</f>
        <v>0</v>
      </c>
      <c r="I70" s="38">
        <f>G70-E70</f>
        <v>2.4000010453164577E-3</v>
      </c>
    </row>
    <row r="71" spans="1:9" x14ac:dyDescent="0.25">
      <c r="A71" s="9">
        <v>31</v>
      </c>
      <c r="B71" s="3"/>
      <c r="C71" s="10" t="s">
        <v>68</v>
      </c>
      <c r="D71" s="65">
        <f>'EAST-MKT-FLSH'!L71</f>
        <v>0</v>
      </c>
      <c r="E71" s="66">
        <f>'EAST-MKT-FLSH'!M71</f>
        <v>-6919988</v>
      </c>
      <c r="F71" s="60">
        <f>'EAST-MKT-GL'!D71</f>
        <v>0</v>
      </c>
      <c r="G71" s="38">
        <f>'EAST-MKT-GL'!E71</f>
        <v>-6919990</v>
      </c>
      <c r="H71" s="60">
        <f>F71-D71</f>
        <v>0</v>
      </c>
      <c r="I71" s="38">
        <f>G71-E71</f>
        <v>-2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-5721584.232400001</v>
      </c>
      <c r="F72" s="69">
        <f t="shared" si="13"/>
        <v>0</v>
      </c>
      <c r="G72" s="70">
        <f t="shared" si="13"/>
        <v>-5721586.2300000004</v>
      </c>
      <c r="H72" s="69">
        <f t="shared" si="13"/>
        <v>0</v>
      </c>
      <c r="I72" s="70">
        <f t="shared" si="13"/>
        <v>-1.9975999989546835</v>
      </c>
    </row>
    <row r="73" spans="1:9" x14ac:dyDescent="0.25">
      <c r="A73" s="9">
        <v>32</v>
      </c>
      <c r="B73" s="3"/>
      <c r="C73" s="10" t="s">
        <v>70</v>
      </c>
      <c r="D73" s="65">
        <f>'EAST-MKT-FLSH'!L73</f>
        <v>0</v>
      </c>
      <c r="E73" s="66">
        <f>'EAST-MKT-FLSH'!M73</f>
        <v>0</v>
      </c>
      <c r="F73" s="60">
        <f>'EAST-MKT-GL'!D73</f>
        <v>0</v>
      </c>
      <c r="G73" s="38">
        <f>'EAST-MKT-GL'!E73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'EAST-MKT-FLSH'!L74</f>
        <v>0</v>
      </c>
      <c r="E74" s="66">
        <f>'EAST-MKT-FLSH'!M74</f>
        <v>6805714</v>
      </c>
      <c r="F74" s="60">
        <f>'EAST-MKT-GL'!D74</f>
        <v>0</v>
      </c>
      <c r="G74" s="38">
        <f>'EAST-MKT-GL'!E74</f>
        <v>6991821.2100000009</v>
      </c>
      <c r="H74" s="60">
        <f t="shared" ref="H74:I79" si="14">F74-D74</f>
        <v>0</v>
      </c>
      <c r="I74" s="38">
        <f t="shared" si="14"/>
        <v>186107.21000000089</v>
      </c>
    </row>
    <row r="75" spans="1:9" x14ac:dyDescent="0.25">
      <c r="A75" s="9">
        <v>34</v>
      </c>
      <c r="B75" s="3"/>
      <c r="C75" s="10" t="s">
        <v>72</v>
      </c>
      <c r="D75" s="65">
        <f>'EAST-MKT-FLSH'!L75</f>
        <v>0</v>
      </c>
      <c r="E75" s="66">
        <f>'EAST-MKT-FLSH'!M75</f>
        <v>18346.419999999998</v>
      </c>
      <c r="F75" s="60">
        <f>'EAST-MKT-GL'!D75</f>
        <v>0</v>
      </c>
      <c r="G75" s="38">
        <f>'EAST-MKT-GL'!E75</f>
        <v>0</v>
      </c>
      <c r="H75" s="60">
        <f t="shared" si="14"/>
        <v>0</v>
      </c>
      <c r="I75" s="38">
        <f t="shared" si="14"/>
        <v>-18346.419999999998</v>
      </c>
    </row>
    <row r="76" spans="1:9" x14ac:dyDescent="0.25">
      <c r="A76" s="9">
        <v>35</v>
      </c>
      <c r="B76" s="3"/>
      <c r="C76" s="10" t="s">
        <v>73</v>
      </c>
      <c r="D76" s="65">
        <f>'EAST-MKT-FLSH'!L76</f>
        <v>0</v>
      </c>
      <c r="E76" s="66">
        <f>'EAST-MKT-FLSH'!M76</f>
        <v>-504</v>
      </c>
      <c r="F76" s="60">
        <f>'EAST-MKT-GL'!D76</f>
        <v>0</v>
      </c>
      <c r="G76" s="38">
        <f>'EAST-MKT-GL'!E76</f>
        <v>0</v>
      </c>
      <c r="H76" s="60">
        <f t="shared" si="14"/>
        <v>0</v>
      </c>
      <c r="I76" s="38">
        <f t="shared" si="14"/>
        <v>504</v>
      </c>
    </row>
    <row r="77" spans="1:9" x14ac:dyDescent="0.25">
      <c r="A77" s="9">
        <v>36</v>
      </c>
      <c r="B77" s="3"/>
      <c r="C77" s="10" t="s">
        <v>74</v>
      </c>
      <c r="D77" s="65">
        <f>'EAST-MKT-FLSH'!L77</f>
        <v>0</v>
      </c>
      <c r="E77" s="66">
        <f>'EAST-MKT-FLSH'!M77</f>
        <v>0</v>
      </c>
      <c r="F77" s="60">
        <f>'EAST-MKT-GL'!D77</f>
        <v>0</v>
      </c>
      <c r="G77" s="38">
        <f>'EAST-MKT-GL'!E77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'EAST-MKT-FLSH'!L78</f>
        <v>0</v>
      </c>
      <c r="E78" s="66">
        <f>'EAST-MKT-FLSH'!M78</f>
        <v>0</v>
      </c>
      <c r="F78" s="60">
        <f>'EAST-MKT-GL'!D78</f>
        <v>0</v>
      </c>
      <c r="G78" s="38">
        <f>'EAST-MKT-GL'!E78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'EAST-MKT-FLSH'!L79</f>
        <v>0</v>
      </c>
      <c r="E79" s="66">
        <f>'EAST-MKT-FLSH'!M79</f>
        <v>0</v>
      </c>
      <c r="F79" s="60">
        <f>'EAST-MKT-GL'!D79</f>
        <v>0</v>
      </c>
      <c r="G79" s="38">
        <f>'EAST-MKT-GL'!E79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'EAST-MKT-FLSH'!L80</f>
        <v>0</v>
      </c>
      <c r="E80" s="66">
        <f>'EAST-MKT-FLSH'!M80</f>
        <v>0</v>
      </c>
      <c r="F80" s="60">
        <f>'EAST-MKT-GL'!D80</f>
        <v>0</v>
      </c>
      <c r="G80" s="38">
        <f>'EAST-MKT-GL'!E80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'EAST-MKT-FLSH'!L81</f>
        <v>0</v>
      </c>
      <c r="E81" s="66">
        <f>'EAST-MKT-FLSH'!M81</f>
        <v>-38551</v>
      </c>
      <c r="F81" s="60">
        <f>'EAST-MKT-GL'!D81</f>
        <v>0</v>
      </c>
      <c r="G81" s="38">
        <f>'EAST-MKT-GL'!E81</f>
        <v>0</v>
      </c>
      <c r="H81" s="60">
        <f>F81-D81</f>
        <v>0</v>
      </c>
      <c r="I81" s="38">
        <f>G81-E81</f>
        <v>38551</v>
      </c>
    </row>
    <row r="82" spans="1:63" s="12" customFormat="1" ht="20.25" customHeight="1" thickBot="1" x14ac:dyDescent="0.35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-159745.75239998323</v>
      </c>
      <c r="F82" s="71">
        <f>F16+F24+F29+F36+F43+F45+F47+F49</f>
        <v>0</v>
      </c>
      <c r="G82" s="72">
        <f>SUM(G72:G81)+G16+G24+G29+G36+G43+G45+G47+G49+G51+G56+G61+G66</f>
        <v>-492655.42999993358</v>
      </c>
      <c r="H82" s="71">
        <f>H16+H24+H29+H36+H43+H45+H47+H49</f>
        <v>0</v>
      </c>
      <c r="I82" s="72">
        <f>SUM(I72:I81)+I16+I24+I29+I36+I43+I45+I47+I49+I51+I56+I61+I66</f>
        <v>-332909.67760000937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75" right="0.75" top="1" bottom="1" header="0.5" footer="0.5"/>
  <pageSetup paperSize="5" scale="70" orientation="portrait" verticalDpi="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'EAST-LRC-FLSH'!L11</f>
        <v>0</v>
      </c>
      <c r="E11" s="66">
        <f>'EAST-LRC-FLSH'!M11</f>
        <v>0</v>
      </c>
      <c r="F11" s="60">
        <f>'EAST-LRC-GL'!D11</f>
        <v>0</v>
      </c>
      <c r="G11" s="38">
        <f>'EAST-LRC-GL'!E11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-33856.559999999998</v>
      </c>
      <c r="H12" s="60">
        <f>F12-D12</f>
        <v>0</v>
      </c>
      <c r="I12" s="38">
        <f>G12-E12</f>
        <v>-33856.559999999998</v>
      </c>
    </row>
    <row r="13" spans="1:22" x14ac:dyDescent="0.25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-33856.559999999998</v>
      </c>
      <c r="H16" s="61">
        <f t="shared" si="1"/>
        <v>0</v>
      </c>
      <c r="I16" s="39">
        <f t="shared" si="1"/>
        <v>-33856.559999999998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'EAST-LRC-FLSH'!L19</f>
        <v>0</v>
      </c>
      <c r="E19" s="66">
        <f>'EAST-LRC-FLSH'!M19</f>
        <v>0</v>
      </c>
      <c r="F19" s="60">
        <f>'EAST-LRC-GL'!D19</f>
        <v>0</v>
      </c>
      <c r="G19" s="38">
        <f>'EAST-LRC-GL'!E19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0</v>
      </c>
      <c r="G23" s="38">
        <f>'EAST-LRC-GL'!E23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0</v>
      </c>
      <c r="G27" s="38">
        <f>'EAST-LRC-GL'!E27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0</v>
      </c>
      <c r="G28" s="38">
        <f>'EAST-LRC-GL'!E28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0</v>
      </c>
      <c r="G32" s="38">
        <f>'EAST-LRC-GL'!E32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'EAST-LRC-FLSH'!L39</f>
        <v>0</v>
      </c>
      <c r="E39" s="66">
        <f>'EAST-LRC-FLSH'!M39</f>
        <v>0</v>
      </c>
      <c r="F39" s="60">
        <f>'EAST-LRC-GL'!D39</f>
        <v>0</v>
      </c>
      <c r="G39" s="38">
        <f>'EAST-LRC-GL'!E39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'EAST-LRC-FLSH'!L40</f>
        <v>0</v>
      </c>
      <c r="E40" s="66">
        <f>'EAST-LRC-FLSH'!M40</f>
        <v>0</v>
      </c>
      <c r="F40" s="60">
        <f>'EAST-LRC-GL'!D40</f>
        <v>0</v>
      </c>
      <c r="G40" s="38">
        <f>'EAST-LRC-GL'!E40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0</v>
      </c>
      <c r="G45" s="38">
        <f>'EAST-LRC-GL'!E45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'EAST-LRC-FLSH'!L49</f>
        <v>0</v>
      </c>
      <c r="E49" s="66">
        <f>'EAST-LRC-FLSH'!M49</f>
        <v>0</v>
      </c>
      <c r="F49" s="60">
        <f>'EAST-LRC-GL'!D49</f>
        <v>0</v>
      </c>
      <c r="G49" s="38">
        <f>'EAST-LRC-GL'!E49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0</v>
      </c>
      <c r="G51" s="38">
        <f>'EAST-LRC-GL'!E51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0</v>
      </c>
      <c r="G54" s="38">
        <f>'EAST-LRC-GL'!E54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0</v>
      </c>
      <c r="G59" s="38">
        <f>'EAST-LRC-GL'!E59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0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0</v>
      </c>
      <c r="G64" s="38">
        <f>'EAST-LRC-GL'!E64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0</v>
      </c>
      <c r="G65" s="38">
        <f>'EAST-LRC-GL'!E65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5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0</v>
      </c>
      <c r="F82" s="71">
        <f>F16+F24+F29+F36+F43+F45+F47+F49</f>
        <v>0</v>
      </c>
      <c r="G82" s="72">
        <f>SUM(G72:G81)+G16+G24+G29+G36+G43+G45+G47+G49+G51+G56+G61+G66</f>
        <v>-33856.559999999998</v>
      </c>
      <c r="H82" s="71">
        <f>H16+H24+H29+H36+H43+H45+H47+H49</f>
        <v>0</v>
      </c>
      <c r="I82" s="72">
        <f>SUM(I72:I81)+I16+I24+I29+I36+I43+I45+I47+I49+I51+I56+I61+I66</f>
        <v>-33856.559999999998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31" activePane="bottomRight" state="frozen"/>
      <selection pane="topRight"/>
      <selection pane="bottomLeft"/>
      <selection pane="bottomRight" activeCell="F35" sqref="F35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'EAST-CON-FLSH'!L11</f>
        <v>153756420</v>
      </c>
      <c r="E11" s="66">
        <f>'EAST-CON-FLSH'!M11</f>
        <v>663373729</v>
      </c>
      <c r="F11" s="60">
        <f>'EAST-CON-GL '!D11</f>
        <v>157990573</v>
      </c>
      <c r="G11" s="38">
        <f>'EAST-CON-GL '!E11</f>
        <v>662241506.25999987</v>
      </c>
      <c r="H11" s="60">
        <f>F11-D11</f>
        <v>4234153</v>
      </c>
      <c r="I11" s="38">
        <f>G11-E11</f>
        <v>-1132222.7400001287</v>
      </c>
    </row>
    <row r="12" spans="1:22" x14ac:dyDescent="0.25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20291970.23</v>
      </c>
      <c r="H12" s="60">
        <f>F12-D12</f>
        <v>0</v>
      </c>
      <c r="I12" s="38">
        <f>G12-E12</f>
        <v>20291970.23</v>
      </c>
    </row>
    <row r="13" spans="1:22" x14ac:dyDescent="0.25">
      <c r="A13" s="9">
        <v>3</v>
      </c>
      <c r="B13" s="7"/>
      <c r="C13" s="18" t="s">
        <v>27</v>
      </c>
      <c r="D13" s="65">
        <f>'EAST-CON-FLSH'!L13</f>
        <v>98199788</v>
      </c>
      <c r="E13" s="66">
        <f>'EAST-CON-FLSH'!M13</f>
        <v>425874002</v>
      </c>
      <c r="F13" s="60">
        <f>'EAST-CON-GL '!D13</f>
        <v>98199788</v>
      </c>
      <c r="G13" s="38">
        <f>'EAST-CON-GL '!E13</f>
        <v>425874002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30520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-30520</v>
      </c>
    </row>
    <row r="15" spans="1:22" x14ac:dyDescent="0.25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4853957.24</v>
      </c>
      <c r="H15" s="60">
        <f t="shared" si="0"/>
        <v>0</v>
      </c>
      <c r="I15" s="38">
        <f t="shared" si="0"/>
        <v>4853957.24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251956208</v>
      </c>
      <c r="E16" s="39">
        <f t="shared" si="1"/>
        <v>1089278251</v>
      </c>
      <c r="F16" s="61">
        <f t="shared" si="1"/>
        <v>256190361</v>
      </c>
      <c r="G16" s="39">
        <f t="shared" si="1"/>
        <v>1113261435.7299998</v>
      </c>
      <c r="H16" s="61">
        <f t="shared" si="1"/>
        <v>4234153</v>
      </c>
      <c r="I16" s="39">
        <f t="shared" si="1"/>
        <v>23983184.72999987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'EAST-CON-FLSH'!L19</f>
        <v>-160335517</v>
      </c>
      <c r="E19" s="66">
        <f>'EAST-CON-FLSH'!M19</f>
        <v>-690300032</v>
      </c>
      <c r="F19" s="60">
        <f>'EAST-CON-GL '!D19</f>
        <v>-170771873</v>
      </c>
      <c r="G19" s="38">
        <f>'EAST-CON-GL '!E19</f>
        <v>-719038282.99000013</v>
      </c>
      <c r="H19" s="60">
        <f>F19-D19</f>
        <v>-10436356</v>
      </c>
      <c r="I19" s="38">
        <f>G19-E19</f>
        <v>-28738250.990000129</v>
      </c>
    </row>
    <row r="20" spans="1:9" x14ac:dyDescent="0.25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-31658710.870000001</v>
      </c>
      <c r="H20" s="60">
        <f>F20-D20</f>
        <v>0</v>
      </c>
      <c r="I20" s="38">
        <f>G20-E20</f>
        <v>-31658710.870000001</v>
      </c>
    </row>
    <row r="21" spans="1:9" x14ac:dyDescent="0.25">
      <c r="A21" s="9">
        <v>8</v>
      </c>
      <c r="B21" s="7"/>
      <c r="C21" s="18" t="s">
        <v>27</v>
      </c>
      <c r="D21" s="65">
        <f>'EAST-CON-FLSH'!L21</f>
        <v>-92207938</v>
      </c>
      <c r="E21" s="66">
        <f>'EAST-CON-FLSH'!M21</f>
        <v>-398424782</v>
      </c>
      <c r="F21" s="60">
        <f>'EAST-CON-GL '!D21</f>
        <v>-92207938</v>
      </c>
      <c r="G21" s="38">
        <f>'EAST-CON-GL '!E21</f>
        <v>-398424782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'EAST-CON-FLSH'!L23</f>
        <v>574829</v>
      </c>
      <c r="E23" s="66">
        <f>'EAST-CON-FLSH'!M23</f>
        <v>2438737</v>
      </c>
      <c r="F23" s="60">
        <f>'EAST-CON-GL '!D23</f>
        <v>794469</v>
      </c>
      <c r="G23" s="38">
        <f>'EAST-CON-GL '!E23</f>
        <v>3410655.4210000006</v>
      </c>
      <c r="H23" s="60">
        <f t="shared" si="2"/>
        <v>219640</v>
      </c>
      <c r="I23" s="38">
        <f t="shared" si="2"/>
        <v>971918.42100000056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-251968626</v>
      </c>
      <c r="E24" s="39">
        <f t="shared" si="3"/>
        <v>-1086286077</v>
      </c>
      <c r="F24" s="61">
        <f t="shared" si="3"/>
        <v>-262185342</v>
      </c>
      <c r="G24" s="39">
        <f t="shared" si="3"/>
        <v>-1145711120.4390001</v>
      </c>
      <c r="H24" s="61">
        <f t="shared" si="3"/>
        <v>-10216716</v>
      </c>
      <c r="I24" s="39">
        <f t="shared" si="3"/>
        <v>-59425043.43900013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139825</v>
      </c>
      <c r="G27" s="38">
        <f>'EAST-CON-GL '!E27</f>
        <v>578895.73</v>
      </c>
      <c r="H27" s="60">
        <f>F27-D27</f>
        <v>139825</v>
      </c>
      <c r="I27" s="38">
        <f>G27-E27</f>
        <v>578895.73</v>
      </c>
    </row>
    <row r="28" spans="1:9" x14ac:dyDescent="0.25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-89332</v>
      </c>
      <c r="G28" s="38">
        <f>'EAST-CON-GL '!E28</f>
        <v>-369479.04</v>
      </c>
      <c r="H28" s="60">
        <f>F28-D28</f>
        <v>-89332</v>
      </c>
      <c r="I28" s="38">
        <f>G28-E28</f>
        <v>-369479.04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50493</v>
      </c>
      <c r="G29" s="70">
        <f t="shared" si="4"/>
        <v>209416.69</v>
      </c>
      <c r="H29" s="69">
        <f t="shared" si="4"/>
        <v>50493</v>
      </c>
      <c r="I29" s="70">
        <f t="shared" si="4"/>
        <v>209416.69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'EAST-CON-FLSH'!L32</f>
        <v>-15987</v>
      </c>
      <c r="E32" s="66">
        <f>'EAST-CON-FLSH'!M32</f>
        <v>-68946</v>
      </c>
      <c r="F32" s="60">
        <f>'EAST-CON-GL '!D32</f>
        <v>-1193931</v>
      </c>
      <c r="G32" s="38">
        <f>'EAST-CON-GL '!E32</f>
        <v>-5125414.9930000007</v>
      </c>
      <c r="H32" s="60">
        <f>F32-D32</f>
        <v>-1177944</v>
      </c>
      <c r="I32" s="38">
        <f>G32-E32</f>
        <v>-5056468.9930000007</v>
      </c>
    </row>
    <row r="33" spans="1:9" x14ac:dyDescent="0.25">
      <c r="A33" s="9">
        <v>14</v>
      </c>
      <c r="B33" s="7"/>
      <c r="C33" s="18" t="s">
        <v>40</v>
      </c>
      <c r="D33" s="65">
        <f>'EAST-CON-FLSH'!L33</f>
        <v>678108</v>
      </c>
      <c r="E33" s="66">
        <f>'EAST-CON-FLSH'!M33</f>
        <v>2882796</v>
      </c>
      <c r="F33" s="60">
        <f>'EAST-CON-GL '!D33</f>
        <v>-377965</v>
      </c>
      <c r="G33" s="38">
        <f>'EAST-CON-GL '!E33</f>
        <v>-1489667.72</v>
      </c>
      <c r="H33" s="60">
        <f t="shared" ref="H33:I35" si="5">F33-D33</f>
        <v>-1056073</v>
      </c>
      <c r="I33" s="38">
        <f t="shared" si="5"/>
        <v>-4372463.72</v>
      </c>
    </row>
    <row r="34" spans="1:9" x14ac:dyDescent="0.25">
      <c r="A34" s="9">
        <v>15</v>
      </c>
      <c r="B34" s="7"/>
      <c r="C34" s="18" t="s">
        <v>41</v>
      </c>
      <c r="D34" s="65">
        <f>'EAST-CON-FLSH'!L34</f>
        <v>-624629</v>
      </c>
      <c r="E34" s="66">
        <f>'EAST-CON-FLSH'!M34</f>
        <v>-2675858</v>
      </c>
      <c r="F34" s="60">
        <f>'EAST-CON-GL '!D34</f>
        <v>462391</v>
      </c>
      <c r="G34" s="38">
        <f>'EAST-CON-GL '!E34</f>
        <v>1779892.4100000001</v>
      </c>
      <c r="H34" s="60">
        <f t="shared" si="5"/>
        <v>1087020</v>
      </c>
      <c r="I34" s="38">
        <f t="shared" si="5"/>
        <v>4455750.41</v>
      </c>
    </row>
    <row r="35" spans="1:9" x14ac:dyDescent="0.25">
      <c r="A35" s="9">
        <v>16</v>
      </c>
      <c r="B35" s="7"/>
      <c r="C35" s="18" t="s">
        <v>42</v>
      </c>
      <c r="D35" s="65">
        <f>'EAST-CON-FLSH'!L35</f>
        <v>530010</v>
      </c>
      <c r="E35" s="66">
        <f>'EAST-CON-FLSH'!M35</f>
        <v>2113994</v>
      </c>
      <c r="F35" s="60">
        <f>'EAST-CON-GL '!D35</f>
        <v>778347</v>
      </c>
      <c r="G35" s="38">
        <f>'EAST-CON-GL '!E35</f>
        <v>2223440.09</v>
      </c>
      <c r="H35" s="60">
        <f t="shared" si="5"/>
        <v>248337</v>
      </c>
      <c r="I35" s="38">
        <f t="shared" si="5"/>
        <v>109446.08999999985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567502</v>
      </c>
      <c r="E36" s="39">
        <f t="shared" si="6"/>
        <v>2251986</v>
      </c>
      <c r="F36" s="61">
        <f t="shared" si="6"/>
        <v>-331158</v>
      </c>
      <c r="G36" s="39">
        <f t="shared" si="6"/>
        <v>-2611750.2130000005</v>
      </c>
      <c r="H36" s="61">
        <f t="shared" si="6"/>
        <v>-898660</v>
      </c>
      <c r="I36" s="39">
        <f t="shared" si="6"/>
        <v>-4863736.2129999995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'EAST-CON-FLSH'!L39</f>
        <v>1423689</v>
      </c>
      <c r="E39" s="66">
        <f>'EAST-CON-FLSH'!M39</f>
        <v>6198360</v>
      </c>
      <c r="F39" s="60">
        <f>'EAST-CON-GL '!D39</f>
        <v>2505480</v>
      </c>
      <c r="G39" s="38">
        <f>'EAST-CON-GL '!E39</f>
        <v>9351594.2799999993</v>
      </c>
      <c r="H39" s="60">
        <f t="shared" ref="H39:I41" si="7">F39-D39</f>
        <v>1081791</v>
      </c>
      <c r="I39" s="38">
        <f t="shared" si="7"/>
        <v>3153234.2799999993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'EAST-CON-FLSH'!L40</f>
        <v>-1006097</v>
      </c>
      <c r="E40" s="66">
        <f>'EAST-CON-FLSH'!M40</f>
        <v>-4370253</v>
      </c>
      <c r="F40" s="60">
        <f>'EAST-CON-GL '!D40</f>
        <v>-1164897</v>
      </c>
      <c r="G40" s="38">
        <f>'EAST-CON-GL '!E40</f>
        <v>-5387268.0200000005</v>
      </c>
      <c r="H40" s="60">
        <f t="shared" si="7"/>
        <v>-158800</v>
      </c>
      <c r="I40" s="38">
        <f t="shared" si="7"/>
        <v>-1017015.0200000005</v>
      </c>
    </row>
    <row r="41" spans="1:9" x14ac:dyDescent="0.25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-1006097</v>
      </c>
      <c r="E42" s="70">
        <f t="shared" si="8"/>
        <v>-4370253</v>
      </c>
      <c r="F42" s="69">
        <f t="shared" si="8"/>
        <v>-1164897</v>
      </c>
      <c r="G42" s="70">
        <f t="shared" si="8"/>
        <v>-5387268.0200000005</v>
      </c>
      <c r="H42" s="69">
        <f t="shared" si="8"/>
        <v>-158800</v>
      </c>
      <c r="I42" s="70">
        <f t="shared" si="8"/>
        <v>-1017015.0200000005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417592</v>
      </c>
      <c r="E43" s="39">
        <f t="shared" si="9"/>
        <v>1828107</v>
      </c>
      <c r="F43" s="61">
        <f t="shared" si="9"/>
        <v>1340583</v>
      </c>
      <c r="G43" s="39">
        <f t="shared" si="9"/>
        <v>3964326.2599999988</v>
      </c>
      <c r="H43" s="61">
        <f t="shared" si="9"/>
        <v>922991</v>
      </c>
      <c r="I43" s="39">
        <f t="shared" si="9"/>
        <v>2136219.2599999988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0</v>
      </c>
      <c r="G45" s="38">
        <f>'EAST-CON-GL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'EAST-CON-FLSH'!L49</f>
        <v>-972676</v>
      </c>
      <c r="E49" s="66">
        <f>'EAST-CON-FLSH'!M49</f>
        <v>-4175600.8004000005</v>
      </c>
      <c r="F49" s="60">
        <f>'EAST-CON-GL '!D49</f>
        <v>4935228</v>
      </c>
      <c r="G49" s="38">
        <f>'EAST-CON-GL '!E49</f>
        <v>21186933.804000001</v>
      </c>
      <c r="H49" s="60">
        <f>F49-D49</f>
        <v>5907904</v>
      </c>
      <c r="I49" s="38">
        <f>G49-E49</f>
        <v>25362534.604400001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'EAST-CON-FLSH'!L51</f>
        <v>-574829</v>
      </c>
      <c r="E51" s="66">
        <f>'EAST-CON-FLSH'!M51</f>
        <v>-2438737</v>
      </c>
      <c r="F51" s="60">
        <f>'EAST-CON-GL '!D51</f>
        <v>-794469</v>
      </c>
      <c r="G51" s="38">
        <f>'EAST-CON-GL '!E51</f>
        <v>-3410655.4210000006</v>
      </c>
      <c r="H51" s="60">
        <f>F51-D51</f>
        <v>-219640</v>
      </c>
      <c r="I51" s="38">
        <f>G51-E51</f>
        <v>-971918.42100000056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-2048301</v>
      </c>
      <c r="F54" s="60">
        <f>'EAST-CON-GL '!D54</f>
        <v>-138037335</v>
      </c>
      <c r="G54" s="38">
        <f>'EAST-CON-GL '!E54</f>
        <v>2199631.6199999996</v>
      </c>
      <c r="H54" s="60">
        <f>F54-D54</f>
        <v>-138037335</v>
      </c>
      <c r="I54" s="38">
        <f>G54-E54</f>
        <v>4247932.6199999992</v>
      </c>
    </row>
    <row r="55" spans="1:9" x14ac:dyDescent="0.25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-2220811.5</v>
      </c>
      <c r="F55" s="60">
        <f>'EAST-CON-GL '!D55</f>
        <v>0</v>
      </c>
      <c r="G55" s="38">
        <f>'EAST-CON-GL '!E55</f>
        <v>-9220428.129999999</v>
      </c>
      <c r="H55" s="60">
        <f>F55-D55</f>
        <v>0</v>
      </c>
      <c r="I55" s="38">
        <f>G55-E55</f>
        <v>-6999616.629999999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-4269112.5</v>
      </c>
      <c r="F56" s="61">
        <f t="shared" si="10"/>
        <v>-138037335</v>
      </c>
      <c r="G56" s="39">
        <f t="shared" si="10"/>
        <v>-7020796.5099999998</v>
      </c>
      <c r="H56" s="61">
        <f t="shared" si="10"/>
        <v>-138037335</v>
      </c>
      <c r="I56" s="39">
        <f t="shared" si="10"/>
        <v>-2751684.01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0</v>
      </c>
      <c r="G59" s="38">
        <f>'EAST-CON-GL '!E59</f>
        <v>48847.92</v>
      </c>
      <c r="H59" s="60">
        <f>F59-D59</f>
        <v>0</v>
      </c>
      <c r="I59" s="38">
        <f>G59-E59</f>
        <v>48847.92</v>
      </c>
    </row>
    <row r="60" spans="1:9" x14ac:dyDescent="0.25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48847.92</v>
      </c>
      <c r="H61" s="69">
        <f t="shared" si="11"/>
        <v>0</v>
      </c>
      <c r="I61" s="70">
        <f t="shared" si="11"/>
        <v>48847.92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0</v>
      </c>
      <c r="F64" s="60">
        <f>'EAST-CON-GL '!D64</f>
        <v>0</v>
      </c>
      <c r="G64" s="38">
        <f>'EAST-CON-GL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0</v>
      </c>
      <c r="G65" s="38">
        <f>'EAST-CON-GL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-5134326.6295999996</v>
      </c>
      <c r="F70" s="60">
        <f>'EAST-CON-GL '!D70</f>
        <v>0</v>
      </c>
      <c r="G70" s="38">
        <f>'EAST-CON-GL '!E70</f>
        <v>-5134326.63</v>
      </c>
      <c r="H70" s="60">
        <f>F70-D70</f>
        <v>0</v>
      </c>
      <c r="I70" s="38">
        <f>G70-E70</f>
        <v>-4.0000025182962418E-4</v>
      </c>
    </row>
    <row r="71" spans="1:9" x14ac:dyDescent="0.25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-14964909</v>
      </c>
      <c r="F71" s="60">
        <f>'EAST-CON-GL '!D71</f>
        <v>0</v>
      </c>
      <c r="G71" s="38">
        <f>'EAST-CON-GL '!E71</f>
        <v>-14964909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-20099235.6296</v>
      </c>
      <c r="F72" s="69">
        <f t="shared" si="13"/>
        <v>0</v>
      </c>
      <c r="G72" s="70">
        <f t="shared" si="13"/>
        <v>-20099235.629999999</v>
      </c>
      <c r="H72" s="69">
        <f t="shared" si="13"/>
        <v>0</v>
      </c>
      <c r="I72" s="70">
        <f t="shared" si="13"/>
        <v>-4.0000025182962418E-4</v>
      </c>
    </row>
    <row r="73" spans="1:9" x14ac:dyDescent="0.25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13849134</v>
      </c>
      <c r="F74" s="60">
        <f>'EAST-CON-GL '!D74</f>
        <v>0</v>
      </c>
      <c r="G74" s="38">
        <f>'EAST-CON-GL '!E74</f>
        <v>15790987.42</v>
      </c>
      <c r="H74" s="60">
        <f t="shared" ref="H74:I79" si="14">F74-D74</f>
        <v>0</v>
      </c>
      <c r="I74" s="38">
        <f t="shared" si="14"/>
        <v>1941853.42</v>
      </c>
    </row>
    <row r="75" spans="1:9" x14ac:dyDescent="0.25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210386</v>
      </c>
      <c r="F75" s="60">
        <f>'EAST-CON-GL '!D75</f>
        <v>0</v>
      </c>
      <c r="G75" s="38">
        <f>'EAST-CON-GL '!E75</f>
        <v>228732</v>
      </c>
      <c r="H75" s="60">
        <f t="shared" si="14"/>
        <v>0</v>
      </c>
      <c r="I75" s="38">
        <f t="shared" si="14"/>
        <v>18346</v>
      </c>
    </row>
    <row r="76" spans="1:9" x14ac:dyDescent="0.25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-867</v>
      </c>
      <c r="F76" s="60">
        <f>'EAST-CON-GL '!D76</f>
        <v>0</v>
      </c>
      <c r="G76" s="38">
        <f>'EAST-CON-GL '!E76</f>
        <v>-866.58</v>
      </c>
      <c r="H76" s="60">
        <f t="shared" si="14"/>
        <v>0</v>
      </c>
      <c r="I76" s="38">
        <f t="shared" si="14"/>
        <v>0.41999999999995907</v>
      </c>
    </row>
    <row r="77" spans="1:9" x14ac:dyDescent="0.25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20000</v>
      </c>
      <c r="F77" s="60">
        <f>'EAST-CON-GL '!D77</f>
        <v>0</v>
      </c>
      <c r="G77" s="38">
        <f>'EAST-CON-GL '!E77</f>
        <v>0</v>
      </c>
      <c r="H77" s="60">
        <f t="shared" si="14"/>
        <v>0</v>
      </c>
      <c r="I77" s="38">
        <f t="shared" si="14"/>
        <v>-20000</v>
      </c>
    </row>
    <row r="78" spans="1:9" x14ac:dyDescent="0.25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23733</v>
      </c>
      <c r="F78" s="60">
        <f>'EAST-CON-GL '!D78</f>
        <v>0</v>
      </c>
      <c r="G78" s="38">
        <f>'EAST-CON-GL '!E78</f>
        <v>0</v>
      </c>
      <c r="H78" s="60">
        <f t="shared" si="14"/>
        <v>0</v>
      </c>
      <c r="I78" s="38">
        <f t="shared" si="14"/>
        <v>-23733</v>
      </c>
    </row>
    <row r="79" spans="1:9" x14ac:dyDescent="0.25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-66750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66750</v>
      </c>
    </row>
    <row r="81" spans="1:63" x14ac:dyDescent="0.25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963669</v>
      </c>
      <c r="F81" s="60">
        <f>'EAST-CON-GL '!D81</f>
        <v>0</v>
      </c>
      <c r="G81" s="38">
        <f>'EAST-CON-GL '!E81</f>
        <v>468168.06000000006</v>
      </c>
      <c r="H81" s="60">
        <f>F81-D81</f>
        <v>0</v>
      </c>
      <c r="I81" s="38">
        <f>G81-E81</f>
        <v>-495500.93999999994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-8911113.9300000481</v>
      </c>
      <c r="F82" s="109">
        <f>F16+F24+F29+F36+F43+F45+F47+F49</f>
        <v>165</v>
      </c>
      <c r="G82" s="110">
        <f>SUM(G72:G81)+G16+G24+G29+G36+G43+G45+G47+G49+G51+G56+G61+G66</f>
        <v>-23695576.909000367</v>
      </c>
      <c r="H82" s="109">
        <f>H16+H24+H29+H36+H43+H45+H47+H49</f>
        <v>165</v>
      </c>
      <c r="I82" s="110">
        <f>SUM(I72:I81)+I16+I24+I29+I36+I43+I45+I47+I49+I51+I56+I61+I66</f>
        <v>-14784462.979000263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'EAST-CON-FLSH'!L86</f>
        <v>0</v>
      </c>
      <c r="E86" s="145">
        <f>'EAST-CON-FLSH'!M86</f>
        <v>-42632</v>
      </c>
      <c r="F86" s="145">
        <f>'EAST-CON-GL '!D86</f>
        <v>0</v>
      </c>
      <c r="G86" s="145">
        <f>'EAST-CON-GL '!E86</f>
        <v>-43000</v>
      </c>
      <c r="H86" s="145">
        <f t="shared" ref="H86:I88" si="15">F86-D86</f>
        <v>0</v>
      </c>
      <c r="I86" s="145">
        <f t="shared" si="15"/>
        <v>-368</v>
      </c>
    </row>
    <row r="87" spans="1:63" x14ac:dyDescent="0.25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5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-42632</v>
      </c>
      <c r="F89" s="155">
        <f t="shared" si="16"/>
        <v>0</v>
      </c>
      <c r="G89" s="155">
        <f t="shared" si="16"/>
        <v>-43000</v>
      </c>
      <c r="H89" s="155">
        <f t="shared" si="16"/>
        <v>0</v>
      </c>
      <c r="I89" s="155">
        <f t="shared" si="16"/>
        <v>-368</v>
      </c>
    </row>
    <row r="90" spans="1:63" x14ac:dyDescent="0.25">
      <c r="A90" s="4"/>
      <c r="B90" s="3"/>
      <c r="F90" s="31"/>
      <c r="G90" s="31"/>
      <c r="H90" s="31"/>
      <c r="I90" s="31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-8953745.9300000481</v>
      </c>
      <c r="F91" s="160">
        <f t="shared" si="17"/>
        <v>165</v>
      </c>
      <c r="G91" s="160">
        <f t="shared" si="17"/>
        <v>-23738576.909000367</v>
      </c>
      <c r="H91" s="160">
        <f t="shared" si="17"/>
        <v>165</v>
      </c>
      <c r="I91" s="160">
        <f t="shared" si="17"/>
        <v>-14784830.979000263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s="14" customFormat="1" x14ac:dyDescent="0.25">
      <c r="A94" s="164"/>
      <c r="B94" s="165"/>
      <c r="D94" s="31"/>
      <c r="E94" s="14">
        <f>+'EAST-EGM-VAR'!E91+'EAST-LRC-VAR'!E82</f>
        <v>-8953745.9300000481</v>
      </c>
      <c r="G94" s="14">
        <f>+'EAST-EGM-VAR'!G91+'EAST-LRC-VAR'!G82</f>
        <v>-23738576.909000423</v>
      </c>
      <c r="I94" s="14">
        <f>+'EAST-EGM-VAR'!I91+'EAST-LRC-VAR'!I82</f>
        <v>-14784830.979000261</v>
      </c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218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pane="topRight"/>
      <selection pane="bottomLeft"/>
      <selection pane="bottomRight" activeCell="G71" sqref="G7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'TX-EGM-FLSH'!L11</f>
        <v>12058069</v>
      </c>
      <c r="E11" s="66">
        <f>'TX-EGM-FLSH'!M11</f>
        <v>38430000.50999999</v>
      </c>
      <c r="F11" s="60">
        <f>'TX-EGM-GL'!D11</f>
        <v>14711696</v>
      </c>
      <c r="G11" s="38">
        <f>'TX-EGM-GL'!E11</f>
        <v>60584597.840000004</v>
      </c>
      <c r="H11" s="60">
        <f>F11-D11</f>
        <v>2653627</v>
      </c>
      <c r="I11" s="38">
        <f>G11-E11</f>
        <v>22154597.330000013</v>
      </c>
    </row>
    <row r="12" spans="1:22" x14ac:dyDescent="0.25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3737063.63</v>
      </c>
      <c r="H12" s="60">
        <f>F12-D12</f>
        <v>0</v>
      </c>
      <c r="I12" s="38">
        <f>G12-E12</f>
        <v>3737063.63</v>
      </c>
    </row>
    <row r="13" spans="1:22" x14ac:dyDescent="0.25">
      <c r="A13" s="9">
        <v>3</v>
      </c>
      <c r="B13" s="7"/>
      <c r="C13" s="18" t="s">
        <v>27</v>
      </c>
      <c r="D13" s="65">
        <f>'TX-EGM-FLSH'!L13</f>
        <v>0</v>
      </c>
      <c r="E13" s="66">
        <f>'TX-EGM-FLSH'!M13</f>
        <v>0</v>
      </c>
      <c r="F13" s="60">
        <f>'TX-EGM-GL'!D13</f>
        <v>12450000</v>
      </c>
      <c r="G13" s="38">
        <f>'TX-EGM-GL'!E13</f>
        <v>43694930</v>
      </c>
      <c r="H13" s="60">
        <f t="shared" ref="H13:I15" si="0">F13-D13</f>
        <v>12450000</v>
      </c>
      <c r="I13" s="38">
        <f t="shared" si="0"/>
        <v>43694930</v>
      </c>
    </row>
    <row r="14" spans="1:22" x14ac:dyDescent="0.25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0</v>
      </c>
      <c r="F15" s="60">
        <f>'TX-EGM-GL'!D15</f>
        <v>0</v>
      </c>
      <c r="G15" s="38">
        <f>'TX-EGM-GL'!E15</f>
        <v>1708322</v>
      </c>
      <c r="H15" s="60">
        <f t="shared" si="0"/>
        <v>0</v>
      </c>
      <c r="I15" s="38">
        <f t="shared" si="0"/>
        <v>1708322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12058069</v>
      </c>
      <c r="E16" s="39">
        <f t="shared" si="1"/>
        <v>38430000.50999999</v>
      </c>
      <c r="F16" s="61">
        <f t="shared" si="1"/>
        <v>27161696</v>
      </c>
      <c r="G16" s="39">
        <f t="shared" si="1"/>
        <v>109724913.47</v>
      </c>
      <c r="H16" s="61">
        <f t="shared" si="1"/>
        <v>15103627</v>
      </c>
      <c r="I16" s="39">
        <f t="shared" si="1"/>
        <v>71294912.960000008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'TX-EGM-FLSH'!L19</f>
        <v>-7716905</v>
      </c>
      <c r="E19" s="66">
        <f>'TX-EGM-FLSH'!M19</f>
        <v>-24767566.75999999</v>
      </c>
      <c r="F19" s="60">
        <f>'TX-EGM-GL'!D19</f>
        <v>-8014020</v>
      </c>
      <c r="G19" s="38">
        <f>'TX-EGM-GL'!E19</f>
        <v>-34835907.419999994</v>
      </c>
      <c r="H19" s="60">
        <f>F19-D19</f>
        <v>-297115</v>
      </c>
      <c r="I19" s="38">
        <f>G19-E19</f>
        <v>-10068340.660000004</v>
      </c>
    </row>
    <row r="20" spans="1:9" x14ac:dyDescent="0.25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120337.63</v>
      </c>
      <c r="H20" s="60">
        <f>F20-D20</f>
        <v>0</v>
      </c>
      <c r="I20" s="38">
        <f>G20-E20</f>
        <v>120337.63</v>
      </c>
    </row>
    <row r="21" spans="1:9" x14ac:dyDescent="0.25">
      <c r="A21" s="9">
        <v>8</v>
      </c>
      <c r="B21" s="7"/>
      <c r="C21" s="18" t="s">
        <v>27</v>
      </c>
      <c r="D21" s="65">
        <f>'TX-EGM-FLSH'!L21</f>
        <v>0</v>
      </c>
      <c r="E21" s="66">
        <f>'TX-EGM-FLSH'!M21</f>
        <v>0</v>
      </c>
      <c r="F21" s="60">
        <f>'TX-EGM-GL'!D21</f>
        <v>-12450000</v>
      </c>
      <c r="G21" s="38">
        <f>'TX-EGM-GL'!E21</f>
        <v>-43694930</v>
      </c>
      <c r="H21" s="60">
        <f t="shared" ref="H21:I23" si="2">F21-D21</f>
        <v>-12450000</v>
      </c>
      <c r="I21" s="38">
        <f t="shared" si="2"/>
        <v>-43694930</v>
      </c>
    </row>
    <row r="22" spans="1:9" x14ac:dyDescent="0.25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'TX-EGM-FLSH'!L23</f>
        <v>16787</v>
      </c>
      <c r="E23" s="66">
        <f>'TX-EGM-FLSH'!M23</f>
        <v>58072</v>
      </c>
      <c r="F23" s="60">
        <f>'TX-EGM-GL'!D23</f>
        <v>144584</v>
      </c>
      <c r="G23" s="38">
        <f>'TX-EGM-GL'!E23</f>
        <v>632481.84299999999</v>
      </c>
      <c r="H23" s="60">
        <f t="shared" si="2"/>
        <v>127797</v>
      </c>
      <c r="I23" s="38">
        <f t="shared" si="2"/>
        <v>574409.84299999999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-7700118</v>
      </c>
      <c r="E24" s="39">
        <f t="shared" si="3"/>
        <v>-24709494.75999999</v>
      </c>
      <c r="F24" s="61">
        <f t="shared" si="3"/>
        <v>-20319436</v>
      </c>
      <c r="G24" s="39">
        <f t="shared" si="3"/>
        <v>-77778017.946999997</v>
      </c>
      <c r="H24" s="61">
        <f t="shared" si="3"/>
        <v>-12619318</v>
      </c>
      <c r="I24" s="39">
        <f t="shared" si="3"/>
        <v>-53068523.186999999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'TX-EGM-FLSH'!L27</f>
        <v>22328896</v>
      </c>
      <c r="E27" s="66">
        <f>'TX-EGM-FLSH'!M27</f>
        <v>78557718.520000011</v>
      </c>
      <c r="F27" s="60">
        <f>'TX-EGM-GL'!D27</f>
        <v>13507668</v>
      </c>
      <c r="G27" s="38">
        <f>'TX-EGM-GL'!E27</f>
        <v>57872197.150000006</v>
      </c>
      <c r="H27" s="60">
        <f>F27-D27</f>
        <v>-8821228</v>
      </c>
      <c r="I27" s="38">
        <f>G27-E27</f>
        <v>-20685521.370000005</v>
      </c>
    </row>
    <row r="28" spans="1:9" x14ac:dyDescent="0.25">
      <c r="A28" s="9">
        <v>12</v>
      </c>
      <c r="B28" s="7"/>
      <c r="C28" s="18" t="s">
        <v>36</v>
      </c>
      <c r="D28" s="65">
        <f>'TX-EGM-FLSH'!L28</f>
        <v>-23023876</v>
      </c>
      <c r="E28" s="66">
        <f>'TX-EGM-FLSH'!M28</f>
        <v>-81056970.810000002</v>
      </c>
      <c r="F28" s="60">
        <f>'TX-EGM-GL'!D28</f>
        <v>-19974087</v>
      </c>
      <c r="G28" s="38">
        <f>'TX-EGM-GL'!E28</f>
        <v>-85676158.66399999</v>
      </c>
      <c r="H28" s="60">
        <f>F28-D28</f>
        <v>3049789</v>
      </c>
      <c r="I28" s="38">
        <f>G28-E28</f>
        <v>-4619187.8539999872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-694980</v>
      </c>
      <c r="E29" s="70">
        <f t="shared" si="4"/>
        <v>-2499252.2899999917</v>
      </c>
      <c r="F29" s="69">
        <f t="shared" si="4"/>
        <v>-6466419</v>
      </c>
      <c r="G29" s="70">
        <f t="shared" si="4"/>
        <v>-27803961.513999984</v>
      </c>
      <c r="H29" s="69">
        <f t="shared" si="4"/>
        <v>-5771439</v>
      </c>
      <c r="I29" s="70">
        <f t="shared" si="4"/>
        <v>-25304709.223999992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'TX-EGM-FLSH'!L32</f>
        <v>537385</v>
      </c>
      <c r="E32" s="66">
        <f>'TX-EGM-FLSH'!M32</f>
        <v>3</v>
      </c>
      <c r="F32" s="60">
        <f>'TX-EGM-GL'!D32</f>
        <v>-43781</v>
      </c>
      <c r="G32" s="38">
        <f>'TX-EGM-GL'!E32</f>
        <v>-196308.19899999816</v>
      </c>
      <c r="H32" s="60">
        <f>F32-D32</f>
        <v>-581166</v>
      </c>
      <c r="I32" s="38">
        <f>G32-E32</f>
        <v>-196311.19899999816</v>
      </c>
    </row>
    <row r="33" spans="1:9" x14ac:dyDescent="0.25">
      <c r="A33" s="9">
        <v>14</v>
      </c>
      <c r="B33" s="7"/>
      <c r="C33" s="18" t="s">
        <v>40</v>
      </c>
      <c r="D33" s="65">
        <f>'TX-EGM-FLSH'!L33</f>
        <v>-536755</v>
      </c>
      <c r="E33" s="66">
        <f>'TX-EGM-FLSH'!M33</f>
        <v>-16109</v>
      </c>
      <c r="F33" s="60">
        <f>'TX-EGM-GL'!D33</f>
        <v>0</v>
      </c>
      <c r="G33" s="38">
        <f>'TX-EGM-GL'!E33</f>
        <v>0</v>
      </c>
      <c r="H33" s="60">
        <f t="shared" ref="H33:I35" si="5">F33-D33</f>
        <v>536755</v>
      </c>
      <c r="I33" s="38">
        <f t="shared" si="5"/>
        <v>16109</v>
      </c>
    </row>
    <row r="34" spans="1:9" x14ac:dyDescent="0.25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-6870</v>
      </c>
      <c r="G35" s="38">
        <f>'TX-EGM-GL'!E35</f>
        <v>0</v>
      </c>
      <c r="H35" s="60">
        <f t="shared" si="5"/>
        <v>-6870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630</v>
      </c>
      <c r="E36" s="39">
        <f t="shared" si="6"/>
        <v>-16106</v>
      </c>
      <c r="F36" s="61">
        <f t="shared" si="6"/>
        <v>-50651</v>
      </c>
      <c r="G36" s="39">
        <f t="shared" si="6"/>
        <v>-196308.19899999816</v>
      </c>
      <c r="H36" s="61">
        <f t="shared" si="6"/>
        <v>-51281</v>
      </c>
      <c r="I36" s="39">
        <f t="shared" si="6"/>
        <v>-180202.19899999816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-31402</v>
      </c>
      <c r="G39" s="38">
        <f>'TX-EGM-GL'!E39</f>
        <v>-0.01</v>
      </c>
      <c r="H39" s="60">
        <f t="shared" ref="H39:I41" si="7">F39-D39</f>
        <v>-31402</v>
      </c>
      <c r="I39" s="38">
        <f t="shared" si="7"/>
        <v>-0.01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'TX-EGM-FLSH'!L40</f>
        <v>0</v>
      </c>
      <c r="E40" s="66">
        <f>'TX-EGM-FLSH'!M40</f>
        <v>0</v>
      </c>
      <c r="F40" s="60">
        <f>'TX-EGM-GL'!D40</f>
        <v>-20000</v>
      </c>
      <c r="G40" s="38">
        <f>'TX-EGM-GL'!E40</f>
        <v>-45190.889999999992</v>
      </c>
      <c r="H40" s="60">
        <f t="shared" si="7"/>
        <v>-20000</v>
      </c>
      <c r="I40" s="38">
        <f t="shared" si="7"/>
        <v>-45190.889999999992</v>
      </c>
    </row>
    <row r="41" spans="1:9" x14ac:dyDescent="0.25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-20000</v>
      </c>
      <c r="G42" s="70">
        <f t="shared" si="8"/>
        <v>-45190.889999999992</v>
      </c>
      <c r="H42" s="69">
        <f t="shared" si="8"/>
        <v>-20000</v>
      </c>
      <c r="I42" s="70">
        <f t="shared" si="8"/>
        <v>-45190.889999999992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-51402</v>
      </c>
      <c r="G43" s="39">
        <f t="shared" si="9"/>
        <v>-45190.899999999994</v>
      </c>
      <c r="H43" s="61">
        <f t="shared" si="9"/>
        <v>-51402</v>
      </c>
      <c r="I43" s="39">
        <f t="shared" si="9"/>
        <v>-45190.899999999994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'TX-EGM-FLSH'!L49</f>
        <v>-3662971</v>
      </c>
      <c r="E49" s="66">
        <f>'TX-EGM-FLSH'!M49</f>
        <v>-15687545.484167419</v>
      </c>
      <c r="F49" s="60">
        <f>'TX-EGM-GL'!D49</f>
        <v>-188</v>
      </c>
      <c r="G49" s="38">
        <f>'TX-EGM-GL'!E49</f>
        <v>-805.20599999988917</v>
      </c>
      <c r="H49" s="60">
        <f>F49-D49</f>
        <v>3662783</v>
      </c>
      <c r="I49" s="38">
        <f>G49-E49</f>
        <v>15686740.278167419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'TX-EGM-FLSH'!L51</f>
        <v>-16787</v>
      </c>
      <c r="E51" s="66">
        <f>'TX-EGM-FLSH'!M51</f>
        <v>0</v>
      </c>
      <c r="F51" s="60">
        <f>'TX-EGM-GL'!D51</f>
        <v>-8207</v>
      </c>
      <c r="G51" s="38">
        <f>'TX-EGM-GL'!E51</f>
        <v>-35150.582999999999</v>
      </c>
      <c r="H51" s="60">
        <f>F51-D51</f>
        <v>8580</v>
      </c>
      <c r="I51" s="38">
        <f>G51-E51</f>
        <v>-35150.582999999999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0</v>
      </c>
      <c r="F54" s="60">
        <f>'TX-EGM-GL'!D54</f>
        <v>-28043834</v>
      </c>
      <c r="G54" s="38">
        <f>'TX-EGM-GL'!E54</f>
        <v>-345652.11000000004</v>
      </c>
      <c r="H54" s="60">
        <f>F54-D54</f>
        <v>-28043834</v>
      </c>
      <c r="I54" s="38">
        <f>G54-E54</f>
        <v>-345652.11000000004</v>
      </c>
    </row>
    <row r="55" spans="1:9" x14ac:dyDescent="0.25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23344</v>
      </c>
      <c r="G55" s="38">
        <f>'TX-EGM-GL'!E55</f>
        <v>-278635.11</v>
      </c>
      <c r="H55" s="60">
        <f>F55-D55</f>
        <v>23344</v>
      </c>
      <c r="I55" s="38">
        <f>G55-E55</f>
        <v>-278635.11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-28020490</v>
      </c>
      <c r="G56" s="39">
        <f t="shared" si="10"/>
        <v>-624287.22</v>
      </c>
      <c r="H56" s="61">
        <f t="shared" si="10"/>
        <v>-28020490</v>
      </c>
      <c r="I56" s="39">
        <f t="shared" si="10"/>
        <v>-624287.22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519130.8</v>
      </c>
      <c r="F70" s="60">
        <f>'TX-EGM-GL'!D70</f>
        <v>0</v>
      </c>
      <c r="G70" s="38">
        <f>'TX-EGM-GL'!E70</f>
        <v>519130.8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-6879227</v>
      </c>
      <c r="F71" s="60">
        <f>'TX-EGM-GL'!D71</f>
        <v>0</v>
      </c>
      <c r="G71" s="38">
        <f>'TX-EGM-GL'!E71</f>
        <v>-6550905</v>
      </c>
      <c r="H71" s="60">
        <f>F71-D71</f>
        <v>0</v>
      </c>
      <c r="I71" s="38">
        <f>G71-E71</f>
        <v>328322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-6360096.2000000002</v>
      </c>
      <c r="F72" s="69">
        <f t="shared" si="13"/>
        <v>0</v>
      </c>
      <c r="G72" s="70">
        <f t="shared" si="13"/>
        <v>-6031774.2000000002</v>
      </c>
      <c r="H72" s="69">
        <f t="shared" si="13"/>
        <v>0</v>
      </c>
      <c r="I72" s="70">
        <f t="shared" si="13"/>
        <v>328322</v>
      </c>
    </row>
    <row r="73" spans="1:9" x14ac:dyDescent="0.25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5792644</v>
      </c>
      <c r="F74" s="60">
        <f>'TX-EGM-GL'!D74</f>
        <v>0</v>
      </c>
      <c r="G74" s="38">
        <f>'TX-EGM-GL'!E74</f>
        <v>-70463.97</v>
      </c>
      <c r="H74" s="60">
        <f t="shared" ref="H74:I79" si="14">F74-D74</f>
        <v>0</v>
      </c>
      <c r="I74" s="38">
        <f t="shared" si="14"/>
        <v>-5863107.9699999997</v>
      </c>
    </row>
    <row r="75" spans="1:9" x14ac:dyDescent="0.25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308</v>
      </c>
      <c r="F75" s="60">
        <f>'TX-EGM-GL'!D75</f>
        <v>0</v>
      </c>
      <c r="G75" s="38">
        <f>'TX-EGM-GL'!E75</f>
        <v>308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-1000</v>
      </c>
      <c r="F76" s="60">
        <f>'TX-EGM-GL'!D76</f>
        <v>0</v>
      </c>
      <c r="G76" s="38">
        <f>'TX-EGM-GL'!E76</f>
        <v>0</v>
      </c>
      <c r="H76" s="60">
        <f t="shared" si="14"/>
        <v>0</v>
      </c>
      <c r="I76" s="38">
        <f t="shared" si="14"/>
        <v>1000</v>
      </c>
    </row>
    <row r="77" spans="1:9" x14ac:dyDescent="0.25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-98300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98300</v>
      </c>
    </row>
    <row r="78" spans="1:9" x14ac:dyDescent="0.25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2228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-2228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630</v>
      </c>
      <c r="E82" s="110">
        <f>SUM(E72:E81)+E16+E24+E29+E36+E43+E45+E47+E49+E51+E56+E61+E66</f>
        <v>-5146614.224167414</v>
      </c>
      <c r="F82" s="109">
        <f>F16+F24+F29+F36+F43+F45+F47+F49</f>
        <v>273600</v>
      </c>
      <c r="G82" s="110">
        <f>SUM(G72:G81)+G16+G24+G29+G36+G43+G45+G47+G49+G51+G56+G61+G66</f>
        <v>-2860738.2689999817</v>
      </c>
      <c r="H82" s="109">
        <f>H16+H24+H29+H36+H43+H45+H47+H49</f>
        <v>272970</v>
      </c>
      <c r="I82" s="110">
        <f>SUM(I72:I81)+I16+I24+I29+I36+I43+I45+I47+I49+I51+I56+I61+I66</f>
        <v>2285875.9551674398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'TX-EGM-FLSH'!L86</f>
        <v>0</v>
      </c>
      <c r="E86" s="145">
        <f>'TX-EGM-FLSH'!M86</f>
        <v>57677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-57677</v>
      </c>
    </row>
    <row r="87" spans="1:63" x14ac:dyDescent="0.25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'TX-EGM-FLSH'!L88</f>
        <v>0</v>
      </c>
      <c r="E88" s="147">
        <f>'TX-EGM-FLSH'!M88</f>
        <v>-686167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686167</v>
      </c>
    </row>
    <row r="89" spans="1:63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-628490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628490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630</v>
      </c>
      <c r="E91" s="160">
        <f t="shared" si="17"/>
        <v>-5775104.224167414</v>
      </c>
      <c r="F91" s="160">
        <f t="shared" si="17"/>
        <v>273600</v>
      </c>
      <c r="G91" s="160">
        <f t="shared" si="17"/>
        <v>-2860738.2689999817</v>
      </c>
      <c r="H91" s="160">
        <f t="shared" si="17"/>
        <v>272970</v>
      </c>
      <c r="I91" s="160">
        <f t="shared" si="17"/>
        <v>2914365.9551674398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'TX-HPLR-FLSH'!L11</f>
        <v>3157520</v>
      </c>
      <c r="E11" s="66">
        <f>'TX-HPLR-FLSH'!M11</f>
        <v>28080810.49000001</v>
      </c>
      <c r="F11" s="60">
        <f>'TX-HPLR-GL '!D11</f>
        <v>114127</v>
      </c>
      <c r="G11" s="38">
        <f>'TX-HPLR-GL '!E11</f>
        <v>502272.93</v>
      </c>
      <c r="H11" s="60">
        <f>F11-D11</f>
        <v>-3043393</v>
      </c>
      <c r="I11" s="38">
        <f>G11-E11</f>
        <v>-27578537.56000001</v>
      </c>
    </row>
    <row r="12" spans="1:22" x14ac:dyDescent="0.25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-1728</v>
      </c>
      <c r="H12" s="60">
        <f>F12-D12</f>
        <v>0</v>
      </c>
      <c r="I12" s="38">
        <f>G12-E12</f>
        <v>-1728</v>
      </c>
    </row>
    <row r="13" spans="1:22" x14ac:dyDescent="0.25">
      <c r="A13" s="9">
        <v>3</v>
      </c>
      <c r="B13" s="7"/>
      <c r="C13" s="18" t="s">
        <v>27</v>
      </c>
      <c r="D13" s="65">
        <f>'TX-HPLR-FLSH'!L13</f>
        <v>14</v>
      </c>
      <c r="E13" s="66">
        <f>'TX-HPLR-FLSH'!M13</f>
        <v>0</v>
      </c>
      <c r="F13" s="60">
        <f>'TX-HPLR-GL '!D13</f>
        <v>0</v>
      </c>
      <c r="G13" s="38">
        <f>'TX-HPLR-GL '!E13</f>
        <v>0</v>
      </c>
      <c r="H13" s="60">
        <f t="shared" ref="H13:I15" si="0">F13-D13</f>
        <v>-14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3157534</v>
      </c>
      <c r="E16" s="39">
        <f t="shared" si="1"/>
        <v>28080810.49000001</v>
      </c>
      <c r="F16" s="61">
        <f t="shared" si="1"/>
        <v>114127</v>
      </c>
      <c r="G16" s="39">
        <f t="shared" si="1"/>
        <v>500544.93</v>
      </c>
      <c r="H16" s="61">
        <f t="shared" si="1"/>
        <v>-3043407</v>
      </c>
      <c r="I16" s="39">
        <f t="shared" si="1"/>
        <v>-27580265.56000001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'TX-HPLR-FLSH'!L19</f>
        <v>-366385</v>
      </c>
      <c r="E19" s="66">
        <f>'TX-HPLR-FLSH'!M19</f>
        <v>-9636253.2400000095</v>
      </c>
      <c r="F19" s="60">
        <f>'TX-HPLR-GL '!D19</f>
        <v>0</v>
      </c>
      <c r="G19" s="38">
        <f>'TX-HPLR-GL '!E19</f>
        <v>9717.56</v>
      </c>
      <c r="H19" s="60">
        <f>F19-D19</f>
        <v>366385</v>
      </c>
      <c r="I19" s="38">
        <f>G19-E19</f>
        <v>9645970.8000000101</v>
      </c>
    </row>
    <row r="20" spans="1:9" x14ac:dyDescent="0.25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'TX-HPLR-FLSH'!L23</f>
        <v>-7996</v>
      </c>
      <c r="E23" s="66">
        <f>'TX-HPLR-FLSH'!M23</f>
        <v>-20999</v>
      </c>
      <c r="F23" s="60">
        <f>'TX-HPLR-GL '!D23</f>
        <v>0</v>
      </c>
      <c r="G23" s="38">
        <f>'TX-HPLR-GL '!E23</f>
        <v>0</v>
      </c>
      <c r="H23" s="60">
        <f t="shared" si="2"/>
        <v>7996</v>
      </c>
      <c r="I23" s="38">
        <f t="shared" si="2"/>
        <v>20999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-374381</v>
      </c>
      <c r="E24" s="39">
        <f t="shared" si="3"/>
        <v>-9657252.2400000095</v>
      </c>
      <c r="F24" s="61">
        <f t="shared" si="3"/>
        <v>0</v>
      </c>
      <c r="G24" s="39">
        <f t="shared" si="3"/>
        <v>9717.56</v>
      </c>
      <c r="H24" s="61">
        <f t="shared" si="3"/>
        <v>374381</v>
      </c>
      <c r="I24" s="39">
        <f t="shared" si="3"/>
        <v>9666969.8000000101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'TX-HPLR-FLSH'!L27</f>
        <v>-356532</v>
      </c>
      <c r="E27" s="66">
        <f>'TX-HPLR-FLSH'!M27</f>
        <v>15210999.480000019</v>
      </c>
      <c r="F27" s="60">
        <f>'TX-HPLR-GL '!D27</f>
        <v>0</v>
      </c>
      <c r="G27" s="38">
        <f>'TX-HPLR-GL '!E27</f>
        <v>0</v>
      </c>
      <c r="H27" s="60">
        <f>F27-D27</f>
        <v>356532</v>
      </c>
      <c r="I27" s="38">
        <f>G27-E27</f>
        <v>-15210999.480000019</v>
      </c>
    </row>
    <row r="28" spans="1:9" x14ac:dyDescent="0.25">
      <c r="A28" s="9">
        <v>12</v>
      </c>
      <c r="B28" s="7"/>
      <c r="C28" s="18" t="s">
        <v>36</v>
      </c>
      <c r="D28" s="65">
        <f>'TX-HPLR-FLSH'!L28</f>
        <v>103705</v>
      </c>
      <c r="E28" s="66">
        <f>'TX-HPLR-FLSH'!M28</f>
        <v>-16792921.189999998</v>
      </c>
      <c r="F28" s="60">
        <f>'TX-HPLR-GL '!D28</f>
        <v>-114127</v>
      </c>
      <c r="G28" s="38">
        <f>'TX-HPLR-GL '!E28</f>
        <v>-499876.26</v>
      </c>
      <c r="H28" s="60">
        <f>F28-D28</f>
        <v>-217832</v>
      </c>
      <c r="I28" s="38">
        <f>G28-E28</f>
        <v>16293044.929999998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-252827</v>
      </c>
      <c r="E29" s="70">
        <f t="shared" si="4"/>
        <v>-1581921.7099999785</v>
      </c>
      <c r="F29" s="69">
        <f t="shared" si="4"/>
        <v>-114127</v>
      </c>
      <c r="G29" s="70">
        <f t="shared" si="4"/>
        <v>-499876.26</v>
      </c>
      <c r="H29" s="69">
        <f t="shared" si="4"/>
        <v>138700</v>
      </c>
      <c r="I29" s="70">
        <f t="shared" si="4"/>
        <v>1082045.4499999788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'TX-HPLR-FLSH'!L49</f>
        <v>-2530942</v>
      </c>
      <c r="E49" s="66">
        <f>'TX-HPLR-FLSH'!M49</f>
        <v>-10839361.748370286</v>
      </c>
      <c r="F49" s="60">
        <f>'TX-HPLR-GL '!D49</f>
        <v>0</v>
      </c>
      <c r="G49" s="38">
        <f>'TX-HPLR-GL '!E49</f>
        <v>0</v>
      </c>
      <c r="H49" s="60">
        <f>F49-D49</f>
        <v>2530942</v>
      </c>
      <c r="I49" s="38">
        <f>G49-E49</f>
        <v>10839361.748370286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'TX-HPLR-FLSH'!L51</f>
        <v>16787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-16787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-271480</v>
      </c>
      <c r="G54" s="38">
        <f>'TX-HPLR-GL '!E54</f>
        <v>-1172793.6000000001</v>
      </c>
      <c r="H54" s="60">
        <f>F54-D54</f>
        <v>-271480</v>
      </c>
      <c r="I54" s="38">
        <f>G54-E54</f>
        <v>-1172793.6000000001</v>
      </c>
    </row>
    <row r="55" spans="1:9" x14ac:dyDescent="0.25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-271480</v>
      </c>
      <c r="G56" s="39">
        <f t="shared" si="10"/>
        <v>-1172793.6000000001</v>
      </c>
      <c r="H56" s="61">
        <f t="shared" si="10"/>
        <v>-271480</v>
      </c>
      <c r="I56" s="39">
        <f t="shared" si="10"/>
        <v>-1172793.6000000001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-616</v>
      </c>
      <c r="E82" s="110">
        <f>SUM(E72:E81)+E16+E24+E29+E36+E43+E45+E47+E49+E51+E56+E61+E66</f>
        <v>6002274.7916297354</v>
      </c>
      <c r="F82" s="109">
        <f>F16+F24+F29+F36+F43+F45+F47+F49</f>
        <v>0</v>
      </c>
      <c r="G82" s="110">
        <f>SUM(G72:G81)+G16+G24+G29+G36+G43+G45+G47+G49+G51+G56+G61+G66</f>
        <v>-1162407.3700000001</v>
      </c>
      <c r="H82" s="109">
        <f>H16+H24+H29+H36+H43+H45+H47+H49</f>
        <v>616</v>
      </c>
      <c r="I82" s="110">
        <f>SUM(I72:I81)+I16+I24+I29+I36+I43+I45+I47+I49+I51+I56+I61+I66</f>
        <v>-7164682.1616297308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38" zoomScale="75" workbookViewId="0"/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174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'TX-HPLC-FLSH'!L11</f>
        <v>53851393</v>
      </c>
      <c r="E11" s="66">
        <f>'TX-HPLC-FLSH'!M11</f>
        <v>231073644</v>
      </c>
      <c r="F11" s="60">
        <f>'TX-HPLC-GL'!D11</f>
        <v>54006730</v>
      </c>
      <c r="G11" s="38">
        <f>'TX-HPLC-GL'!E11</f>
        <v>230193991.70999998</v>
      </c>
      <c r="H11" s="60">
        <f>F11-D11</f>
        <v>155337</v>
      </c>
      <c r="I11" s="38">
        <f>G11-E11</f>
        <v>-879652.29000002146</v>
      </c>
    </row>
    <row r="12" spans="1:22" x14ac:dyDescent="0.25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4145252.62</v>
      </c>
      <c r="H12" s="60">
        <f>F12-D12</f>
        <v>0</v>
      </c>
      <c r="I12" s="38">
        <f>G12-E12</f>
        <v>4145252.62</v>
      </c>
    </row>
    <row r="13" spans="1:22" x14ac:dyDescent="0.25">
      <c r="A13" s="9">
        <v>3</v>
      </c>
      <c r="B13" s="7"/>
      <c r="C13" s="18" t="s">
        <v>27</v>
      </c>
      <c r="D13" s="65">
        <f>'TX-HPLC-FLSH'!L13</f>
        <v>531200</v>
      </c>
      <c r="E13" s="66">
        <f>'TX-HPLC-FLSH'!M13</f>
        <v>2195040</v>
      </c>
      <c r="F13" s="60">
        <f>'TX-HPLC-GL'!D13</f>
        <v>0</v>
      </c>
      <c r="G13" s="38">
        <f>'TX-HPLC-GL'!E13</f>
        <v>0</v>
      </c>
      <c r="H13" s="60">
        <f t="shared" ref="H13:I15" si="0">F13-D13</f>
        <v>-531200</v>
      </c>
      <c r="I13" s="38">
        <f t="shared" si="0"/>
        <v>-2195040</v>
      </c>
    </row>
    <row r="14" spans="1:22" x14ac:dyDescent="0.25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-1695135.94</v>
      </c>
      <c r="H15" s="60">
        <f t="shared" si="0"/>
        <v>0</v>
      </c>
      <c r="I15" s="38">
        <f t="shared" si="0"/>
        <v>-1695135.94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54382593</v>
      </c>
      <c r="E16" s="39">
        <f t="shared" si="1"/>
        <v>233268684</v>
      </c>
      <c r="F16" s="61">
        <f t="shared" si="1"/>
        <v>54006730</v>
      </c>
      <c r="G16" s="39">
        <f t="shared" si="1"/>
        <v>232644108.38999999</v>
      </c>
      <c r="H16" s="61">
        <f t="shared" si="1"/>
        <v>-375863</v>
      </c>
      <c r="I16" s="39">
        <f t="shared" si="1"/>
        <v>-624575.61000002129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'TX-HPLC-FLSH'!L19</f>
        <v>-61030753</v>
      </c>
      <c r="E19" s="66">
        <f>'TX-HPLC-FLSH'!M19</f>
        <v>-260483091</v>
      </c>
      <c r="F19" s="60">
        <f>'TX-HPLC-GL'!D19</f>
        <v>-60194608</v>
      </c>
      <c r="G19" s="38">
        <f>'TX-HPLC-GL'!E19</f>
        <v>-254139411.01000002</v>
      </c>
      <c r="H19" s="60">
        <f>F19-D19</f>
        <v>836145</v>
      </c>
      <c r="I19" s="38">
        <f>G19-E19</f>
        <v>6343679.9899999797</v>
      </c>
    </row>
    <row r="20" spans="1:9" x14ac:dyDescent="0.25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2639119.3500000006</v>
      </c>
      <c r="H20" s="60">
        <f>F20-D20</f>
        <v>0</v>
      </c>
      <c r="I20" s="38">
        <f>G20-E20</f>
        <v>2639119.3500000006</v>
      </c>
    </row>
    <row r="21" spans="1:9" x14ac:dyDescent="0.25">
      <c r="A21" s="9">
        <v>8</v>
      </c>
      <c r="B21" s="7"/>
      <c r="C21" s="18" t="s">
        <v>27</v>
      </c>
      <c r="D21" s="65">
        <f>'TX-HPLC-FLSH'!L21</f>
        <v>-1345522</v>
      </c>
      <c r="E21" s="66">
        <f>'TX-HPLC-FLSH'!M21</f>
        <v>-5615570</v>
      </c>
      <c r="F21" s="60">
        <f>'TX-HPLC-GL'!D21</f>
        <v>0</v>
      </c>
      <c r="G21" s="38">
        <f>'TX-HPLC-GL'!E21</f>
        <v>0</v>
      </c>
      <c r="H21" s="60">
        <f t="shared" ref="H21:I23" si="2">F21-D21</f>
        <v>1345522</v>
      </c>
      <c r="I21" s="38">
        <f t="shared" si="2"/>
        <v>5615570</v>
      </c>
    </row>
    <row r="22" spans="1:9" x14ac:dyDescent="0.25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'TX-HPLC-FLSH'!L23</f>
        <v>8963</v>
      </c>
      <c r="E23" s="66">
        <f>'TX-HPLC-FLSH'!M23</f>
        <v>37729</v>
      </c>
      <c r="F23" s="60">
        <f>'TX-HPLC-GL'!D23</f>
        <v>0</v>
      </c>
      <c r="G23" s="38">
        <f>'TX-HPLC-GL'!E23</f>
        <v>0</v>
      </c>
      <c r="H23" s="60">
        <f t="shared" si="2"/>
        <v>-8963</v>
      </c>
      <c r="I23" s="38">
        <f t="shared" si="2"/>
        <v>-37729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-62367312</v>
      </c>
      <c r="E24" s="39">
        <f t="shared" si="3"/>
        <v>-266060932</v>
      </c>
      <c r="F24" s="61">
        <f t="shared" si="3"/>
        <v>-60194608</v>
      </c>
      <c r="G24" s="39">
        <f t="shared" si="3"/>
        <v>-251500291.66000003</v>
      </c>
      <c r="H24" s="61">
        <f t="shared" si="3"/>
        <v>2172704</v>
      </c>
      <c r="I24" s="39">
        <f t="shared" si="3"/>
        <v>14560640.339999981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'TX-HPLC-FLSH'!L27</f>
        <v>84958346</v>
      </c>
      <c r="E27" s="66">
        <f>'TX-HPLC-FLSH'!M27</f>
        <v>364399214</v>
      </c>
      <c r="F27" s="60">
        <f>'TX-HPLC-GL'!D27</f>
        <v>20623297</v>
      </c>
      <c r="G27" s="38">
        <f>'TX-HPLC-GL'!E27</f>
        <v>87297113.010000005</v>
      </c>
      <c r="H27" s="60">
        <f>F27-D27</f>
        <v>-64335049</v>
      </c>
      <c r="I27" s="38">
        <f>G27-E27</f>
        <v>-277102100.99000001</v>
      </c>
    </row>
    <row r="28" spans="1:9" x14ac:dyDescent="0.25">
      <c r="A28" s="9">
        <v>12</v>
      </c>
      <c r="B28" s="7"/>
      <c r="C28" s="18" t="s">
        <v>36</v>
      </c>
      <c r="D28" s="65">
        <f>'TX-HPLC-FLSH'!L28</f>
        <v>-83346867</v>
      </c>
      <c r="E28" s="66">
        <f>'TX-HPLC-FLSH'!M28</f>
        <v>-357411158</v>
      </c>
      <c r="F28" s="60">
        <f>'TX-HPLC-GL'!D28</f>
        <v>-14935817</v>
      </c>
      <c r="G28" s="38">
        <f>'TX-HPLC-GL'!E28</f>
        <v>-63918296.479999997</v>
      </c>
      <c r="H28" s="60">
        <f>F28-D28</f>
        <v>68411050</v>
      </c>
      <c r="I28" s="38">
        <f>G28-E28</f>
        <v>293492861.51999998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1611479</v>
      </c>
      <c r="E29" s="70">
        <f t="shared" si="4"/>
        <v>6988056</v>
      </c>
      <c r="F29" s="69">
        <f t="shared" si="4"/>
        <v>5687480</v>
      </c>
      <c r="G29" s="70">
        <f t="shared" si="4"/>
        <v>23378816.530000009</v>
      </c>
      <c r="H29" s="69">
        <f t="shared" si="4"/>
        <v>4076001</v>
      </c>
      <c r="I29" s="70">
        <f t="shared" si="4"/>
        <v>16390760.529999971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254194</v>
      </c>
      <c r="G32" s="38">
        <f>'TX-HPLC-GL'!E32</f>
        <v>1088712.9100000001</v>
      </c>
      <c r="H32" s="60">
        <f>F32-D32</f>
        <v>254194</v>
      </c>
      <c r="I32" s="38">
        <f>G32-E32</f>
        <v>1088712.9100000001</v>
      </c>
    </row>
    <row r="33" spans="1:9" x14ac:dyDescent="0.25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254194</v>
      </c>
      <c r="G36" s="39">
        <f t="shared" si="6"/>
        <v>1088712.9100000001</v>
      </c>
      <c r="H36" s="61">
        <f t="shared" si="6"/>
        <v>254194</v>
      </c>
      <c r="I36" s="39">
        <f t="shared" si="6"/>
        <v>1088712.9100000001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'TX-HPLC-FLSH'!L39</f>
        <v>3036024</v>
      </c>
      <c r="E39" s="66">
        <f>'TX-HPLC-FLSH'!M39</f>
        <v>13255287</v>
      </c>
      <c r="F39" s="60">
        <f>'TX-HPLC-GL'!D39</f>
        <v>319106</v>
      </c>
      <c r="G39" s="38">
        <f>'TX-HPLC-GL'!E39</f>
        <v>1347643.23</v>
      </c>
      <c r="H39" s="60">
        <f t="shared" ref="H39:I41" si="7">F39-D39</f>
        <v>-2716918</v>
      </c>
      <c r="I39" s="38">
        <f t="shared" si="7"/>
        <v>-11907643.77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'TX-HPLC-FLSH'!L40</f>
        <v>-2569968</v>
      </c>
      <c r="E40" s="66">
        <f>'TX-HPLC-FLSH'!M40</f>
        <v>-11256460</v>
      </c>
      <c r="F40" s="60">
        <f>'TX-HPLC-GL'!D40</f>
        <v>0</v>
      </c>
      <c r="G40" s="38">
        <f>'TX-HPLC-GL'!E40</f>
        <v>0</v>
      </c>
      <c r="H40" s="60">
        <f t="shared" si="7"/>
        <v>2569968</v>
      </c>
      <c r="I40" s="38">
        <f t="shared" si="7"/>
        <v>11256460</v>
      </c>
    </row>
    <row r="41" spans="1:9" x14ac:dyDescent="0.25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-2569968</v>
      </c>
      <c r="E42" s="70">
        <f t="shared" si="8"/>
        <v>-11256460</v>
      </c>
      <c r="F42" s="69">
        <f t="shared" si="8"/>
        <v>0</v>
      </c>
      <c r="G42" s="70">
        <f t="shared" si="8"/>
        <v>0</v>
      </c>
      <c r="H42" s="69">
        <f t="shared" si="8"/>
        <v>2569968</v>
      </c>
      <c r="I42" s="70">
        <f t="shared" si="8"/>
        <v>11256460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466056</v>
      </c>
      <c r="E43" s="39">
        <f t="shared" si="9"/>
        <v>1998827</v>
      </c>
      <c r="F43" s="61">
        <f t="shared" si="9"/>
        <v>319106</v>
      </c>
      <c r="G43" s="39">
        <f t="shared" si="9"/>
        <v>1347643.23</v>
      </c>
      <c r="H43" s="61">
        <f t="shared" si="9"/>
        <v>-146950</v>
      </c>
      <c r="I43" s="39">
        <f t="shared" si="9"/>
        <v>-651183.76999999955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'TX-HPLC-FLSH'!L49</f>
        <v>5907184</v>
      </c>
      <c r="E49" s="66">
        <f>'TX-HPLC-FLSH'!M49</f>
        <v>25298922.018041104</v>
      </c>
      <c r="F49" s="60">
        <f>'TX-HPLC-GL'!D49</f>
        <v>-72902</v>
      </c>
      <c r="G49" s="38">
        <f>'TX-HPLC-GL'!E49</f>
        <v>-312239.70999999839</v>
      </c>
      <c r="H49" s="60">
        <f>F49-D49</f>
        <v>-5980086</v>
      </c>
      <c r="I49" s="38">
        <f>G49-E49</f>
        <v>-25611161.728041101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-1907166</v>
      </c>
      <c r="F54" s="60">
        <f>'TX-HPLC-GL'!D54</f>
        <v>-20992972</v>
      </c>
      <c r="G54" s="38">
        <f>'TX-HPLC-GL'!E54</f>
        <v>-1248478.1599999999</v>
      </c>
      <c r="H54" s="60">
        <f>F54-D54</f>
        <v>-20992972</v>
      </c>
      <c r="I54" s="38">
        <f>G54-E54</f>
        <v>658687.84000000008</v>
      </c>
    </row>
    <row r="55" spans="1:9" x14ac:dyDescent="0.25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109406.29000000001</v>
      </c>
      <c r="H55" s="60">
        <f>F55-D55</f>
        <v>0</v>
      </c>
      <c r="I55" s="38">
        <f>G55-E55</f>
        <v>109406.29000000001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-1907166</v>
      </c>
      <c r="F56" s="61">
        <f t="shared" si="10"/>
        <v>-20992972</v>
      </c>
      <c r="G56" s="39">
        <f t="shared" si="10"/>
        <v>-1139071.8699999999</v>
      </c>
      <c r="H56" s="61">
        <f t="shared" si="10"/>
        <v>-20992972</v>
      </c>
      <c r="I56" s="39">
        <f t="shared" si="10"/>
        <v>768094.13000000012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-1031464.8500000006</v>
      </c>
      <c r="H74" s="60">
        <f t="shared" ref="H74:I79" si="14">F74-D74</f>
        <v>0</v>
      </c>
      <c r="I74" s="38">
        <f t="shared" si="14"/>
        <v>-1031464.8500000006</v>
      </c>
    </row>
    <row r="75" spans="1:9" x14ac:dyDescent="0.25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-39</v>
      </c>
      <c r="H76" s="60">
        <f t="shared" si="14"/>
        <v>0</v>
      </c>
      <c r="I76" s="38">
        <f t="shared" si="14"/>
        <v>-39</v>
      </c>
    </row>
    <row r="77" spans="1:9" x14ac:dyDescent="0.25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-98300</v>
      </c>
    </row>
    <row r="78" spans="1:9" x14ac:dyDescent="0.25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-740250</v>
      </c>
      <c r="H80" s="60">
        <f>F80-D80</f>
        <v>0</v>
      </c>
      <c r="I80" s="38">
        <f>G80-E80</f>
        <v>-740250</v>
      </c>
    </row>
    <row r="81" spans="1:63" x14ac:dyDescent="0.25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-0.3999999999996362</v>
      </c>
      <c r="H81" s="60">
        <f>F81-D81</f>
        <v>0</v>
      </c>
      <c r="I81" s="38">
        <f>G81-E81</f>
        <v>-0.3999999999996362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-413608.98195889592</v>
      </c>
      <c r="F82" s="109">
        <f>F16+F24+F29+F36+F43+F45+F47+F49</f>
        <v>0</v>
      </c>
      <c r="G82" s="110">
        <f>SUM(G72:G81)+G16+G24+G29+G36+G43+G45+G47+G49+G51+G56+G61+G66</f>
        <v>3637623.5699999705</v>
      </c>
      <c r="H82" s="109">
        <f>H16+H24+H29+H36+H43+H45+H47+H49</f>
        <v>0</v>
      </c>
      <c r="I82" s="110">
        <f>SUM(I72:I81)+I16+I24+I29+I36+I43+I45+I47+I49+I51+I56+I61+I66</f>
        <v>4051232.5519588301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758419</v>
      </c>
      <c r="H86" s="145">
        <f t="shared" ref="H86:I88" si="15">F86-D86</f>
        <v>0</v>
      </c>
      <c r="I86" s="145">
        <f t="shared" si="15"/>
        <v>758419</v>
      </c>
    </row>
    <row r="87" spans="1:63" x14ac:dyDescent="0.25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-1386419</v>
      </c>
      <c r="H88" s="147">
        <f t="shared" si="15"/>
        <v>0</v>
      </c>
      <c r="I88" s="147">
        <f t="shared" si="15"/>
        <v>-1386419</v>
      </c>
    </row>
    <row r="89" spans="1:63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-628000</v>
      </c>
      <c r="H89" s="160">
        <f t="shared" si="16"/>
        <v>0</v>
      </c>
      <c r="I89" s="160">
        <f t="shared" si="16"/>
        <v>-628000</v>
      </c>
    </row>
    <row r="90" spans="1:63" x14ac:dyDescent="0.25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-413608.98195889592</v>
      </c>
      <c r="F91" s="160">
        <f t="shared" si="17"/>
        <v>0</v>
      </c>
      <c r="G91" s="160">
        <f t="shared" si="17"/>
        <v>3009623.5699999705</v>
      </c>
      <c r="H91" s="160">
        <f t="shared" si="17"/>
        <v>0</v>
      </c>
      <c r="I91" s="160">
        <f t="shared" si="17"/>
        <v>3423232.5519588301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3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94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'TX-CON-FLSH'!L11</f>
        <v>69066982</v>
      </c>
      <c r="E11" s="66">
        <f>'TX-CON-FLSH'!M11</f>
        <v>297584455</v>
      </c>
      <c r="F11" s="60">
        <f>'TX-CON-GL '!D11</f>
        <v>68832553</v>
      </c>
      <c r="G11" s="38">
        <f>'TX-CON-GL '!E11</f>
        <v>291280862.48000002</v>
      </c>
      <c r="H11" s="60">
        <f>F11-D11</f>
        <v>-234429</v>
      </c>
      <c r="I11" s="38">
        <f>G11-E11</f>
        <v>-6303592.5199999809</v>
      </c>
    </row>
    <row r="12" spans="1:22" x14ac:dyDescent="0.25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7880588.25</v>
      </c>
      <c r="H12" s="60">
        <f>F12-D12</f>
        <v>0</v>
      </c>
      <c r="I12" s="38">
        <f>G12-E12</f>
        <v>7880588.25</v>
      </c>
    </row>
    <row r="13" spans="1:22" x14ac:dyDescent="0.25">
      <c r="A13" s="9">
        <v>3</v>
      </c>
      <c r="B13" s="7"/>
      <c r="C13" s="18" t="s">
        <v>27</v>
      </c>
      <c r="D13" s="65">
        <f>'TX-CON-FLSH'!L13</f>
        <v>531214</v>
      </c>
      <c r="E13" s="66">
        <f>'TX-CON-FLSH'!M13</f>
        <v>2195040</v>
      </c>
      <c r="F13" s="60">
        <f>'TX-CON-GL '!D13</f>
        <v>12450000</v>
      </c>
      <c r="G13" s="38">
        <f>'TX-CON-GL '!E13</f>
        <v>43694930</v>
      </c>
      <c r="H13" s="60">
        <f t="shared" ref="H13:I15" si="0">F13-D13</f>
        <v>11918786</v>
      </c>
      <c r="I13" s="38">
        <f t="shared" si="0"/>
        <v>41499890</v>
      </c>
    </row>
    <row r="14" spans="1:22" x14ac:dyDescent="0.25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0</v>
      </c>
      <c r="F15" s="60">
        <f>'TX-CON-GL '!D15</f>
        <v>0</v>
      </c>
      <c r="G15" s="38">
        <f>'TX-CON-GL '!E15</f>
        <v>13186.059999999939</v>
      </c>
      <c r="H15" s="60">
        <f t="shared" si="0"/>
        <v>0</v>
      </c>
      <c r="I15" s="38">
        <f t="shared" si="0"/>
        <v>13186.059999999939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69598196</v>
      </c>
      <c r="E16" s="39">
        <f t="shared" si="1"/>
        <v>299779495</v>
      </c>
      <c r="F16" s="61">
        <f t="shared" si="1"/>
        <v>81282553</v>
      </c>
      <c r="G16" s="39">
        <f t="shared" si="1"/>
        <v>342869566.79000002</v>
      </c>
      <c r="H16" s="61">
        <f t="shared" si="1"/>
        <v>11684357</v>
      </c>
      <c r="I16" s="39">
        <f t="shared" si="1"/>
        <v>43090071.790000021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'TX-CON-FLSH'!L19</f>
        <v>-69114043</v>
      </c>
      <c r="E19" s="66">
        <f>'TX-CON-FLSH'!M19</f>
        <v>-294886911</v>
      </c>
      <c r="F19" s="60">
        <f>'TX-CON-GL '!D19</f>
        <v>-68208628</v>
      </c>
      <c r="G19" s="38">
        <f>'TX-CON-GL '!E19</f>
        <v>-288965600.87</v>
      </c>
      <c r="H19" s="60">
        <f>F19-D19</f>
        <v>905415</v>
      </c>
      <c r="I19" s="38">
        <f>G19-E19</f>
        <v>5921310.1299999952</v>
      </c>
    </row>
    <row r="20" spans="1:9" x14ac:dyDescent="0.25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2759456.9800000014</v>
      </c>
      <c r="H20" s="60">
        <f>F20-D20</f>
        <v>0</v>
      </c>
      <c r="I20" s="38">
        <f>G20-E20</f>
        <v>2759456.9800000014</v>
      </c>
    </row>
    <row r="21" spans="1:9" x14ac:dyDescent="0.25">
      <c r="A21" s="9">
        <v>8</v>
      </c>
      <c r="B21" s="7"/>
      <c r="C21" s="18" t="s">
        <v>27</v>
      </c>
      <c r="D21" s="65">
        <f>'TX-CON-FLSH'!L21</f>
        <v>-1345522</v>
      </c>
      <c r="E21" s="66">
        <f>'TX-CON-FLSH'!M21</f>
        <v>-5615570</v>
      </c>
      <c r="F21" s="60">
        <f>'TX-CON-GL '!D21</f>
        <v>-12450000</v>
      </c>
      <c r="G21" s="38">
        <f>'TX-CON-GL '!E21</f>
        <v>-43694930</v>
      </c>
      <c r="H21" s="60">
        <f t="shared" ref="H21:I23" si="2">F21-D21</f>
        <v>-11104478</v>
      </c>
      <c r="I21" s="38">
        <f t="shared" si="2"/>
        <v>-38079360</v>
      </c>
    </row>
    <row r="22" spans="1:9" x14ac:dyDescent="0.25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'TX-CON-FLSH'!L23</f>
        <v>17754</v>
      </c>
      <c r="E23" s="66">
        <f>'TX-CON-FLSH'!M23</f>
        <v>74802</v>
      </c>
      <c r="F23" s="60">
        <f>'TX-CON-GL '!D23</f>
        <v>144584</v>
      </c>
      <c r="G23" s="38">
        <f>'TX-CON-GL '!E23</f>
        <v>632481.84299999999</v>
      </c>
      <c r="H23" s="60">
        <f t="shared" si="2"/>
        <v>126830</v>
      </c>
      <c r="I23" s="38">
        <f t="shared" si="2"/>
        <v>557679.84299999999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-70441811</v>
      </c>
      <c r="E24" s="39">
        <f t="shared" si="3"/>
        <v>-300427679</v>
      </c>
      <c r="F24" s="61">
        <f t="shared" si="3"/>
        <v>-80514044</v>
      </c>
      <c r="G24" s="39">
        <f t="shared" si="3"/>
        <v>-329268592.04699999</v>
      </c>
      <c r="H24" s="61">
        <f t="shared" si="3"/>
        <v>-10072233</v>
      </c>
      <c r="I24" s="39">
        <f t="shared" si="3"/>
        <v>-28840913.047000006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'TX-CON-FLSH'!L27</f>
        <v>106930710</v>
      </c>
      <c r="E27" s="66">
        <f>'TX-CON-FLSH'!M27</f>
        <v>458167932</v>
      </c>
      <c r="F27" s="60">
        <f>'TX-CON-GL '!D27</f>
        <v>34130965</v>
      </c>
      <c r="G27" s="38">
        <f>'TX-CON-GL '!E27</f>
        <v>145169310.16</v>
      </c>
      <c r="H27" s="60">
        <f>F27-D27</f>
        <v>-72799745</v>
      </c>
      <c r="I27" s="38">
        <f>G27-E27</f>
        <v>-312998621.84000003</v>
      </c>
    </row>
    <row r="28" spans="1:9" x14ac:dyDescent="0.25">
      <c r="A28" s="9">
        <v>12</v>
      </c>
      <c r="B28" s="7"/>
      <c r="C28" s="18" t="s">
        <v>36</v>
      </c>
      <c r="D28" s="65">
        <f>'TX-CON-FLSH'!L28</f>
        <v>-106267038</v>
      </c>
      <c r="E28" s="66">
        <f>'TX-CON-FLSH'!M28</f>
        <v>-455261050</v>
      </c>
      <c r="F28" s="60">
        <f>'TX-CON-GL '!D28</f>
        <v>-35024031</v>
      </c>
      <c r="G28" s="38">
        <f>'TX-CON-GL '!E28</f>
        <v>-150094331.40400001</v>
      </c>
      <c r="H28" s="60">
        <f>F28-D28</f>
        <v>71243007</v>
      </c>
      <c r="I28" s="38">
        <f>G28-E28</f>
        <v>305166718.59599996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663672</v>
      </c>
      <c r="E29" s="70">
        <f t="shared" si="4"/>
        <v>2906882</v>
      </c>
      <c r="F29" s="69">
        <f t="shared" si="4"/>
        <v>-893066</v>
      </c>
      <c r="G29" s="70">
        <f t="shared" si="4"/>
        <v>-4925021.2440000176</v>
      </c>
      <c r="H29" s="69">
        <f t="shared" si="4"/>
        <v>-1556738</v>
      </c>
      <c r="I29" s="70">
        <f t="shared" si="4"/>
        <v>-7831903.2440000772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'TX-CON-FLSH'!L32</f>
        <v>537385</v>
      </c>
      <c r="E32" s="66">
        <f>'TX-CON-FLSH'!M32</f>
        <v>3</v>
      </c>
      <c r="F32" s="60">
        <f>'TX-CON-GL '!D32</f>
        <v>210413</v>
      </c>
      <c r="G32" s="38">
        <f>'TX-CON-GL '!E32</f>
        <v>892404.71100000339</v>
      </c>
      <c r="H32" s="60">
        <f>F32-D32</f>
        <v>-326972</v>
      </c>
      <c r="I32" s="38">
        <f>G32-E32</f>
        <v>892401.71100000339</v>
      </c>
    </row>
    <row r="33" spans="1:9" x14ac:dyDescent="0.25">
      <c r="A33" s="9">
        <v>14</v>
      </c>
      <c r="B33" s="7"/>
      <c r="C33" s="18" t="s">
        <v>40</v>
      </c>
      <c r="D33" s="65">
        <f>'TX-CON-FLSH'!L33</f>
        <v>-536755</v>
      </c>
      <c r="E33" s="66">
        <f>'TX-CON-FLSH'!M33</f>
        <v>-16109</v>
      </c>
      <c r="F33" s="60">
        <f>'TX-CON-GL '!D33</f>
        <v>0</v>
      </c>
      <c r="G33" s="38">
        <f>'TX-CON-GL '!E33</f>
        <v>0</v>
      </c>
      <c r="H33" s="60">
        <f t="shared" ref="H33:I35" si="5">F33-D33</f>
        <v>536755</v>
      </c>
      <c r="I33" s="38">
        <f t="shared" si="5"/>
        <v>16109</v>
      </c>
    </row>
    <row r="34" spans="1:9" x14ac:dyDescent="0.25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-6870</v>
      </c>
      <c r="G35" s="38">
        <f>'TX-CON-GL '!E35</f>
        <v>0</v>
      </c>
      <c r="H35" s="60">
        <f t="shared" si="5"/>
        <v>-6870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630</v>
      </c>
      <c r="E36" s="39">
        <f t="shared" si="6"/>
        <v>-16106</v>
      </c>
      <c r="F36" s="61">
        <f t="shared" si="6"/>
        <v>203543</v>
      </c>
      <c r="G36" s="39">
        <f t="shared" si="6"/>
        <v>892404.71100000339</v>
      </c>
      <c r="H36" s="61">
        <f t="shared" si="6"/>
        <v>202913</v>
      </c>
      <c r="I36" s="39">
        <f t="shared" si="6"/>
        <v>908510.71100000339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'TX-CON-FLSH'!L39</f>
        <v>3036024</v>
      </c>
      <c r="E39" s="66">
        <f>'TX-CON-FLSH'!M39</f>
        <v>13255287</v>
      </c>
      <c r="F39" s="60">
        <f>'TX-CON-GL '!D39</f>
        <v>287704</v>
      </c>
      <c r="G39" s="38">
        <f>'TX-CON-GL '!E39</f>
        <v>1347643.22</v>
      </c>
      <c r="H39" s="60">
        <f t="shared" ref="H39:I41" si="7">F39-D39</f>
        <v>-2748320</v>
      </c>
      <c r="I39" s="38">
        <f t="shared" si="7"/>
        <v>-11907643.779999999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'TX-CON-FLSH'!L40</f>
        <v>-2569968</v>
      </c>
      <c r="E40" s="66">
        <f>'TX-CON-FLSH'!M40</f>
        <v>-11256460</v>
      </c>
      <c r="F40" s="60">
        <f>'TX-CON-GL '!D40</f>
        <v>-20000</v>
      </c>
      <c r="G40" s="38">
        <f>'TX-CON-GL '!E40</f>
        <v>-45190.889999999992</v>
      </c>
      <c r="H40" s="60">
        <f t="shared" si="7"/>
        <v>2549968</v>
      </c>
      <c r="I40" s="38">
        <f t="shared" si="7"/>
        <v>11211269.109999999</v>
      </c>
    </row>
    <row r="41" spans="1:9" x14ac:dyDescent="0.25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-2569968</v>
      </c>
      <c r="E42" s="70">
        <f t="shared" si="8"/>
        <v>-11256460</v>
      </c>
      <c r="F42" s="69">
        <f t="shared" si="8"/>
        <v>-20000</v>
      </c>
      <c r="G42" s="70">
        <f t="shared" si="8"/>
        <v>-45190.889999999992</v>
      </c>
      <c r="H42" s="69">
        <f t="shared" si="8"/>
        <v>2549968</v>
      </c>
      <c r="I42" s="70">
        <f t="shared" si="8"/>
        <v>11211269.109999999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466056</v>
      </c>
      <c r="E43" s="39">
        <f t="shared" si="9"/>
        <v>1998827</v>
      </c>
      <c r="F43" s="61">
        <f t="shared" si="9"/>
        <v>267704</v>
      </c>
      <c r="G43" s="39">
        <f t="shared" si="9"/>
        <v>1302452.33</v>
      </c>
      <c r="H43" s="61">
        <f t="shared" si="9"/>
        <v>-198352</v>
      </c>
      <c r="I43" s="39">
        <f t="shared" si="9"/>
        <v>-696374.66999999993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'TX-CON-FLSH'!L49</f>
        <v>-286729</v>
      </c>
      <c r="E49" s="66">
        <f>'TX-CON-FLSH'!M49</f>
        <v>-1227985.2144966014</v>
      </c>
      <c r="F49" s="60">
        <f>'TX-CON-GL '!D49</f>
        <v>-73090</v>
      </c>
      <c r="G49" s="38">
        <f>'TX-CON-GL '!E49</f>
        <v>-313044.9159999988</v>
      </c>
      <c r="H49" s="60">
        <f>F49-D49</f>
        <v>213639</v>
      </c>
      <c r="I49" s="38">
        <f>G49-E49</f>
        <v>914940.29849660257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-8207</v>
      </c>
      <c r="G51" s="38">
        <f>'TX-CON-GL '!E51</f>
        <v>-35150.582999999999</v>
      </c>
      <c r="H51" s="60">
        <f>F51-D51</f>
        <v>-8207</v>
      </c>
      <c r="I51" s="38">
        <f>G51-E51</f>
        <v>-35150.582999999999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-1907166</v>
      </c>
      <c r="F54" s="60">
        <f>'TX-CON-GL '!D54</f>
        <v>-49308286</v>
      </c>
      <c r="G54" s="38">
        <f>'TX-CON-GL '!E54</f>
        <v>-2766923.87</v>
      </c>
      <c r="H54" s="60">
        <f>F54-D54</f>
        <v>-49308286</v>
      </c>
      <c r="I54" s="38">
        <f>G54-E54</f>
        <v>-859757.87000000011</v>
      </c>
    </row>
    <row r="55" spans="1:9" x14ac:dyDescent="0.25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23344</v>
      </c>
      <c r="G55" s="38">
        <f>'TX-CON-GL '!E55</f>
        <v>-169228.82</v>
      </c>
      <c r="H55" s="60">
        <f>F55-D55</f>
        <v>23344</v>
      </c>
      <c r="I55" s="38">
        <f>G55-E55</f>
        <v>-169228.82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-1907166</v>
      </c>
      <c r="F56" s="61">
        <f t="shared" si="10"/>
        <v>-49284942</v>
      </c>
      <c r="G56" s="39">
        <f t="shared" si="10"/>
        <v>-2936152.69</v>
      </c>
      <c r="H56" s="61">
        <f t="shared" si="10"/>
        <v>-49284942</v>
      </c>
      <c r="I56" s="39">
        <f t="shared" si="10"/>
        <v>-1028986.6900000002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519130.8</v>
      </c>
      <c r="F70" s="60">
        <f>'TX-CON-GL '!D70</f>
        <v>0</v>
      </c>
      <c r="G70" s="38">
        <f>'TX-CON-GL '!E70</f>
        <v>519130.8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-6879227</v>
      </c>
      <c r="F71" s="60">
        <f>'TX-CON-GL '!D71</f>
        <v>0</v>
      </c>
      <c r="G71" s="38">
        <f>'TX-CON-GL '!E71</f>
        <v>-6550905</v>
      </c>
      <c r="H71" s="60">
        <f>F71-D71</f>
        <v>0</v>
      </c>
      <c r="I71" s="38">
        <f>G71-E71</f>
        <v>328322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-6360096.2000000002</v>
      </c>
      <c r="F72" s="69">
        <f t="shared" si="13"/>
        <v>0</v>
      </c>
      <c r="G72" s="70">
        <f t="shared" si="13"/>
        <v>-6031774.2000000002</v>
      </c>
      <c r="H72" s="69">
        <f t="shared" si="13"/>
        <v>0</v>
      </c>
      <c r="I72" s="70">
        <f t="shared" si="13"/>
        <v>328322</v>
      </c>
    </row>
    <row r="73" spans="1:9" x14ac:dyDescent="0.25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5792644</v>
      </c>
      <c r="F74" s="60">
        <f>'TX-CON-GL '!D74</f>
        <v>0</v>
      </c>
      <c r="G74" s="38">
        <f>'TX-CON-GL '!E74</f>
        <v>-1101928.8200000012</v>
      </c>
      <c r="H74" s="60">
        <f t="shared" ref="H74:I79" si="14">F74-D74</f>
        <v>0</v>
      </c>
      <c r="I74" s="38">
        <f t="shared" si="14"/>
        <v>-6894572.8200000012</v>
      </c>
    </row>
    <row r="75" spans="1:9" x14ac:dyDescent="0.25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308</v>
      </c>
      <c r="F75" s="60">
        <f>'TX-CON-GL '!D75</f>
        <v>0</v>
      </c>
      <c r="G75" s="38">
        <f>'TX-CON-GL '!E75</f>
        <v>308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-1000</v>
      </c>
      <c r="F76" s="60">
        <f>'TX-CON-GL '!D76</f>
        <v>0</v>
      </c>
      <c r="G76" s="38">
        <f>'TX-CON-GL '!E76</f>
        <v>-39</v>
      </c>
      <c r="H76" s="60">
        <f t="shared" si="14"/>
        <v>0</v>
      </c>
      <c r="I76" s="38">
        <f t="shared" si="14"/>
        <v>961</v>
      </c>
    </row>
    <row r="77" spans="1:9" x14ac:dyDescent="0.25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-740250</v>
      </c>
      <c r="H80" s="60">
        <f>F80-D80</f>
        <v>0</v>
      </c>
      <c r="I80" s="38">
        <f>G80-E80</f>
        <v>-740250</v>
      </c>
    </row>
    <row r="81" spans="1:63" x14ac:dyDescent="0.25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2228</v>
      </c>
      <c r="F81" s="60">
        <f>'TX-CON-GL '!D81</f>
        <v>0</v>
      </c>
      <c r="G81" s="38">
        <f>'TX-CON-GL '!E81</f>
        <v>-0.40000000000145519</v>
      </c>
      <c r="H81" s="60">
        <f>F81-D81</f>
        <v>0</v>
      </c>
      <c r="I81" s="38">
        <f>G81-E81</f>
        <v>-2228.4000000000015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14</v>
      </c>
      <c r="E82" s="110">
        <f>SUM(E72:E81)+E16+E24+E29+E36+E43+E45+E47+E49+E51+E56+E61+E66</f>
        <v>442051.58550341055</v>
      </c>
      <c r="F82" s="109">
        <f>F16+F24+F29+F36+F43+F45+F47+F49</f>
        <v>273600</v>
      </c>
      <c r="G82" s="110">
        <f>SUM(G72:G81)+G16+G24+G29+G36+G43+G45+G47+G49+G51+G56+G61+G66</f>
        <v>-385522.0689999992</v>
      </c>
      <c r="H82" s="109">
        <f>H16+H24+H29+H36+H43+H45+H47+H49</f>
        <v>273586</v>
      </c>
      <c r="I82" s="110">
        <f>SUM(I72:I81)+I16+I24+I29+I36+I43+I45+I47+I49+I51+I56+I61+I66</f>
        <v>-827573.65450345457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'TX-CON-FLSH'!L86</f>
        <v>0</v>
      </c>
      <c r="E86" s="145">
        <f>'TX-CON-FLSH'!M86</f>
        <v>57677</v>
      </c>
      <c r="F86" s="145">
        <f>'TX-CON-GL '!D86</f>
        <v>0</v>
      </c>
      <c r="G86" s="145">
        <f>'TX-CON-GL '!E86</f>
        <v>18169</v>
      </c>
      <c r="H86" s="145">
        <f t="shared" ref="H86:I88" si="15">F86-D86</f>
        <v>0</v>
      </c>
      <c r="I86" s="145">
        <f t="shared" si="15"/>
        <v>-39508</v>
      </c>
    </row>
    <row r="87" spans="1:63" x14ac:dyDescent="0.25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'TX-CON-FLSH'!L88</f>
        <v>0</v>
      </c>
      <c r="E88" s="147">
        <f>'TX-CON-FLSH'!M88</f>
        <v>-686167</v>
      </c>
      <c r="F88" s="147">
        <f>'TX-CON-GL '!D88</f>
        <v>0</v>
      </c>
      <c r="G88" s="147">
        <f>'TX-CON-GL '!E88</f>
        <v>-646169</v>
      </c>
      <c r="H88" s="147">
        <f t="shared" si="15"/>
        <v>0</v>
      </c>
      <c r="I88" s="147">
        <f t="shared" si="15"/>
        <v>39998</v>
      </c>
    </row>
    <row r="89" spans="1:63" ht="15" x14ac:dyDescent="0.25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-628490</v>
      </c>
      <c r="F89" s="155">
        <f t="shared" si="16"/>
        <v>0</v>
      </c>
      <c r="G89" s="155">
        <f t="shared" si="16"/>
        <v>-628000</v>
      </c>
      <c r="H89" s="155">
        <f t="shared" si="16"/>
        <v>0</v>
      </c>
      <c r="I89" s="155">
        <f t="shared" si="16"/>
        <v>490</v>
      </c>
    </row>
    <row r="90" spans="1:63" x14ac:dyDescent="0.25">
      <c r="A90" s="4"/>
      <c r="B90" s="3"/>
      <c r="F90" s="31"/>
      <c r="G90" s="31"/>
      <c r="H90" s="31"/>
      <c r="I90" s="31"/>
    </row>
    <row r="91" spans="1:63" ht="15" x14ac:dyDescent="0.25">
      <c r="A91" s="151"/>
      <c r="B91" s="152"/>
      <c r="C91" s="157" t="s">
        <v>168</v>
      </c>
      <c r="D91" s="155">
        <f t="shared" ref="D91:I91" si="17">+D82+D89</f>
        <v>14</v>
      </c>
      <c r="E91" s="155">
        <f t="shared" si="17"/>
        <v>-186438.41449658945</v>
      </c>
      <c r="F91" s="155">
        <f t="shared" si="17"/>
        <v>273600</v>
      </c>
      <c r="G91" s="155">
        <f t="shared" si="17"/>
        <v>-1013522.0689999992</v>
      </c>
      <c r="H91" s="155">
        <f t="shared" si="17"/>
        <v>273586</v>
      </c>
      <c r="I91" s="155">
        <f t="shared" si="17"/>
        <v>-827083.65450345457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66" activePane="bottomRight" state="frozen"/>
      <selection pane="topRight"/>
      <selection pane="bottomLeft"/>
      <selection pane="bottomRight" activeCell="F84" sqref="F84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'WE-FLSH'!L11</f>
        <v>58210378</v>
      </c>
      <c r="E11" s="66">
        <f>'WE-FLSH'!M11</f>
        <v>245061994</v>
      </c>
      <c r="F11" s="60">
        <f>'WE-GL '!D11</f>
        <v>55884601</v>
      </c>
      <c r="G11" s="38">
        <f>'WE-GL '!E11</f>
        <v>227301319.52000001</v>
      </c>
      <c r="H11" s="60">
        <f>F11-D11</f>
        <v>-2325777</v>
      </c>
      <c r="I11" s="38">
        <f>G11-E11</f>
        <v>-17760674.479999989</v>
      </c>
    </row>
    <row r="12" spans="1:22" x14ac:dyDescent="0.25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6447434.370000001</v>
      </c>
      <c r="H12" s="60">
        <f>F12-D12</f>
        <v>0</v>
      </c>
      <c r="I12" s="38">
        <f>G12-E12</f>
        <v>6447434.370000001</v>
      </c>
    </row>
    <row r="13" spans="1:22" x14ac:dyDescent="0.25">
      <c r="A13" s="9">
        <v>3</v>
      </c>
      <c r="B13" s="7"/>
      <c r="C13" s="18" t="s">
        <v>27</v>
      </c>
      <c r="D13" s="65">
        <f>'WE-FLSH'!L13</f>
        <v>12953024</v>
      </c>
      <c r="E13" s="66">
        <f>'WE-FLSH'!M13</f>
        <v>54506391</v>
      </c>
      <c r="F13" s="60">
        <f>'WE-GL '!D13</f>
        <v>12953024</v>
      </c>
      <c r="G13" s="38">
        <f>'WE-GL '!E13</f>
        <v>54506391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1794448.5</v>
      </c>
      <c r="H15" s="60">
        <f t="shared" si="0"/>
        <v>0</v>
      </c>
      <c r="I15" s="38">
        <f t="shared" si="0"/>
        <v>1794448.5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71163402</v>
      </c>
      <c r="E16" s="39">
        <f t="shared" si="1"/>
        <v>299568385</v>
      </c>
      <c r="F16" s="61">
        <f t="shared" si="1"/>
        <v>68837625</v>
      </c>
      <c r="G16" s="39">
        <f t="shared" si="1"/>
        <v>290049593.38999999</v>
      </c>
      <c r="H16" s="61">
        <f t="shared" si="1"/>
        <v>-2325777</v>
      </c>
      <c r="I16" s="39">
        <f t="shared" si="1"/>
        <v>-9518791.6099999882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'WE-FLSH'!L19</f>
        <v>-59069841</v>
      </c>
      <c r="E19" s="66">
        <f>'WE-FLSH'!M19</f>
        <v>-245268436</v>
      </c>
      <c r="F19" s="60">
        <f>'WE-GL '!D19</f>
        <v>-56865070</v>
      </c>
      <c r="G19" s="38">
        <f>'WE-GL '!E19</f>
        <v>-224435835.52000001</v>
      </c>
      <c r="H19" s="60">
        <f>F19-D19</f>
        <v>2204771</v>
      </c>
      <c r="I19" s="38">
        <f>G19-E19</f>
        <v>20832600.479999989</v>
      </c>
    </row>
    <row r="20" spans="1:9" x14ac:dyDescent="0.25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-9827146.6600000001</v>
      </c>
      <c r="H20" s="60">
        <f>F20-D20</f>
        <v>0</v>
      </c>
      <c r="I20" s="38">
        <f>G20-E20</f>
        <v>-9827146.6600000001</v>
      </c>
    </row>
    <row r="21" spans="1:9" x14ac:dyDescent="0.25">
      <c r="A21" s="9">
        <v>8</v>
      </c>
      <c r="B21" s="7"/>
      <c r="C21" s="18" t="s">
        <v>27</v>
      </c>
      <c r="D21" s="65">
        <f>'WE-FLSH'!L21</f>
        <v>-13576708</v>
      </c>
      <c r="E21" s="66">
        <f>'WE-FLSH'!M21</f>
        <v>-56797029</v>
      </c>
      <c r="F21" s="60">
        <f>'WE-GL '!D21</f>
        <v>-13572313</v>
      </c>
      <c r="G21" s="38">
        <f>'WE-GL '!E21</f>
        <v>-56780943</v>
      </c>
      <c r="H21" s="60">
        <f t="shared" ref="H21:I23" si="2">F21-D21</f>
        <v>4395</v>
      </c>
      <c r="I21" s="38">
        <f t="shared" si="2"/>
        <v>16086</v>
      </c>
    </row>
    <row r="22" spans="1:9" x14ac:dyDescent="0.25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'WE-FLSH'!L23</f>
        <v>231555</v>
      </c>
      <c r="E23" s="66">
        <f>'WE-FLSH'!M23</f>
        <v>933645</v>
      </c>
      <c r="F23" s="60">
        <f>'WE-GL '!D23</f>
        <v>296459</v>
      </c>
      <c r="G23" s="38">
        <f>'WE-GL '!E23</f>
        <v>1185243.0819999999</v>
      </c>
      <c r="H23" s="60">
        <f t="shared" si="2"/>
        <v>64904</v>
      </c>
      <c r="I23" s="38">
        <f t="shared" si="2"/>
        <v>251598.08199999994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-72414994</v>
      </c>
      <c r="E24" s="39">
        <f t="shared" si="3"/>
        <v>-301131820</v>
      </c>
      <c r="F24" s="61">
        <f t="shared" si="3"/>
        <v>-70140924</v>
      </c>
      <c r="G24" s="39">
        <f t="shared" si="3"/>
        <v>-289858682.09799999</v>
      </c>
      <c r="H24" s="61">
        <f t="shared" si="3"/>
        <v>2274070</v>
      </c>
      <c r="I24" s="39">
        <f t="shared" si="3"/>
        <v>11273137.90199999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'WE-FLSH'!L27</f>
        <v>1146923</v>
      </c>
      <c r="E27" s="66">
        <f>'WE-FLSH'!M27</f>
        <v>4793070</v>
      </c>
      <c r="F27" s="60">
        <f>'WE-GL '!D27</f>
        <v>1146590</v>
      </c>
      <c r="G27" s="38">
        <f>'WE-GL '!E27</f>
        <v>4791616.129999999</v>
      </c>
      <c r="H27" s="60">
        <f>F27-D27</f>
        <v>-333</v>
      </c>
      <c r="I27" s="38">
        <f>G27-E27</f>
        <v>-1453.8700000010431</v>
      </c>
    </row>
    <row r="28" spans="1:9" x14ac:dyDescent="0.25">
      <c r="A28" s="9">
        <v>12</v>
      </c>
      <c r="B28" s="7"/>
      <c r="C28" s="18" t="s">
        <v>36</v>
      </c>
      <c r="D28" s="65">
        <f>'WE-FLSH'!L28</f>
        <v>0</v>
      </c>
      <c r="E28" s="66">
        <f>'WE-FLSH'!M28</f>
        <v>0</v>
      </c>
      <c r="F28" s="60">
        <f>'WE-GL '!D28</f>
        <v>0</v>
      </c>
      <c r="G28" s="38">
        <f>'WE-GL 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1146923</v>
      </c>
      <c r="E29" s="70">
        <f t="shared" si="4"/>
        <v>4793070</v>
      </c>
      <c r="F29" s="69">
        <f t="shared" si="4"/>
        <v>1146590</v>
      </c>
      <c r="G29" s="70">
        <f t="shared" si="4"/>
        <v>4791616.129999999</v>
      </c>
      <c r="H29" s="69">
        <f t="shared" si="4"/>
        <v>-333</v>
      </c>
      <c r="I29" s="70">
        <f t="shared" si="4"/>
        <v>-1453.8700000010431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'WE-FLSH'!L32</f>
        <v>40211</v>
      </c>
      <c r="E32" s="66">
        <f>'WE-FLSH'!M32</f>
        <v>156268</v>
      </c>
      <c r="F32" s="60">
        <f>'WE-GL '!D32</f>
        <v>102973</v>
      </c>
      <c r="G32" s="38">
        <f>'WE-GL '!E32</f>
        <v>411686.05799999996</v>
      </c>
      <c r="H32" s="60">
        <f>F32-D32</f>
        <v>62762</v>
      </c>
      <c r="I32" s="38">
        <f>G32-E32</f>
        <v>255418.05799999996</v>
      </c>
    </row>
    <row r="33" spans="1:9" x14ac:dyDescent="0.25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-200706</v>
      </c>
      <c r="G33" s="38">
        <f>'WE-GL '!E33</f>
        <v>-785761.29</v>
      </c>
      <c r="H33" s="60">
        <f t="shared" ref="H33:I35" si="5">F33-D33</f>
        <v>-200706</v>
      </c>
      <c r="I33" s="38">
        <f t="shared" si="5"/>
        <v>-785761.29</v>
      </c>
    </row>
    <row r="34" spans="1:9" x14ac:dyDescent="0.25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110619</v>
      </c>
      <c r="G34" s="38">
        <f>'WE-GL '!E34</f>
        <v>367099.37000000005</v>
      </c>
      <c r="H34" s="60">
        <f t="shared" si="5"/>
        <v>110619</v>
      </c>
      <c r="I34" s="38">
        <f t="shared" si="5"/>
        <v>367099.37000000005</v>
      </c>
    </row>
    <row r="35" spans="1:9" x14ac:dyDescent="0.25">
      <c r="A35" s="9">
        <v>16</v>
      </c>
      <c r="B35" s="7"/>
      <c r="C35" s="18" t="s">
        <v>42</v>
      </c>
      <c r="D35" s="65">
        <f>'WE-FLSH'!L35</f>
        <v>29687</v>
      </c>
      <c r="E35" s="66">
        <f>'WE-FLSH'!M35</f>
        <v>365184</v>
      </c>
      <c r="F35" s="60">
        <f>'WE-GL '!D35</f>
        <v>-19819</v>
      </c>
      <c r="G35" s="38">
        <f>'WE-GL '!E35</f>
        <v>-1295018.6200000001</v>
      </c>
      <c r="H35" s="60">
        <f t="shared" si="5"/>
        <v>-49506</v>
      </c>
      <c r="I35" s="38">
        <f t="shared" si="5"/>
        <v>-1660202.62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69898</v>
      </c>
      <c r="E36" s="39">
        <f t="shared" si="6"/>
        <v>521452</v>
      </c>
      <c r="F36" s="61">
        <f t="shared" si="6"/>
        <v>-6933</v>
      </c>
      <c r="G36" s="39">
        <f t="shared" si="6"/>
        <v>-1301994.4820000001</v>
      </c>
      <c r="H36" s="61">
        <f t="shared" si="6"/>
        <v>-76831</v>
      </c>
      <c r="I36" s="39">
        <f t="shared" si="6"/>
        <v>-1823446.4820000001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'WE-FLSH'!L39</f>
        <v>235600</v>
      </c>
      <c r="E39" s="66">
        <f>'WE-FLSH'!M39</f>
        <v>861532</v>
      </c>
      <c r="F39" s="60">
        <f>'WE-GL '!D39</f>
        <v>61829</v>
      </c>
      <c r="G39" s="38">
        <f>'WE-GL '!E39</f>
        <v>254460.25</v>
      </c>
      <c r="H39" s="60">
        <f t="shared" ref="H39:I41" si="7">F39-D39</f>
        <v>-173771</v>
      </c>
      <c r="I39" s="38">
        <f t="shared" si="7"/>
        <v>-607071.75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'WE-FLSH'!L40</f>
        <v>-201038</v>
      </c>
      <c r="E40" s="66">
        <f>'WE-FLSH'!M40</f>
        <v>-739643</v>
      </c>
      <c r="F40" s="60">
        <f>'WE-GL '!D40</f>
        <v>-142107</v>
      </c>
      <c r="G40" s="38">
        <f>'WE-GL '!E40</f>
        <v>-321446.01</v>
      </c>
      <c r="H40" s="60">
        <f t="shared" si="7"/>
        <v>58931</v>
      </c>
      <c r="I40" s="38">
        <f t="shared" si="7"/>
        <v>418196.99</v>
      </c>
    </row>
    <row r="41" spans="1:9" x14ac:dyDescent="0.25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-201038</v>
      </c>
      <c r="E42" s="39">
        <f t="shared" si="8"/>
        <v>-739643</v>
      </c>
      <c r="F42" s="61">
        <f t="shared" si="8"/>
        <v>-142107</v>
      </c>
      <c r="G42" s="39">
        <f t="shared" si="8"/>
        <v>-321446.01</v>
      </c>
      <c r="H42" s="61">
        <f t="shared" si="8"/>
        <v>58931</v>
      </c>
      <c r="I42" s="39">
        <f t="shared" si="8"/>
        <v>418196.99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34562</v>
      </c>
      <c r="E43" s="39">
        <f t="shared" si="9"/>
        <v>121889</v>
      </c>
      <c r="F43" s="61">
        <f t="shared" si="9"/>
        <v>-80278</v>
      </c>
      <c r="G43" s="39">
        <f t="shared" si="9"/>
        <v>-66985.760000000009</v>
      </c>
      <c r="H43" s="61">
        <f t="shared" si="9"/>
        <v>-114840</v>
      </c>
      <c r="I43" s="39">
        <f t="shared" si="9"/>
        <v>-188874.76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'WE-FLSH'!L49</f>
        <v>209</v>
      </c>
      <c r="E49" s="66">
        <f>'WE-FLSH'!M49</f>
        <v>835.53003451631116</v>
      </c>
      <c r="F49" s="60">
        <f>'WE-GL '!D49</f>
        <v>243920</v>
      </c>
      <c r="G49" s="38">
        <f>'WE-GL '!E49</f>
        <v>975192.16000000015</v>
      </c>
      <c r="H49" s="60">
        <f>F49-D49</f>
        <v>243711</v>
      </c>
      <c r="I49" s="38">
        <f>G49-E49</f>
        <v>974356.62996548379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'WE-FLSH'!L51</f>
        <v>-231555</v>
      </c>
      <c r="E51" s="66">
        <f>'WE-FLSH'!M51</f>
        <v>-933645</v>
      </c>
      <c r="F51" s="60">
        <f>'WE-GL '!D51</f>
        <v>-296459</v>
      </c>
      <c r="G51" s="38">
        <f>'WE-GL '!E51</f>
        <v>-1185243.0819999999</v>
      </c>
      <c r="H51" s="60">
        <f>F51-D51</f>
        <v>-64904</v>
      </c>
      <c r="I51" s="38">
        <f>G51-E51</f>
        <v>-251598.08199999994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-251684.38</v>
      </c>
      <c r="F54" s="60">
        <f>'WE-GL '!D54</f>
        <v>-22479702</v>
      </c>
      <c r="G54" s="38">
        <f>'WE-GL '!E54</f>
        <v>1629302.46</v>
      </c>
      <c r="H54" s="60">
        <f>F54-D54</f>
        <v>-22479702</v>
      </c>
      <c r="I54" s="38">
        <f>G54-E54</f>
        <v>1880986.8399999999</v>
      </c>
    </row>
    <row r="55" spans="1:9" x14ac:dyDescent="0.25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-1093891.19</v>
      </c>
      <c r="F55" s="60">
        <f>'WE-GL '!D55</f>
        <v>0</v>
      </c>
      <c r="G55" s="38">
        <f>'WE-GL '!E55</f>
        <v>-4653460.08</v>
      </c>
      <c r="H55" s="60">
        <f>F55-D55</f>
        <v>0</v>
      </c>
      <c r="I55" s="38">
        <f>G55-E55</f>
        <v>-3559568.89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-1345575.5699999998</v>
      </c>
      <c r="F56" s="61">
        <f t="shared" si="10"/>
        <v>-22479702</v>
      </c>
      <c r="G56" s="39">
        <f t="shared" si="10"/>
        <v>-3024157.62</v>
      </c>
      <c r="H56" s="61">
        <f t="shared" si="10"/>
        <v>-22479702</v>
      </c>
      <c r="I56" s="39">
        <f t="shared" si="10"/>
        <v>-1678582.0500000003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22698435.849599995</v>
      </c>
      <c r="F70" s="60">
        <f>'WE-GL '!D70</f>
        <v>0</v>
      </c>
      <c r="G70" s="38">
        <f>'WE-GL '!E70</f>
        <v>22698435.850000001</v>
      </c>
      <c r="H70" s="60">
        <f>F70-D70</f>
        <v>0</v>
      </c>
      <c r="I70" s="38">
        <f>G70-E70</f>
        <v>4.0000677108764648E-4</v>
      </c>
    </row>
    <row r="71" spans="1:9" x14ac:dyDescent="0.25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-35291625</v>
      </c>
      <c r="F71" s="60">
        <f>'WE-GL '!D71</f>
        <v>0</v>
      </c>
      <c r="G71" s="38">
        <f>'WE-GL '!E71</f>
        <v>-35422068</v>
      </c>
      <c r="H71" s="60">
        <f>F71-D71</f>
        <v>0</v>
      </c>
      <c r="I71" s="38">
        <f>G71-E71</f>
        <v>-130443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-12593189.150400005</v>
      </c>
      <c r="F72" s="61">
        <f t="shared" si="13"/>
        <v>0</v>
      </c>
      <c r="G72" s="39">
        <f t="shared" si="13"/>
        <v>-12723632.149999999</v>
      </c>
      <c r="H72" s="61">
        <f t="shared" si="13"/>
        <v>0</v>
      </c>
      <c r="I72" s="39">
        <f t="shared" si="13"/>
        <v>-130442.99959999323</v>
      </c>
    </row>
    <row r="73" spans="1:9" x14ac:dyDescent="0.25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18553354</v>
      </c>
      <c r="F74" s="60">
        <f>'WE-GL '!D74</f>
        <v>0</v>
      </c>
      <c r="G74" s="38">
        <f>'WE-GL '!E74</f>
        <v>19510989.699999999</v>
      </c>
      <c r="H74" s="60">
        <f t="shared" ref="H74:I79" si="14">F74-D74</f>
        <v>0</v>
      </c>
      <c r="I74" s="38">
        <f t="shared" si="14"/>
        <v>957635.69999999925</v>
      </c>
    </row>
    <row r="75" spans="1:9" x14ac:dyDescent="0.25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-30352</v>
      </c>
      <c r="F76" s="60">
        <f>'WE-GL '!D76</f>
        <v>0</v>
      </c>
      <c r="G76" s="38">
        <f>'WE-GL '!E76</f>
        <v>-31067.98</v>
      </c>
      <c r="H76" s="60">
        <f t="shared" si="14"/>
        <v>0</v>
      </c>
      <c r="I76" s="38">
        <f t="shared" si="14"/>
        <v>-715.97999999999956</v>
      </c>
    </row>
    <row r="77" spans="1:9" x14ac:dyDescent="0.25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-22208</v>
      </c>
      <c r="F81" s="60">
        <f>'WE-GL '!D81</f>
        <v>0</v>
      </c>
      <c r="G81" s="38">
        <f>'WE-GL '!E81</f>
        <v>609.85999999999967</v>
      </c>
      <c r="H81" s="60">
        <f>F81-D81</f>
        <v>0</v>
      </c>
      <c r="I81" s="38">
        <f>G81-E81</f>
        <v>22817.86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7502195.8096345328</v>
      </c>
      <c r="F82" s="109">
        <f>F16+F24+F29+F36+F43+F45+F47+F49</f>
        <v>0</v>
      </c>
      <c r="G82" s="110">
        <f>SUM(G72:G81)+G16+G24+G29+G36+G43+G45+G47+G49+G51+G56+G61+G66</f>
        <v>7136238.0680000009</v>
      </c>
      <c r="H82" s="109">
        <f>H16+H24+H29+H36+H43+H45+H47+H49</f>
        <v>0</v>
      </c>
      <c r="I82" s="110">
        <f>SUM(I72:I81)+I16+I24+I29+I36+I43+I45+I47+I49+I51+I56+I61+I66</f>
        <v>-365957.74163450953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/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196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'DEN-FLSH'!L11</f>
        <v>3454894</v>
      </c>
      <c r="E11" s="66">
        <f>'DEN-FLSH'!M11</f>
        <v>12336669</v>
      </c>
      <c r="F11" s="60">
        <f>'DEN-GL'!D11</f>
        <v>3476874</v>
      </c>
      <c r="G11" s="38">
        <f>'DEN-GL'!E11</f>
        <v>12013841.77</v>
      </c>
      <c r="H11" s="60">
        <f>F11-D11</f>
        <v>21980</v>
      </c>
      <c r="I11" s="38">
        <f>G11-E11</f>
        <v>-322827.23000000045</v>
      </c>
    </row>
    <row r="12" spans="1:22" x14ac:dyDescent="0.25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71276.829999999987</v>
      </c>
      <c r="H12" s="60">
        <f>F12-D12</f>
        <v>0</v>
      </c>
      <c r="I12" s="38">
        <f>G12-E12</f>
        <v>71276.829999999987</v>
      </c>
    </row>
    <row r="13" spans="1:22" x14ac:dyDescent="0.25">
      <c r="A13" s="9">
        <v>3</v>
      </c>
      <c r="B13" s="7"/>
      <c r="C13" s="18" t="s">
        <v>27</v>
      </c>
      <c r="D13" s="65">
        <f>'DEN-FLSH'!L13</f>
        <v>5098819</v>
      </c>
      <c r="E13" s="66">
        <f>'DEN-FLSH'!M13</f>
        <v>19858480</v>
      </c>
      <c r="F13" s="60">
        <f>'DEN-GL'!D13</f>
        <v>5098819</v>
      </c>
      <c r="G13" s="38">
        <f>'DEN-GL'!E13</f>
        <v>19858480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148976.09</v>
      </c>
      <c r="F15" s="60">
        <f>'DEN-GL'!D15</f>
        <v>0</v>
      </c>
      <c r="G15" s="38">
        <f>'DEN-GL'!E15</f>
        <v>0</v>
      </c>
      <c r="H15" s="60">
        <f t="shared" si="0"/>
        <v>0</v>
      </c>
      <c r="I15" s="38">
        <f t="shared" si="0"/>
        <v>-148976.09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8553713</v>
      </c>
      <c r="E16" s="39">
        <f t="shared" si="1"/>
        <v>32344125.09</v>
      </c>
      <c r="F16" s="61">
        <f t="shared" si="1"/>
        <v>8575693</v>
      </c>
      <c r="G16" s="39">
        <f t="shared" si="1"/>
        <v>31943598.600000001</v>
      </c>
      <c r="H16" s="61">
        <f t="shared" si="1"/>
        <v>21980</v>
      </c>
      <c r="I16" s="39">
        <f t="shared" si="1"/>
        <v>-400526.49000000046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'DEN-FLSH'!L19</f>
        <v>-5280552</v>
      </c>
      <c r="E19" s="66">
        <f>'DEN-FLSH'!M19</f>
        <v>-18326942</v>
      </c>
      <c r="F19" s="60">
        <f>'DEN-GL'!D19</f>
        <v>-5206159</v>
      </c>
      <c r="G19" s="38">
        <f>'DEN-GL'!E19</f>
        <v>-17444020.100000001</v>
      </c>
      <c r="H19" s="60">
        <f>F19-D19</f>
        <v>74393</v>
      </c>
      <c r="I19" s="38">
        <f>G19-E19</f>
        <v>882921.89999999851</v>
      </c>
    </row>
    <row r="20" spans="1:9" x14ac:dyDescent="0.25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282068.21999999997</v>
      </c>
      <c r="H20" s="60">
        <f>F20-D20</f>
        <v>0</v>
      </c>
      <c r="I20" s="38">
        <f>G20-E20</f>
        <v>282068.21999999997</v>
      </c>
    </row>
    <row r="21" spans="1:9" x14ac:dyDescent="0.25">
      <c r="A21" s="9">
        <v>8</v>
      </c>
      <c r="B21" s="7"/>
      <c r="C21" s="18" t="s">
        <v>27</v>
      </c>
      <c r="D21" s="65">
        <f>'DEN-FLSH'!L21</f>
        <v>-3517539</v>
      </c>
      <c r="E21" s="66">
        <f>'DEN-FLSH'!M21</f>
        <v>-13563594</v>
      </c>
      <c r="F21" s="60">
        <f>'DEN-GL'!D21</f>
        <v>-3517539</v>
      </c>
      <c r="G21" s="38">
        <f>'DEN-GL'!E21</f>
        <v>-13563594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'DEN-FLSH'!L23</f>
        <v>11741</v>
      </c>
      <c r="E23" s="66">
        <f>'DEN-FLSH'!M23</f>
        <v>44321</v>
      </c>
      <c r="F23" s="60">
        <f>'DEN-GL'!D23</f>
        <v>0</v>
      </c>
      <c r="G23" s="38">
        <f>'DEN-GL'!E23</f>
        <v>0</v>
      </c>
      <c r="H23" s="60">
        <f t="shared" si="2"/>
        <v>-11741</v>
      </c>
      <c r="I23" s="38">
        <f t="shared" si="2"/>
        <v>-44321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-8786350</v>
      </c>
      <c r="E24" s="39">
        <f t="shared" si="3"/>
        <v>-31846215</v>
      </c>
      <c r="F24" s="61">
        <f t="shared" si="3"/>
        <v>-8723698</v>
      </c>
      <c r="G24" s="39">
        <f t="shared" si="3"/>
        <v>-30725545.880000003</v>
      </c>
      <c r="H24" s="61">
        <f t="shared" si="3"/>
        <v>62652</v>
      </c>
      <c r="I24" s="39">
        <f t="shared" si="3"/>
        <v>1120669.1199999985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'DEN-FLSH'!L32</f>
        <v>5326</v>
      </c>
      <c r="E32" s="66">
        <f>'DEN-FLSH'!M32</f>
        <v>45234</v>
      </c>
      <c r="F32" s="60">
        <f>'DEN-GL'!D32</f>
        <v>0</v>
      </c>
      <c r="G32" s="38">
        <f>'DEN-GL'!E32</f>
        <v>0</v>
      </c>
      <c r="H32" s="60">
        <f>F32-D32</f>
        <v>-5326</v>
      </c>
      <c r="I32" s="38">
        <f>G32-E32</f>
        <v>-45234</v>
      </c>
    </row>
    <row r="33" spans="1:9" x14ac:dyDescent="0.25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5326</v>
      </c>
      <c r="E36" s="39">
        <f t="shared" si="6"/>
        <v>45234</v>
      </c>
      <c r="F36" s="61">
        <f t="shared" si="6"/>
        <v>0</v>
      </c>
      <c r="G36" s="39">
        <f t="shared" si="6"/>
        <v>0</v>
      </c>
      <c r="H36" s="61">
        <f t="shared" si="6"/>
        <v>-5326</v>
      </c>
      <c r="I36" s="39">
        <f t="shared" si="6"/>
        <v>-45234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'DEN-FLSH'!L49</f>
        <v>227311</v>
      </c>
      <c r="E49" s="66">
        <f>'DEN-FLSH'!M49</f>
        <v>774269.41283129342</v>
      </c>
      <c r="F49" s="60">
        <f>'DEN-GL'!D49</f>
        <v>148005</v>
      </c>
      <c r="G49" s="38">
        <f>'DEN-GL'!E49</f>
        <v>504105.01800000109</v>
      </c>
      <c r="H49" s="60">
        <f>F49-D49</f>
        <v>-79306</v>
      </c>
      <c r="I49" s="38">
        <f>G49-E49</f>
        <v>-270164.39483129233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'DEN-FLSH'!L51</f>
        <v>-11741</v>
      </c>
      <c r="E51" s="66">
        <f>'DEN-FLSH'!M51</f>
        <v>-44321</v>
      </c>
      <c r="F51" s="60">
        <f>'DEN-GL'!D51</f>
        <v>0</v>
      </c>
      <c r="G51" s="38">
        <f>'DEN-GL'!E51</f>
        <v>0</v>
      </c>
      <c r="H51" s="60">
        <f>F51-D51</f>
        <v>11741</v>
      </c>
      <c r="I51" s="38">
        <f>G51-E51</f>
        <v>44321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-342852.31</v>
      </c>
      <c r="F54" s="60">
        <f>'DEN-GL'!D54</f>
        <v>-10600305</v>
      </c>
      <c r="G54" s="38">
        <f>'DEN-GL'!E54</f>
        <v>125667.37999999999</v>
      </c>
      <c r="H54" s="60">
        <f>F54-D54</f>
        <v>-10600305</v>
      </c>
      <c r="I54" s="38">
        <f>G54-E54</f>
        <v>468519.69</v>
      </c>
    </row>
    <row r="55" spans="1:9" x14ac:dyDescent="0.25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-585889.81999999995</v>
      </c>
      <c r="F55" s="60">
        <f>'DEN-GL'!D55</f>
        <v>0</v>
      </c>
      <c r="G55" s="38">
        <f>'DEN-GL'!E55</f>
        <v>-1380930.3399999999</v>
      </c>
      <c r="H55" s="60">
        <f>F55-D55</f>
        <v>0</v>
      </c>
      <c r="I55" s="38">
        <f>G55-E55</f>
        <v>-795040.5199999999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-928742.12999999989</v>
      </c>
      <c r="F56" s="61">
        <f t="shared" si="10"/>
        <v>-10600305</v>
      </c>
      <c r="G56" s="39">
        <f t="shared" si="10"/>
        <v>-1255262.96</v>
      </c>
      <c r="H56" s="61">
        <f t="shared" si="10"/>
        <v>-10600305</v>
      </c>
      <c r="I56" s="39">
        <f t="shared" si="10"/>
        <v>-326520.8299999999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1000000</v>
      </c>
      <c r="F70" s="60">
        <f>'DEN-GL'!D70</f>
        <v>0</v>
      </c>
      <c r="G70" s="38">
        <f>'DEN-GL'!E70</f>
        <v>999999.96</v>
      </c>
      <c r="H70" s="60">
        <f>F70-D70</f>
        <v>0</v>
      </c>
      <c r="I70" s="38">
        <f>G70-E70</f>
        <v>-4.0000000037252903E-2</v>
      </c>
    </row>
    <row r="71" spans="1:9" x14ac:dyDescent="0.25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-1096737</v>
      </c>
      <c r="F71" s="60">
        <f>'DEN-GL'!D71</f>
        <v>0</v>
      </c>
      <c r="G71" s="38">
        <f>'DEN-GL'!E71</f>
        <v>-1096737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-96737</v>
      </c>
      <c r="F72" s="61">
        <f t="shared" si="13"/>
        <v>0</v>
      </c>
      <c r="G72" s="39">
        <f t="shared" si="13"/>
        <v>-96737.040000000037</v>
      </c>
      <c r="H72" s="61">
        <f t="shared" si="13"/>
        <v>0</v>
      </c>
      <c r="I72" s="39">
        <f t="shared" si="13"/>
        <v>-4.0000000037252903E-2</v>
      </c>
    </row>
    <row r="73" spans="1:9" x14ac:dyDescent="0.25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1775</v>
      </c>
      <c r="F74" s="60">
        <f>'DEN-GL'!D74</f>
        <v>0</v>
      </c>
      <c r="G74" s="38">
        <f>'DEN-GL'!E74</f>
        <v>-232872.15</v>
      </c>
      <c r="H74" s="60">
        <f t="shared" ref="H74:I79" si="14">F74-D74</f>
        <v>0</v>
      </c>
      <c r="I74" s="38">
        <f t="shared" si="14"/>
        <v>-234647.15</v>
      </c>
    </row>
    <row r="75" spans="1:9" x14ac:dyDescent="0.25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-732</v>
      </c>
      <c r="F76" s="60">
        <f>'DEN-GL'!D76</f>
        <v>0</v>
      </c>
      <c r="G76" s="38">
        <f>'DEN-GL'!E76</f>
        <v>-534</v>
      </c>
      <c r="H76" s="60">
        <f t="shared" si="14"/>
        <v>0</v>
      </c>
      <c r="I76" s="38">
        <f t="shared" si="14"/>
        <v>198</v>
      </c>
    </row>
    <row r="77" spans="1:9" x14ac:dyDescent="0.25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-28234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28234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220422.37283129338</v>
      </c>
      <c r="F82" s="109">
        <f>F16+F24+F29+F36+F43+F45+F47+F49</f>
        <v>0</v>
      </c>
      <c r="G82" s="110">
        <f>SUM(G72:G81)+G16+G24+G29+G36+G43+G45+G47+G49+G51+G56+G61+G66</f>
        <v>136751.58799999859</v>
      </c>
      <c r="H82" s="109">
        <f>H16+H24+H29+H36+H43+H45+H47+H49</f>
        <v>0</v>
      </c>
      <c r="I82" s="110">
        <f>SUM(I72:I81)+I16+I24+I29+I36+I43+I45+I47+I49+I51+I56+I61+I66</f>
        <v>-83670.784831294266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67">
        <f>+'DEN-FLSH'!L86</f>
        <v>0</v>
      </c>
      <c r="E86" s="222">
        <f>+'DEN-FLSH'!M86</f>
        <v>54892</v>
      </c>
      <c r="F86" s="67">
        <f>'DEN-GL'!D86</f>
        <v>0</v>
      </c>
      <c r="G86" s="219">
        <f>'DEN-GL'!E86</f>
        <v>55000</v>
      </c>
      <c r="H86" s="219">
        <f t="shared" ref="H86:I88" si="15">F86-D86</f>
        <v>0</v>
      </c>
      <c r="I86" s="145">
        <f t="shared" si="15"/>
        <v>108</v>
      </c>
    </row>
    <row r="87" spans="1:63" x14ac:dyDescent="0.25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0</v>
      </c>
      <c r="H87" s="6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220">
        <f>+'DEN-FLSH'!L88</f>
        <v>0</v>
      </c>
      <c r="E88" s="136">
        <f>+'DEN-FLSH'!M88</f>
        <v>0</v>
      </c>
      <c r="F88" s="220">
        <f>'DEN-GL'!D88</f>
        <v>0</v>
      </c>
      <c r="G88" s="221">
        <f>'DEN-GL'!E88</f>
        <v>0</v>
      </c>
      <c r="H88" s="221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165</v>
      </c>
      <c r="D89" s="224">
        <f t="shared" ref="D89:I89" si="16">SUM(D86:D88)</f>
        <v>0</v>
      </c>
      <c r="E89" s="224">
        <f t="shared" si="16"/>
        <v>54892</v>
      </c>
      <c r="F89" s="224">
        <f t="shared" si="16"/>
        <v>0</v>
      </c>
      <c r="G89" s="224">
        <f t="shared" si="16"/>
        <v>55000</v>
      </c>
      <c r="H89" s="160">
        <f t="shared" si="16"/>
        <v>0</v>
      </c>
      <c r="I89" s="160">
        <f t="shared" si="16"/>
        <v>108</v>
      </c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G71" sqref="G7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-1405797</v>
      </c>
      <c r="F12" s="60">
        <f>STG_GL!D12</f>
        <v>0</v>
      </c>
      <c r="G12" s="38">
        <f>STG_GL!E12</f>
        <v>-74633.570000000007</v>
      </c>
      <c r="H12" s="60">
        <f>F12-D12</f>
        <v>0</v>
      </c>
      <c r="I12" s="38">
        <f>G12-E12</f>
        <v>1331163.43</v>
      </c>
    </row>
    <row r="13" spans="1:22" x14ac:dyDescent="0.25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-1366458</v>
      </c>
      <c r="H13" s="60">
        <f t="shared" ref="H13:I15" si="0">F13-D13</f>
        <v>0</v>
      </c>
      <c r="I13" s="38">
        <f t="shared" si="0"/>
        <v>-1366458</v>
      </c>
    </row>
    <row r="14" spans="1:22" x14ac:dyDescent="0.25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-1405797</v>
      </c>
      <c r="F16" s="61">
        <f t="shared" si="1"/>
        <v>0</v>
      </c>
      <c r="G16" s="39">
        <f t="shared" si="1"/>
        <v>-1441091.57</v>
      </c>
      <c r="H16" s="61">
        <f t="shared" si="1"/>
        <v>0</v>
      </c>
      <c r="I16" s="39">
        <f t="shared" si="1"/>
        <v>-35294.570000000065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-102602.52</v>
      </c>
      <c r="H51" s="60">
        <f>F51-D51</f>
        <v>0</v>
      </c>
      <c r="I51" s="38">
        <f>G51-E51</f>
        <v>-102602.52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2162</v>
      </c>
      <c r="F60" s="60">
        <f>STG_GL!D60</f>
        <v>0</v>
      </c>
      <c r="G60" s="38">
        <f>STG_GL!E60</f>
        <v>0</v>
      </c>
      <c r="H60" s="60">
        <f>F60-D60</f>
        <v>0</v>
      </c>
      <c r="I60" s="38">
        <f>G60-E60</f>
        <v>-2162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2162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-2162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143257916</v>
      </c>
      <c r="F70" s="60">
        <f>STG_GL!D70</f>
        <v>0</v>
      </c>
      <c r="G70" s="38">
        <f>STG_GL!E70</f>
        <v>146095483</v>
      </c>
      <c r="H70" s="60">
        <f>F70-D70</f>
        <v>0</v>
      </c>
      <c r="I70" s="38">
        <f>G70-E70</f>
        <v>2837567</v>
      </c>
    </row>
    <row r="71" spans="1:9" x14ac:dyDescent="0.25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-143891613</v>
      </c>
      <c r="F71" s="60">
        <f>STG_GL!D71</f>
        <v>0</v>
      </c>
      <c r="G71" s="38">
        <f>STG_GL!E71</f>
        <v>-146729180</v>
      </c>
      <c r="H71" s="60">
        <f>F71-D71</f>
        <v>0</v>
      </c>
      <c r="I71" s="38">
        <f>G71-E71</f>
        <v>-2837567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-633697</v>
      </c>
      <c r="F72" s="69">
        <f t="shared" si="13"/>
        <v>0</v>
      </c>
      <c r="G72" s="70">
        <f t="shared" si="13"/>
        <v>-633697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129</v>
      </c>
      <c r="D73" s="65">
        <f>STG_FLSH!L73</f>
        <v>0</v>
      </c>
      <c r="E73" s="66">
        <f>STG_FLSH!M73</f>
        <v>-39048</v>
      </c>
      <c r="F73" s="60">
        <f>STG_GL!D73</f>
        <v>0</v>
      </c>
      <c r="G73" s="38">
        <f>STG_GL!E73</f>
        <v>0</v>
      </c>
      <c r="H73" s="60">
        <f>F73-D73</f>
        <v>0</v>
      </c>
      <c r="I73" s="38">
        <f>G73-E73</f>
        <v>39048</v>
      </c>
    </row>
    <row r="74" spans="1:9" x14ac:dyDescent="0.25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3467694</v>
      </c>
      <c r="F74" s="60">
        <f>STG_GL!D74</f>
        <v>0</v>
      </c>
      <c r="G74" s="38">
        <f>STG_GL!E74</f>
        <v>1726015.4400000004</v>
      </c>
      <c r="H74" s="60">
        <f t="shared" ref="H74:I79" si="14">F74-D74</f>
        <v>0</v>
      </c>
      <c r="I74" s="38">
        <f t="shared" si="14"/>
        <v>-1741678.5599999996</v>
      </c>
    </row>
    <row r="75" spans="1:9" x14ac:dyDescent="0.25">
      <c r="A75" s="9">
        <v>34</v>
      </c>
      <c r="B75" s="3"/>
      <c r="C75" s="10" t="s">
        <v>232</v>
      </c>
      <c r="D75" s="65">
        <f>STG_FLSH!L75</f>
        <v>0</v>
      </c>
      <c r="E75" s="66">
        <f>STG_FLSH!M75</f>
        <v>-1778864</v>
      </c>
      <c r="F75" s="60">
        <f>STG_GL!D75</f>
        <v>0</v>
      </c>
      <c r="G75" s="38">
        <f>STG_GL!E75</f>
        <v>-1778864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-5196</v>
      </c>
      <c r="F76" s="60">
        <f>STG_GL!D76</f>
        <v>0</v>
      </c>
      <c r="G76" s="38">
        <f>STG_GL!E76</f>
        <v>-5196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-466578</v>
      </c>
      <c r="H77" s="60">
        <f t="shared" si="14"/>
        <v>0</v>
      </c>
      <c r="I77" s="38">
        <f t="shared" si="14"/>
        <v>-84151</v>
      </c>
    </row>
    <row r="78" spans="1:9" x14ac:dyDescent="0.25">
      <c r="A78" s="9">
        <v>37</v>
      </c>
      <c r="B78" s="3"/>
      <c r="C78" s="10" t="s">
        <v>204</v>
      </c>
      <c r="D78" s="65">
        <f>STG_FLSH!L78</f>
        <v>0</v>
      </c>
      <c r="E78" s="66">
        <f>STG_FLSH!M78</f>
        <v>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205</v>
      </c>
      <c r="D79" s="65">
        <f>STG_FLSH!L79</f>
        <v>0</v>
      </c>
      <c r="E79" s="66">
        <f>STG_FLSH!M79</f>
        <v>-103709</v>
      </c>
      <c r="F79" s="60">
        <f>STG_GL!D79</f>
        <v>0</v>
      </c>
      <c r="G79" s="38">
        <f>STG_GL!E79</f>
        <v>0</v>
      </c>
      <c r="H79" s="60">
        <f t="shared" si="14"/>
        <v>0</v>
      </c>
      <c r="I79" s="38">
        <f t="shared" si="14"/>
        <v>103709</v>
      </c>
    </row>
    <row r="80" spans="1:9" x14ac:dyDescent="0.25">
      <c r="A80" s="9">
        <v>39</v>
      </c>
      <c r="B80" s="3"/>
      <c r="C80" s="10" t="s">
        <v>211</v>
      </c>
      <c r="D80" s="65">
        <f>STG_FLSH!L80</f>
        <v>0</v>
      </c>
      <c r="E80" s="66">
        <f>STG_FLSH!M80</f>
        <v>0</v>
      </c>
      <c r="F80" s="60">
        <f>STG_GL!D80</f>
        <v>0</v>
      </c>
      <c r="G80" s="38">
        <f>STG_GL!E80</f>
        <v>-128.33000000000001</v>
      </c>
      <c r="H80" s="60">
        <f>F80-D80</f>
        <v>0</v>
      </c>
      <c r="I80" s="38">
        <f>G80-E80</f>
        <v>-128.33000000000001</v>
      </c>
    </row>
    <row r="81" spans="1:63" x14ac:dyDescent="0.25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1119846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-1119846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240964</v>
      </c>
      <c r="F82" s="109">
        <f>F16+F24+F29+F36+F43+F45+F47+F49</f>
        <v>0</v>
      </c>
      <c r="G82" s="110">
        <f>SUM(G72:G81)+G16+G24+G29+G36+G43+G45+G47+G49+G51+G56+G61+G66</f>
        <v>-2702141.98</v>
      </c>
      <c r="H82" s="109">
        <f>H16+H24+H29+H36+H43+H45+H47+H49</f>
        <v>0</v>
      </c>
      <c r="I82" s="110">
        <f>SUM(I72:I81)+I16+I24+I29+I36+I43+I45+I47+I49+I51+I56+I61+I66</f>
        <v>-2943105.98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155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ONT_FLSH!L11</f>
        <v>32244210</v>
      </c>
      <c r="E11" s="66">
        <f>ONT_FLSH!M11</f>
        <v>144548936</v>
      </c>
      <c r="F11" s="60">
        <f>'ONT_GL '!D11</f>
        <v>29094640</v>
      </c>
      <c r="G11" s="38">
        <f>'ONT_GL '!E11</f>
        <v>126763236.66999999</v>
      </c>
      <c r="H11" s="60">
        <f>F11-D11</f>
        <v>-3149570</v>
      </c>
      <c r="I11" s="38">
        <f>G11-E11</f>
        <v>-17785699.330000013</v>
      </c>
    </row>
    <row r="12" spans="1:22" x14ac:dyDescent="0.25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28127838.59</v>
      </c>
      <c r="H12" s="60">
        <f>F12-D12</f>
        <v>0</v>
      </c>
      <c r="I12" s="38">
        <f>G12-E12</f>
        <v>28127838.59</v>
      </c>
    </row>
    <row r="13" spans="1:22" x14ac:dyDescent="0.25">
      <c r="A13" s="9">
        <v>3</v>
      </c>
      <c r="B13" s="7"/>
      <c r="C13" s="18" t="s">
        <v>27</v>
      </c>
      <c r="D13" s="65">
        <f>ONT_FLSH!L13</f>
        <v>4177126</v>
      </c>
      <c r="E13" s="66">
        <f>ONT_FLSH!M13</f>
        <v>18321298</v>
      </c>
      <c r="F13" s="60">
        <f>'ONT_GL '!D13</f>
        <v>4177126</v>
      </c>
      <c r="G13" s="38">
        <f>'ONT_GL '!E13</f>
        <v>18321298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341000</v>
      </c>
      <c r="H15" s="60">
        <f t="shared" si="0"/>
        <v>0</v>
      </c>
      <c r="I15" s="38">
        <f t="shared" si="0"/>
        <v>341000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36421336</v>
      </c>
      <c r="E16" s="39">
        <f t="shared" si="1"/>
        <v>162870234</v>
      </c>
      <c r="F16" s="61">
        <f t="shared" si="1"/>
        <v>33271766</v>
      </c>
      <c r="G16" s="39">
        <f t="shared" si="1"/>
        <v>173553373.25999999</v>
      </c>
      <c r="H16" s="61">
        <f t="shared" si="1"/>
        <v>-3149570</v>
      </c>
      <c r="I16" s="39">
        <f t="shared" si="1"/>
        <v>10683139.259999987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ONT_FLSH!L19</f>
        <v>-35358574</v>
      </c>
      <c r="E19" s="66">
        <f>ONT_FLSH!M19</f>
        <v>-158498450</v>
      </c>
      <c r="F19" s="60">
        <f>'ONT_GL '!D19</f>
        <v>-32201268</v>
      </c>
      <c r="G19" s="38">
        <f>'ONT_GL '!E19</f>
        <v>-143596469.96000001</v>
      </c>
      <c r="H19" s="60">
        <f>F19-D19</f>
        <v>3157306</v>
      </c>
      <c r="I19" s="38">
        <f>G19-E19</f>
        <v>14901980.039999992</v>
      </c>
    </row>
    <row r="20" spans="1:9" x14ac:dyDescent="0.25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-25724163.960000001</v>
      </c>
      <c r="H20" s="60">
        <f>F20-D20</f>
        <v>0</v>
      </c>
      <c r="I20" s="38">
        <f>G20-E20</f>
        <v>-25724163.960000001</v>
      </c>
    </row>
    <row r="21" spans="1:9" x14ac:dyDescent="0.25">
      <c r="A21" s="9">
        <v>8</v>
      </c>
      <c r="B21" s="7"/>
      <c r="C21" s="18" t="s">
        <v>27</v>
      </c>
      <c r="D21" s="65">
        <f>ONT_FLSH!L21</f>
        <v>-1064304</v>
      </c>
      <c r="E21" s="66">
        <f>ONT_FLSH!M21</f>
        <v>-4329544</v>
      </c>
      <c r="F21" s="60">
        <f>'ONT_GL '!D21</f>
        <v>-1064304</v>
      </c>
      <c r="G21" s="38">
        <f>'ONT_GL '!E21</f>
        <v>-4329544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ONT_FLSH!L23</f>
        <v>20730</v>
      </c>
      <c r="E23" s="66">
        <f>ONT_FLSH!M23</f>
        <v>74931</v>
      </c>
      <c r="F23" s="60">
        <f>'ONT_GL '!D23</f>
        <v>0</v>
      </c>
      <c r="G23" s="38">
        <f>'ONT_GL '!E23</f>
        <v>0</v>
      </c>
      <c r="H23" s="60">
        <f t="shared" si="2"/>
        <v>-20730</v>
      </c>
      <c r="I23" s="38">
        <f t="shared" si="2"/>
        <v>-74931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-36402148</v>
      </c>
      <c r="E24" s="39">
        <f t="shared" si="3"/>
        <v>-162753063</v>
      </c>
      <c r="F24" s="61">
        <f t="shared" si="3"/>
        <v>-33265572</v>
      </c>
      <c r="G24" s="39">
        <f t="shared" si="3"/>
        <v>-173650177.92000002</v>
      </c>
      <c r="H24" s="61">
        <f t="shared" si="3"/>
        <v>3136576</v>
      </c>
      <c r="I24" s="39">
        <f t="shared" si="3"/>
        <v>-10897114.920000009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462985</v>
      </c>
      <c r="G32" s="38">
        <f>'ONT_GL '!E32</f>
        <v>2027874.3</v>
      </c>
      <c r="H32" s="60">
        <f>F32-D32</f>
        <v>462985</v>
      </c>
      <c r="I32" s="38">
        <f>G32-E32</f>
        <v>2027874.3</v>
      </c>
    </row>
    <row r="33" spans="1:9" x14ac:dyDescent="0.25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462985</v>
      </c>
      <c r="G36" s="39">
        <f t="shared" si="6"/>
        <v>2027874.3</v>
      </c>
      <c r="H36" s="61">
        <f t="shared" si="6"/>
        <v>462985</v>
      </c>
      <c r="I36" s="39">
        <f t="shared" si="6"/>
        <v>2027874.3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ONT_FLSH!L49</f>
        <v>-19188</v>
      </c>
      <c r="E49" s="66">
        <f>ONT_FLSH!M49</f>
        <v>-84043.44</v>
      </c>
      <c r="F49" s="60">
        <f>'ONT_GL '!D49</f>
        <v>-469179</v>
      </c>
      <c r="G49" s="38">
        <f>'ONT_GL '!E49</f>
        <v>-2055004.0199999986</v>
      </c>
      <c r="H49" s="60">
        <f>F49-D49</f>
        <v>-449991</v>
      </c>
      <c r="I49" s="38">
        <f>G49-E49</f>
        <v>-1970960.5799999987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ONT_FLSH!L51</f>
        <v>-20730</v>
      </c>
      <c r="E51" s="66">
        <f>ONT_FLSH!M51</f>
        <v>-74931</v>
      </c>
      <c r="F51" s="60">
        <f>'ONT_GL '!D51</f>
        <v>0</v>
      </c>
      <c r="G51" s="38">
        <f>'ONT_GL '!E51</f>
        <v>0</v>
      </c>
      <c r="H51" s="60">
        <f>F51-D51</f>
        <v>20730</v>
      </c>
      <c r="I51" s="38">
        <f>G51-E51</f>
        <v>74931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-2</v>
      </c>
      <c r="F54" s="60">
        <f>'ONT_GL '!D54</f>
        <v>-4074105.04</v>
      </c>
      <c r="G54" s="38">
        <f>'ONT_GL '!E54</f>
        <v>1362617.19</v>
      </c>
      <c r="H54" s="60">
        <f>F54-D54</f>
        <v>-4074105.04</v>
      </c>
      <c r="I54" s="38">
        <f>G54-E54</f>
        <v>1362619.19</v>
      </c>
    </row>
    <row r="55" spans="1:9" x14ac:dyDescent="0.25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-1403140.92</v>
      </c>
      <c r="H55" s="60">
        <f>F55-D55</f>
        <v>0</v>
      </c>
      <c r="I55" s="38">
        <f>G55-E55</f>
        <v>-1403140.92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</v>
      </c>
      <c r="F56" s="61">
        <f t="shared" si="10"/>
        <v>-4074105.04</v>
      </c>
      <c r="G56" s="39">
        <f t="shared" si="10"/>
        <v>-40523.729999999981</v>
      </c>
      <c r="H56" s="61">
        <f t="shared" si="10"/>
        <v>-4074105.04</v>
      </c>
      <c r="I56" s="39">
        <f t="shared" si="10"/>
        <v>-40521.729999999981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8346121.5228982903</v>
      </c>
      <c r="F70" s="60">
        <f>'ONT_GL '!D70</f>
        <v>0</v>
      </c>
      <c r="G70" s="38">
        <f>'ONT_GL '!E70</f>
        <v>8346121.5199999996</v>
      </c>
      <c r="H70" s="60">
        <f>F70-D70</f>
        <v>0</v>
      </c>
      <c r="I70" s="38">
        <f>G70-E70</f>
        <v>-2.898290753364563E-3</v>
      </c>
    </row>
    <row r="71" spans="1:9" x14ac:dyDescent="0.25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-9378953</v>
      </c>
      <c r="F71" s="60">
        <f>'ONT_GL '!D71</f>
        <v>0</v>
      </c>
      <c r="G71" s="38">
        <f>'ONT_GL '!E71</f>
        <v>-9378953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-1032831.4771017097</v>
      </c>
      <c r="F72" s="69">
        <f t="shared" si="13"/>
        <v>0</v>
      </c>
      <c r="G72" s="70">
        <f t="shared" si="13"/>
        <v>-1032831.4800000004</v>
      </c>
      <c r="H72" s="69">
        <f t="shared" si="13"/>
        <v>0</v>
      </c>
      <c r="I72" s="70">
        <f t="shared" si="13"/>
        <v>-2.898290753364563E-3</v>
      </c>
    </row>
    <row r="73" spans="1:9" x14ac:dyDescent="0.25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-1627381</v>
      </c>
      <c r="F74" s="60">
        <f>'ONT_GL '!D74</f>
        <v>0</v>
      </c>
      <c r="G74" s="38">
        <f>'ONT_GL '!E74</f>
        <v>-1125482.3399999999</v>
      </c>
      <c r="H74" s="60">
        <f t="shared" ref="H74:I79" si="14">F74-D74</f>
        <v>0</v>
      </c>
      <c r="I74" s="38">
        <f t="shared" si="14"/>
        <v>501898.66000000015</v>
      </c>
    </row>
    <row r="75" spans="1:9" x14ac:dyDescent="0.25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-4547</v>
      </c>
      <c r="F76" s="60">
        <f>'ONT_GL '!D76</f>
        <v>0</v>
      </c>
      <c r="G76" s="38">
        <f>'ONT_GL '!E76</f>
        <v>-17554</v>
      </c>
      <c r="H76" s="60">
        <f t="shared" si="14"/>
        <v>0</v>
      </c>
      <c r="I76" s="38">
        <f t="shared" si="14"/>
        <v>-13007</v>
      </c>
    </row>
    <row r="77" spans="1:9" x14ac:dyDescent="0.25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-54935</v>
      </c>
      <c r="F81" s="60">
        <f>'ONT_GL '!D81</f>
        <v>0</v>
      </c>
      <c r="G81" s="38">
        <f>'ONT_GL '!E81</f>
        <v>-666007</v>
      </c>
      <c r="H81" s="60">
        <f>F81-D81</f>
        <v>0</v>
      </c>
      <c r="I81" s="38">
        <f>G81-E81</f>
        <v>-611072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-2761499.9171017134</v>
      </c>
      <c r="F82" s="109">
        <f>F16+F24+F29+F36+F43+F45+F47+F49</f>
        <v>0</v>
      </c>
      <c r="G82" s="110">
        <f>SUM(G72:G81)+G16+G24+G29+G36+G43+G45+G47+G49+G51+G56+G61+G66</f>
        <v>-3006332.9300000179</v>
      </c>
      <c r="H82" s="109">
        <f>H16+H24+H29+H36+H43+H45+H47+H49</f>
        <v>0</v>
      </c>
      <c r="I82" s="110">
        <f>SUM(I72:I81)+I16+I24+I29+I36+I43+I45+I47+I49+I51+I56+I61+I66</f>
        <v>-244833.01289831172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ONT_FLSH!L86</f>
        <v>0</v>
      </c>
      <c r="E86" s="145">
        <f>ONT_FLSH!M86</f>
        <v>-53137</v>
      </c>
      <c r="F86" s="145">
        <f>'ONT_GL '!D86</f>
        <v>0</v>
      </c>
      <c r="G86" s="145">
        <f>'ONT_GL '!E86</f>
        <v>-1793993.58</v>
      </c>
      <c r="H86" s="145">
        <f t="shared" ref="H86:I88" si="15">F86-D86</f>
        <v>0</v>
      </c>
      <c r="I86" s="145">
        <f t="shared" si="15"/>
        <v>-1740856.58</v>
      </c>
    </row>
    <row r="87" spans="1:63" x14ac:dyDescent="0.25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1740994</v>
      </c>
      <c r="H88" s="147">
        <f t="shared" si="15"/>
        <v>0</v>
      </c>
      <c r="I88" s="147">
        <f t="shared" si="15"/>
        <v>1740994</v>
      </c>
    </row>
    <row r="89" spans="1:63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-53137</v>
      </c>
      <c r="F89" s="160">
        <f t="shared" si="16"/>
        <v>0</v>
      </c>
      <c r="G89" s="160">
        <f t="shared" si="16"/>
        <v>-52999.580000000075</v>
      </c>
      <c r="H89" s="160">
        <f t="shared" si="16"/>
        <v>0</v>
      </c>
      <c r="I89" s="160">
        <f t="shared" si="16"/>
        <v>137.41999999992549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-2814636.9171017134</v>
      </c>
      <c r="F91" s="160">
        <f t="shared" si="17"/>
        <v>0</v>
      </c>
      <c r="G91" s="160">
        <f t="shared" si="17"/>
        <v>-3059332.5100000179</v>
      </c>
      <c r="H91" s="160">
        <f t="shared" si="17"/>
        <v>0</v>
      </c>
      <c r="I91" s="160">
        <f t="shared" si="17"/>
        <v>-244695.59289831179</v>
      </c>
    </row>
    <row r="92" spans="1:63" s="127" customFormat="1" x14ac:dyDescent="0.25">
      <c r="A92" s="162"/>
      <c r="B92" s="159"/>
      <c r="D92" s="163"/>
      <c r="E92" s="16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F70" sqref="F7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BUG_FLSH!D11</f>
        <v>0</v>
      </c>
      <c r="E11" s="66">
        <f>BUG_FLSH!E11</f>
        <v>0</v>
      </c>
      <c r="F11" s="60">
        <f>BUG_GL!D11</f>
        <v>0</v>
      </c>
      <c r="G11" s="38">
        <f>BUG_GL!E11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BUG_FLSH!D13</f>
        <v>0</v>
      </c>
      <c r="E13" s="66">
        <f>BUG_FLSH!E13</f>
        <v>0</v>
      </c>
      <c r="F13" s="60">
        <f>BUG_GL!D13</f>
        <v>0</v>
      </c>
      <c r="G13" s="38">
        <f>BUG_GL!E13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0</v>
      </c>
      <c r="F15" s="60">
        <f>BUG_GL!D15</f>
        <v>0</v>
      </c>
      <c r="G15" s="38">
        <f>BUG_GL!E15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BUG_FLSH!D19</f>
        <v>0</v>
      </c>
      <c r="E19" s="66">
        <f>BUG_FLSH!E19</f>
        <v>0</v>
      </c>
      <c r="F19" s="60">
        <f>BUG_GL!D19</f>
        <v>0</v>
      </c>
      <c r="G19" s="38">
        <f>BUG_GL!E19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BUG_FLSH!D21</f>
        <v>0</v>
      </c>
      <c r="E21" s="66">
        <f>BUG_FLSH!E21</f>
        <v>0</v>
      </c>
      <c r="F21" s="60">
        <f>BUG_GL!D21</f>
        <v>0</v>
      </c>
      <c r="G21" s="38">
        <f>BUG_GL!E21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BUG_FLSH!D23</f>
        <v>0</v>
      </c>
      <c r="E23" s="66">
        <f>BUG_FLSH!E23</f>
        <v>0</v>
      </c>
      <c r="F23" s="60">
        <f>BUG_GL!D23</f>
        <v>0</v>
      </c>
      <c r="G23" s="38">
        <f>BUG_GL!E23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BUG_FLSH!D35</f>
        <v>0</v>
      </c>
      <c r="E35" s="66">
        <f>BUG_FLSH!E35</f>
        <v>0</v>
      </c>
      <c r="F35" s="60">
        <f>BUG_GL!D35</f>
        <v>0</v>
      </c>
      <c r="G35" s="38">
        <f>BUG_GL!E35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BUG_FLSH!D39</f>
        <v>0</v>
      </c>
      <c r="E39" s="66">
        <f>BUG_FLSH!E39</f>
        <v>0</v>
      </c>
      <c r="F39" s="60">
        <f>BUG_GL!D39</f>
        <v>0</v>
      </c>
      <c r="G39" s="38">
        <f>BUG_GL!E39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BUG_FLSH!D40</f>
        <v>0</v>
      </c>
      <c r="E40" s="66">
        <f>BUG_FLSH!E40</f>
        <v>0</v>
      </c>
      <c r="F40" s="60">
        <f>BUG_GL!D40</f>
        <v>0</v>
      </c>
      <c r="G40" s="38">
        <f>BUG_GL!E40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BUG_FLSH!D49</f>
        <v>0</v>
      </c>
      <c r="E49" s="66">
        <f>BUG_FLSH!E49</f>
        <v>0</v>
      </c>
      <c r="F49" s="60">
        <f>BUG_GL!D49</f>
        <v>0</v>
      </c>
      <c r="G49" s="38">
        <f>BUG_GL!E49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BUG_FLSH!D51</f>
        <v>0</v>
      </c>
      <c r="E51" s="66">
        <f>BUG_FLSH!E51</f>
        <v>0</v>
      </c>
      <c r="F51" s="60">
        <f>BUG_GL!D51</f>
        <v>0</v>
      </c>
      <c r="G51" s="38">
        <f>BUG_GL!E51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0</v>
      </c>
      <c r="F54" s="60">
        <f>BUG_GL!D54</f>
        <v>0</v>
      </c>
      <c r="G54" s="38">
        <f>BUG_GL!E54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0</v>
      </c>
      <c r="F55" s="60">
        <f>BUG_GL!D55</f>
        <v>0</v>
      </c>
      <c r="G55" s="38">
        <f>BUG_GL!E55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441261.49690000003</v>
      </c>
      <c r="F70" s="60">
        <f>BUG_GL!D70</f>
        <v>0</v>
      </c>
      <c r="G70" s="38">
        <f>BUG_GL!E70</f>
        <v>0</v>
      </c>
      <c r="H70" s="60">
        <f>F70-D70</f>
        <v>0</v>
      </c>
      <c r="I70" s="38">
        <f>G70-E70</f>
        <v>-441261.49690000003</v>
      </c>
    </row>
    <row r="71" spans="1:9" x14ac:dyDescent="0.25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-499916.66939999978</v>
      </c>
      <c r="F71" s="60">
        <f>BUG_GL!D71</f>
        <v>0</v>
      </c>
      <c r="G71" s="38">
        <f>BUG_GL!E71</f>
        <v>0</v>
      </c>
      <c r="H71" s="60">
        <f>F71-D71</f>
        <v>0</v>
      </c>
      <c r="I71" s="38">
        <f>G71-E71</f>
        <v>499916.66939999978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-58655.172499999753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58655.172499999753</v>
      </c>
    </row>
    <row r="73" spans="1:9" x14ac:dyDescent="0.25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61237.107600000003</v>
      </c>
      <c r="F74" s="60">
        <f>BUG_GL!D74</f>
        <v>0</v>
      </c>
      <c r="G74" s="38">
        <f>BUG_GL!E74</f>
        <v>61236.76</v>
      </c>
      <c r="H74" s="60">
        <f t="shared" ref="H74:I79" si="14">F74-D74</f>
        <v>0</v>
      </c>
      <c r="I74" s="38">
        <f t="shared" si="14"/>
        <v>-0.34760000000096625</v>
      </c>
    </row>
    <row r="75" spans="1:9" x14ac:dyDescent="0.25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-595141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595141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-592559.06489999976</v>
      </c>
      <c r="F82" s="109">
        <f>F16+F24+F29+F36+F43+F45+F47+F49</f>
        <v>0</v>
      </c>
      <c r="G82" s="110">
        <f>SUM(G72:G81)+G16+G24+G29+G36+G43+G45+G47+G49+G51+G56+G61+G66</f>
        <v>61236.76</v>
      </c>
      <c r="H82" s="109">
        <f>H16+H24+H29+H36+H43+H45+H47+H49</f>
        <v>0</v>
      </c>
      <c r="I82" s="110">
        <f>SUM(I72:I81)+I16+I24+I29+I36+I43+I45+I47+I49+I51+I56+I61+I66</f>
        <v>653795.82489999977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4"/>
  <sheetViews>
    <sheetView topLeftCell="K330" workbookViewId="0">
      <selection activeCell="U351" sqref="U351"/>
    </sheetView>
  </sheetViews>
  <sheetFormatPr defaultColWidth="9.109375" defaultRowHeight="13.2" x14ac:dyDescent="0.25"/>
  <cols>
    <col min="1" max="1" width="9.109375" style="33"/>
    <col min="2" max="2" width="13.109375" style="33" bestFit="1" customWidth="1"/>
    <col min="3" max="3" width="7.88671875" style="33" customWidth="1"/>
    <col min="4" max="4" width="25.33203125" style="33" customWidth="1"/>
    <col min="5" max="6" width="13.5546875" style="204" customWidth="1"/>
    <col min="7" max="7" width="12" style="201" customWidth="1"/>
    <col min="8" max="8" width="12.33203125" style="33" customWidth="1"/>
    <col min="9" max="9" width="12.44140625" style="201" customWidth="1"/>
    <col min="10" max="10" width="11.33203125" style="33" customWidth="1"/>
    <col min="11" max="11" width="20" style="33" customWidth="1"/>
    <col min="12" max="13" width="11.6640625" style="33" customWidth="1"/>
    <col min="14" max="14" width="12.44140625" style="33" customWidth="1"/>
    <col min="15" max="15" width="18.6640625" style="33" bestFit="1" customWidth="1"/>
    <col min="16" max="16" width="12.33203125" style="33" customWidth="1"/>
    <col min="17" max="28" width="9.109375" style="33"/>
    <col min="29" max="29" width="14.6640625" style="33" customWidth="1"/>
    <col min="30" max="30" width="9.109375" style="33"/>
    <col min="31" max="31" width="12.5546875" style="33" customWidth="1"/>
    <col min="32" max="16384" width="9.109375" style="33"/>
  </cols>
  <sheetData>
    <row r="1" spans="1:118" ht="28.5" customHeight="1" x14ac:dyDescent="0.25">
      <c r="E1" s="195">
        <v>36557</v>
      </c>
      <c r="F1" s="195"/>
      <c r="G1" s="196">
        <f>+E1+31</f>
        <v>36588</v>
      </c>
      <c r="H1" s="196"/>
      <c r="I1" s="196">
        <f>+G1+30</f>
        <v>36618</v>
      </c>
      <c r="J1" s="196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5">
      <c r="A2" s="111" t="s">
        <v>112</v>
      </c>
      <c r="B2" s="111" t="s">
        <v>113</v>
      </c>
      <c r="C2" s="111" t="s">
        <v>114</v>
      </c>
      <c r="D2" s="111" t="s">
        <v>115</v>
      </c>
      <c r="E2" s="112" t="s">
        <v>116</v>
      </c>
      <c r="F2" s="112" t="s">
        <v>117</v>
      </c>
      <c r="G2" s="201" t="s">
        <v>118</v>
      </c>
    </row>
    <row r="3" spans="1:118" s="197" customFormat="1" x14ac:dyDescent="0.25">
      <c r="A3" s="113" t="s">
        <v>119</v>
      </c>
      <c r="B3" s="113" t="s">
        <v>113</v>
      </c>
      <c r="C3" s="113" t="s">
        <v>114</v>
      </c>
      <c r="D3" s="113" t="s">
        <v>115</v>
      </c>
      <c r="E3" s="198" t="s">
        <v>229</v>
      </c>
      <c r="F3" s="197" t="s">
        <v>230</v>
      </c>
      <c r="G3" s="203" t="s">
        <v>220</v>
      </c>
      <c r="H3" s="197" t="s">
        <v>221</v>
      </c>
      <c r="I3" s="203" t="s">
        <v>120</v>
      </c>
      <c r="K3" s="198" t="s">
        <v>120</v>
      </c>
      <c r="M3" s="198" t="s">
        <v>209</v>
      </c>
      <c r="N3" s="197" t="s">
        <v>210</v>
      </c>
      <c r="O3" s="198" t="s">
        <v>120</v>
      </c>
      <c r="Q3" s="198" t="s">
        <v>120</v>
      </c>
      <c r="S3" s="198" t="s">
        <v>120</v>
      </c>
      <c r="U3" s="198" t="s">
        <v>120</v>
      </c>
      <c r="W3" s="198" t="s">
        <v>120</v>
      </c>
      <c r="Y3" s="198" t="s">
        <v>120</v>
      </c>
      <c r="AA3" s="198" t="s">
        <v>120</v>
      </c>
      <c r="AC3" s="198" t="s">
        <v>120</v>
      </c>
      <c r="AE3" s="198" t="s">
        <v>120</v>
      </c>
    </row>
    <row r="4" spans="1:118" x14ac:dyDescent="0.25">
      <c r="A4" s="114" t="s">
        <v>121</v>
      </c>
      <c r="B4" s="114" t="s">
        <v>122</v>
      </c>
      <c r="C4" s="115">
        <v>1</v>
      </c>
      <c r="D4" s="114" t="s">
        <v>25</v>
      </c>
      <c r="E4" s="200">
        <v>111855</v>
      </c>
      <c r="F4" s="199">
        <v>492273.86</v>
      </c>
      <c r="G4" s="200"/>
      <c r="H4" s="199"/>
      <c r="I4" s="200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5">
      <c r="A5" s="114" t="s">
        <v>121</v>
      </c>
      <c r="B5" s="114" t="s">
        <v>122</v>
      </c>
      <c r="C5" s="115">
        <v>2</v>
      </c>
      <c r="D5" s="114" t="s">
        <v>26</v>
      </c>
      <c r="E5" s="200">
        <v>0</v>
      </c>
      <c r="F5" s="199">
        <v>0</v>
      </c>
      <c r="G5" s="200"/>
      <c r="H5" s="199"/>
      <c r="I5" s="200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5">
      <c r="A6" s="114" t="s">
        <v>121</v>
      </c>
      <c r="B6" s="114" t="s">
        <v>122</v>
      </c>
      <c r="C6" s="115">
        <v>3</v>
      </c>
      <c r="D6" s="114" t="s">
        <v>27</v>
      </c>
      <c r="E6" s="200">
        <v>0</v>
      </c>
      <c r="F6" s="199">
        <v>0</v>
      </c>
      <c r="G6" s="200"/>
      <c r="H6" s="199"/>
      <c r="I6" s="200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5">
      <c r="A7" s="114" t="s">
        <v>121</v>
      </c>
      <c r="B7" s="114" t="s">
        <v>122</v>
      </c>
      <c r="C7" s="115">
        <v>4</v>
      </c>
      <c r="D7" s="114" t="s">
        <v>28</v>
      </c>
      <c r="E7" s="200">
        <v>0</v>
      </c>
      <c r="F7" s="199">
        <v>0</v>
      </c>
      <c r="G7" s="200"/>
      <c r="H7" s="199"/>
      <c r="I7" s="200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5">
      <c r="A8" s="114" t="s">
        <v>121</v>
      </c>
      <c r="B8" s="114" t="s">
        <v>122</v>
      </c>
      <c r="C8" s="115">
        <v>5</v>
      </c>
      <c r="D8" s="114" t="s">
        <v>123</v>
      </c>
      <c r="E8" s="200">
        <v>0</v>
      </c>
      <c r="F8" s="199">
        <v>0</v>
      </c>
      <c r="G8" s="200"/>
      <c r="H8" s="199"/>
      <c r="I8" s="200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5">
      <c r="A9" s="114" t="s">
        <v>121</v>
      </c>
      <c r="B9" s="114" t="s">
        <v>122</v>
      </c>
      <c r="C9" s="115">
        <v>6</v>
      </c>
      <c r="D9" s="114" t="s">
        <v>25</v>
      </c>
      <c r="E9" s="200">
        <v>0</v>
      </c>
      <c r="F9" s="199">
        <v>0</v>
      </c>
      <c r="G9" s="200"/>
      <c r="H9" s="199"/>
      <c r="I9" s="200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5">
      <c r="A10" s="114" t="s">
        <v>121</v>
      </c>
      <c r="B10" s="114" t="s">
        <v>122</v>
      </c>
      <c r="C10" s="115">
        <v>7</v>
      </c>
      <c r="D10" s="114" t="s">
        <v>26</v>
      </c>
      <c r="E10" s="200">
        <v>0</v>
      </c>
      <c r="F10" s="199">
        <v>0</v>
      </c>
      <c r="G10" s="200"/>
      <c r="H10" s="199"/>
      <c r="I10" s="200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5">
      <c r="A11" s="114" t="s">
        <v>121</v>
      </c>
      <c r="B11" s="114" t="s">
        <v>122</v>
      </c>
      <c r="C11" s="115">
        <v>8</v>
      </c>
      <c r="D11" s="114" t="s">
        <v>27</v>
      </c>
      <c r="E11" s="200">
        <v>0</v>
      </c>
      <c r="F11" s="199">
        <v>0</v>
      </c>
      <c r="G11" s="200"/>
      <c r="H11" s="199"/>
      <c r="I11" s="200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5">
      <c r="A12" s="114" t="s">
        <v>121</v>
      </c>
      <c r="B12" s="114" t="s">
        <v>122</v>
      </c>
      <c r="C12" s="115">
        <v>9</v>
      </c>
      <c r="D12" s="114" t="s">
        <v>28</v>
      </c>
      <c r="E12" s="200">
        <v>0</v>
      </c>
      <c r="F12" s="199">
        <v>0</v>
      </c>
      <c r="G12" s="200"/>
      <c r="H12" s="199"/>
      <c r="I12" s="200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5">
      <c r="A13" s="114" t="s">
        <v>121</v>
      </c>
      <c r="B13" s="114" t="s">
        <v>122</v>
      </c>
      <c r="C13" s="115">
        <v>10</v>
      </c>
      <c r="D13" s="114" t="s">
        <v>32</v>
      </c>
      <c r="E13" s="200">
        <v>0</v>
      </c>
      <c r="F13" s="199">
        <v>0</v>
      </c>
      <c r="G13" s="200"/>
      <c r="H13" s="199"/>
      <c r="I13" s="200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5">
      <c r="A14" s="114" t="s">
        <v>121</v>
      </c>
      <c r="B14" s="114" t="s">
        <v>122</v>
      </c>
      <c r="C14" s="115">
        <v>11</v>
      </c>
      <c r="D14" s="114" t="s">
        <v>35</v>
      </c>
      <c r="E14" s="200">
        <v>0</v>
      </c>
      <c r="F14" s="199">
        <v>0</v>
      </c>
      <c r="G14" s="200"/>
      <c r="H14" s="199"/>
      <c r="I14" s="200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5">
      <c r="A15" s="114" t="s">
        <v>121</v>
      </c>
      <c r="B15" s="114" t="s">
        <v>122</v>
      </c>
      <c r="C15" s="115">
        <v>12</v>
      </c>
      <c r="D15" s="114" t="s">
        <v>36</v>
      </c>
      <c r="E15" s="200">
        <v>-111855</v>
      </c>
      <c r="F15" s="199">
        <v>-489924.9</v>
      </c>
      <c r="G15" s="200"/>
      <c r="H15" s="199"/>
      <c r="I15" s="200"/>
      <c r="J15" s="199"/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5">
      <c r="A16" s="114" t="s">
        <v>121</v>
      </c>
      <c r="B16" s="114" t="s">
        <v>122</v>
      </c>
      <c r="C16" s="115">
        <v>13</v>
      </c>
      <c r="D16" s="114" t="s">
        <v>39</v>
      </c>
      <c r="E16" s="200">
        <v>0</v>
      </c>
      <c r="F16" s="199">
        <v>0</v>
      </c>
      <c r="G16" s="200"/>
      <c r="H16" s="199"/>
      <c r="I16" s="200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5">
      <c r="A17" s="114" t="s">
        <v>121</v>
      </c>
      <c r="B17" s="114" t="s">
        <v>122</v>
      </c>
      <c r="C17" s="115">
        <v>14</v>
      </c>
      <c r="D17" s="114" t="s">
        <v>40</v>
      </c>
      <c r="E17" s="200">
        <v>0</v>
      </c>
      <c r="F17" s="199">
        <v>0</v>
      </c>
      <c r="G17" s="200"/>
      <c r="H17" s="199"/>
      <c r="I17" s="200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5">
      <c r="A18" s="114" t="s">
        <v>121</v>
      </c>
      <c r="B18" s="114" t="s">
        <v>122</v>
      </c>
      <c r="C18" s="115">
        <v>15</v>
      </c>
      <c r="D18" s="114" t="s">
        <v>41</v>
      </c>
      <c r="E18" s="200">
        <v>0</v>
      </c>
      <c r="F18" s="199">
        <v>0</v>
      </c>
      <c r="G18" s="200"/>
      <c r="H18" s="199"/>
      <c r="I18" s="200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5">
      <c r="A19" s="114" t="s">
        <v>121</v>
      </c>
      <c r="B19" s="114" t="s">
        <v>122</v>
      </c>
      <c r="C19" s="115">
        <v>16</v>
      </c>
      <c r="D19" s="114" t="s">
        <v>42</v>
      </c>
      <c r="E19" s="200">
        <v>0</v>
      </c>
      <c r="F19" s="199">
        <v>0</v>
      </c>
      <c r="G19" s="200"/>
      <c r="H19" s="199"/>
      <c r="I19" s="200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5">
      <c r="A20" s="114" t="s">
        <v>121</v>
      </c>
      <c r="B20" s="114" t="s">
        <v>122</v>
      </c>
      <c r="C20" s="115">
        <v>17</v>
      </c>
      <c r="D20" s="114" t="s">
        <v>124</v>
      </c>
      <c r="E20" s="200">
        <v>0</v>
      </c>
      <c r="F20" s="199">
        <v>0</v>
      </c>
      <c r="G20" s="200"/>
      <c r="H20" s="199"/>
      <c r="I20" s="200"/>
      <c r="J20" s="199"/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5">
      <c r="A21" s="114" t="s">
        <v>121</v>
      </c>
      <c r="B21" s="114" t="s">
        <v>122</v>
      </c>
      <c r="C21" s="115">
        <v>18</v>
      </c>
      <c r="D21" s="114" t="s">
        <v>125</v>
      </c>
      <c r="E21" s="200">
        <v>0</v>
      </c>
      <c r="F21" s="199">
        <v>0</v>
      </c>
      <c r="G21" s="200"/>
      <c r="H21" s="199"/>
      <c r="I21" s="200"/>
      <c r="J21" s="199"/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5">
      <c r="A22" s="114" t="s">
        <v>121</v>
      </c>
      <c r="B22" s="114" t="s">
        <v>122</v>
      </c>
      <c r="C22" s="115">
        <v>19</v>
      </c>
      <c r="D22" s="114" t="s">
        <v>47</v>
      </c>
      <c r="E22" s="200">
        <v>0</v>
      </c>
      <c r="F22" s="199">
        <v>0</v>
      </c>
      <c r="G22" s="200"/>
      <c r="H22" s="199"/>
      <c r="I22" s="200"/>
      <c r="J22" s="199"/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5">
      <c r="A23" s="114" t="s">
        <v>121</v>
      </c>
      <c r="B23" s="114" t="s">
        <v>122</v>
      </c>
      <c r="C23" s="115">
        <v>20</v>
      </c>
      <c r="D23" s="114" t="s">
        <v>126</v>
      </c>
      <c r="E23" s="200">
        <v>0</v>
      </c>
      <c r="F23" s="199">
        <v>0</v>
      </c>
      <c r="G23" s="200"/>
      <c r="H23" s="199"/>
      <c r="I23" s="200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5">
      <c r="A24" s="114" t="s">
        <v>121</v>
      </c>
      <c r="B24" s="114" t="s">
        <v>122</v>
      </c>
      <c r="C24" s="115">
        <v>21</v>
      </c>
      <c r="D24" s="114" t="s">
        <v>127</v>
      </c>
      <c r="E24" s="200">
        <v>0</v>
      </c>
      <c r="F24" s="199">
        <v>0</v>
      </c>
      <c r="G24" s="200"/>
      <c r="H24" s="199"/>
      <c r="I24" s="200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5">
      <c r="A25" s="114" t="s">
        <v>121</v>
      </c>
      <c r="B25" s="114" t="s">
        <v>122</v>
      </c>
      <c r="C25" s="115">
        <v>22</v>
      </c>
      <c r="D25" s="114" t="s">
        <v>128</v>
      </c>
      <c r="E25" s="200">
        <v>0</v>
      </c>
      <c r="F25" s="199">
        <v>0</v>
      </c>
      <c r="G25" s="200"/>
      <c r="H25" s="199"/>
      <c r="I25" s="200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5">
      <c r="A26" s="114" t="s">
        <v>121</v>
      </c>
      <c r="B26" s="114" t="s">
        <v>122</v>
      </c>
      <c r="C26" s="115">
        <v>23</v>
      </c>
      <c r="D26" s="114" t="s">
        <v>129</v>
      </c>
      <c r="E26" s="200">
        <v>0</v>
      </c>
      <c r="F26" s="199">
        <v>0</v>
      </c>
      <c r="G26" s="200"/>
      <c r="H26" s="199"/>
      <c r="I26" s="200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5">
      <c r="A27" s="114" t="s">
        <v>121</v>
      </c>
      <c r="B27" s="114" t="s">
        <v>122</v>
      </c>
      <c r="C27" s="115">
        <v>24</v>
      </c>
      <c r="D27" s="114" t="s">
        <v>55</v>
      </c>
      <c r="E27" s="200">
        <v>0</v>
      </c>
      <c r="F27" s="199">
        <v>0</v>
      </c>
      <c r="G27" s="200"/>
      <c r="H27" s="199"/>
      <c r="I27" s="200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5">
      <c r="A28" s="114" t="s">
        <v>121</v>
      </c>
      <c r="B28" s="114" t="s">
        <v>122</v>
      </c>
      <c r="C28" s="115">
        <v>25</v>
      </c>
      <c r="D28" s="114" t="s">
        <v>56</v>
      </c>
      <c r="E28" s="200">
        <v>0</v>
      </c>
      <c r="F28" s="199">
        <v>0</v>
      </c>
      <c r="G28" s="200"/>
      <c r="H28" s="199"/>
      <c r="I28" s="200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5">
      <c r="A29" s="114" t="s">
        <v>121</v>
      </c>
      <c r="B29" s="114" t="s">
        <v>122</v>
      </c>
      <c r="C29" s="115">
        <v>26</v>
      </c>
      <c r="D29" s="114" t="s">
        <v>130</v>
      </c>
      <c r="E29" s="200">
        <v>0</v>
      </c>
      <c r="F29" s="199">
        <v>0</v>
      </c>
      <c r="G29" s="200"/>
      <c r="H29" s="199"/>
      <c r="I29" s="200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5">
      <c r="A30" s="114" t="s">
        <v>121</v>
      </c>
      <c r="B30" s="114" t="s">
        <v>122</v>
      </c>
      <c r="C30" s="115">
        <v>27</v>
      </c>
      <c r="D30" s="114" t="s">
        <v>131</v>
      </c>
      <c r="E30" s="200">
        <v>0</v>
      </c>
      <c r="F30" s="199">
        <v>0</v>
      </c>
      <c r="G30" s="200"/>
      <c r="H30" s="199"/>
      <c r="I30" s="200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5">
      <c r="A31" s="114" t="s">
        <v>121</v>
      </c>
      <c r="B31" s="114" t="s">
        <v>122</v>
      </c>
      <c r="C31" s="115">
        <v>28</v>
      </c>
      <c r="D31" s="114" t="s">
        <v>132</v>
      </c>
      <c r="E31" s="200">
        <v>0</v>
      </c>
      <c r="F31" s="199">
        <v>0</v>
      </c>
      <c r="G31" s="200"/>
      <c r="H31" s="199"/>
      <c r="I31" s="200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5">
      <c r="A32" s="114" t="s">
        <v>121</v>
      </c>
      <c r="B32" s="114" t="s">
        <v>122</v>
      </c>
      <c r="C32" s="115">
        <v>29</v>
      </c>
      <c r="D32" s="114" t="s">
        <v>133</v>
      </c>
      <c r="E32" s="200">
        <v>0</v>
      </c>
      <c r="F32" s="199">
        <v>0</v>
      </c>
      <c r="G32" s="200"/>
      <c r="H32" s="199"/>
      <c r="I32" s="200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5">
      <c r="A33" s="114" t="s">
        <v>121</v>
      </c>
      <c r="B33" s="114" t="s">
        <v>122</v>
      </c>
      <c r="C33" s="115">
        <v>30</v>
      </c>
      <c r="D33" s="114" t="s">
        <v>134</v>
      </c>
      <c r="E33" s="200">
        <v>0</v>
      </c>
      <c r="F33" s="199">
        <v>0</v>
      </c>
      <c r="G33" s="200"/>
      <c r="H33" s="199"/>
      <c r="I33" s="200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5">
      <c r="A34" s="114" t="s">
        <v>121</v>
      </c>
      <c r="B34" s="114" t="s">
        <v>122</v>
      </c>
      <c r="C34" s="115">
        <v>31</v>
      </c>
      <c r="D34" s="114" t="s">
        <v>135</v>
      </c>
      <c r="E34" s="200">
        <v>0</v>
      </c>
      <c r="F34" s="199">
        <v>0</v>
      </c>
      <c r="G34" s="200"/>
      <c r="H34" s="199"/>
      <c r="I34" s="200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5">
      <c r="A35" s="114" t="s">
        <v>121</v>
      </c>
      <c r="B35" s="114" t="s">
        <v>122</v>
      </c>
      <c r="C35" s="115">
        <v>32</v>
      </c>
      <c r="D35" s="114" t="s">
        <v>70</v>
      </c>
      <c r="E35" s="200">
        <v>0</v>
      </c>
      <c r="F35" s="199">
        <v>0</v>
      </c>
      <c r="G35" s="200"/>
      <c r="H35" s="199"/>
      <c r="I35" s="200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5">
      <c r="A36" s="114" t="s">
        <v>121</v>
      </c>
      <c r="B36" s="114" t="s">
        <v>122</v>
      </c>
      <c r="C36" s="115">
        <v>33</v>
      </c>
      <c r="D36" s="114" t="s">
        <v>71</v>
      </c>
      <c r="E36" s="200">
        <v>0</v>
      </c>
      <c r="F36" s="199">
        <v>0</v>
      </c>
      <c r="G36" s="200"/>
      <c r="H36" s="199"/>
      <c r="I36" s="200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5">
      <c r="A37" s="114" t="s">
        <v>121</v>
      </c>
      <c r="B37" s="114" t="s">
        <v>122</v>
      </c>
      <c r="C37" s="115">
        <v>34</v>
      </c>
      <c r="D37" s="114" t="s">
        <v>72</v>
      </c>
      <c r="E37" s="200">
        <v>0</v>
      </c>
      <c r="F37" s="199">
        <v>0</v>
      </c>
      <c r="G37" s="200"/>
      <c r="H37" s="199"/>
      <c r="I37" s="200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5">
      <c r="A38" s="114" t="s">
        <v>121</v>
      </c>
      <c r="B38" s="114" t="s">
        <v>122</v>
      </c>
      <c r="C38" s="115">
        <v>35</v>
      </c>
      <c r="D38" s="114" t="s">
        <v>73</v>
      </c>
      <c r="E38" s="200">
        <v>0</v>
      </c>
      <c r="F38" s="199">
        <v>0</v>
      </c>
      <c r="G38" s="200"/>
      <c r="H38" s="199"/>
      <c r="I38" s="200"/>
      <c r="J38" s="199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5">
      <c r="A39" s="114" t="s">
        <v>121</v>
      </c>
      <c r="B39" s="114" t="s">
        <v>122</v>
      </c>
      <c r="C39" s="115">
        <v>36</v>
      </c>
      <c r="D39" s="114" t="s">
        <v>74</v>
      </c>
      <c r="E39" s="200">
        <v>0</v>
      </c>
      <c r="F39" s="199">
        <v>0</v>
      </c>
      <c r="G39" s="200"/>
      <c r="H39" s="199"/>
      <c r="I39" s="200"/>
      <c r="J39" s="199"/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5">
      <c r="A40" s="114" t="s">
        <v>121</v>
      </c>
      <c r="B40" s="114" t="s">
        <v>122</v>
      </c>
      <c r="C40" s="115">
        <v>37</v>
      </c>
      <c r="D40" s="114" t="s">
        <v>75</v>
      </c>
      <c r="E40" s="200">
        <v>0</v>
      </c>
      <c r="F40" s="199">
        <v>0</v>
      </c>
      <c r="G40" s="200"/>
      <c r="H40" s="199"/>
      <c r="I40" s="200"/>
      <c r="J40" s="199"/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5">
      <c r="A41" s="114" t="s">
        <v>121</v>
      </c>
      <c r="B41" s="114" t="s">
        <v>122</v>
      </c>
      <c r="C41" s="115">
        <v>38</v>
      </c>
      <c r="D41" s="114" t="s">
        <v>76</v>
      </c>
      <c r="E41" s="200">
        <v>0</v>
      </c>
      <c r="F41" s="199">
        <v>0</v>
      </c>
      <c r="G41" s="200"/>
      <c r="H41" s="199"/>
      <c r="I41" s="200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5">
      <c r="A42" s="114" t="s">
        <v>121</v>
      </c>
      <c r="B42" s="114" t="s">
        <v>122</v>
      </c>
      <c r="C42" s="115">
        <v>39</v>
      </c>
      <c r="D42" s="114" t="s">
        <v>77</v>
      </c>
      <c r="E42" s="200">
        <v>0</v>
      </c>
      <c r="F42" s="199">
        <v>0</v>
      </c>
      <c r="G42" s="200"/>
      <c r="H42" s="199"/>
      <c r="I42" s="200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5">
      <c r="A43" s="114" t="s">
        <v>121</v>
      </c>
      <c r="B43" s="114" t="s">
        <v>122</v>
      </c>
      <c r="C43" s="115">
        <v>40</v>
      </c>
      <c r="D43" s="114" t="s">
        <v>78</v>
      </c>
      <c r="E43" s="200">
        <v>0</v>
      </c>
      <c r="F43" s="199">
        <v>0</v>
      </c>
      <c r="G43" s="200"/>
      <c r="H43" s="199"/>
      <c r="I43" s="200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5">
      <c r="A44" s="33" t="s">
        <v>136</v>
      </c>
      <c r="B44" s="33" t="s">
        <v>148</v>
      </c>
      <c r="C44" s="33">
        <v>1</v>
      </c>
      <c r="D44" s="33" t="s">
        <v>25</v>
      </c>
      <c r="E44" s="200">
        <v>0</v>
      </c>
      <c r="F44" s="199">
        <v>0</v>
      </c>
      <c r="G44" s="200"/>
      <c r="H44" s="199"/>
      <c r="I44" s="200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5">
      <c r="A45" s="33" t="s">
        <v>136</v>
      </c>
      <c r="B45" s="33" t="s">
        <v>148</v>
      </c>
      <c r="C45" s="33">
        <v>2</v>
      </c>
      <c r="D45" s="33" t="s">
        <v>26</v>
      </c>
      <c r="E45" s="200">
        <v>0</v>
      </c>
      <c r="F45" s="199">
        <v>0</v>
      </c>
      <c r="G45" s="200"/>
      <c r="H45" s="199"/>
      <c r="I45" s="200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5">
      <c r="A46" s="33" t="s">
        <v>136</v>
      </c>
      <c r="B46" s="33" t="s">
        <v>148</v>
      </c>
      <c r="C46" s="33">
        <v>3</v>
      </c>
      <c r="D46" s="33" t="s">
        <v>27</v>
      </c>
      <c r="E46" s="200">
        <v>0</v>
      </c>
      <c r="F46" s="199">
        <v>0</v>
      </c>
      <c r="G46" s="200"/>
      <c r="H46" s="199"/>
      <c r="I46" s="200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5">
      <c r="A47" s="33" t="s">
        <v>136</v>
      </c>
      <c r="B47" s="33" t="s">
        <v>148</v>
      </c>
      <c r="C47" s="33">
        <v>4</v>
      </c>
      <c r="D47" s="33" t="s">
        <v>28</v>
      </c>
      <c r="E47" s="200">
        <v>0</v>
      </c>
      <c r="F47" s="199">
        <v>0</v>
      </c>
      <c r="G47" s="200"/>
      <c r="H47" s="199"/>
      <c r="I47" s="200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5">
      <c r="A48" s="33" t="s">
        <v>136</v>
      </c>
      <c r="B48" s="33" t="s">
        <v>148</v>
      </c>
      <c r="C48" s="33">
        <v>5</v>
      </c>
      <c r="D48" s="33" t="s">
        <v>123</v>
      </c>
      <c r="E48" s="200">
        <v>0</v>
      </c>
      <c r="F48" s="199">
        <v>0</v>
      </c>
      <c r="G48" s="200"/>
      <c r="H48" s="199"/>
      <c r="I48" s="200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5">
      <c r="A49" s="33" t="s">
        <v>136</v>
      </c>
      <c r="B49" s="33" t="s">
        <v>148</v>
      </c>
      <c r="C49" s="33">
        <v>6</v>
      </c>
      <c r="D49" s="33" t="s">
        <v>25</v>
      </c>
      <c r="E49" s="200">
        <v>0</v>
      </c>
      <c r="F49" s="199">
        <v>0</v>
      </c>
      <c r="G49" s="200"/>
      <c r="H49" s="199"/>
      <c r="I49" s="200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5">
      <c r="A50" s="33" t="s">
        <v>136</v>
      </c>
      <c r="B50" s="33" t="s">
        <v>148</v>
      </c>
      <c r="C50" s="33">
        <v>7</v>
      </c>
      <c r="D50" s="33" t="s">
        <v>26</v>
      </c>
      <c r="E50" s="200">
        <v>0</v>
      </c>
      <c r="F50" s="199">
        <v>0</v>
      </c>
      <c r="G50" s="200"/>
      <c r="H50" s="199"/>
      <c r="I50" s="200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5">
      <c r="A51" s="33" t="s">
        <v>136</v>
      </c>
      <c r="B51" s="33" t="s">
        <v>148</v>
      </c>
      <c r="C51" s="33">
        <v>8</v>
      </c>
      <c r="D51" s="33" t="s">
        <v>27</v>
      </c>
      <c r="E51" s="200">
        <v>0</v>
      </c>
      <c r="F51" s="199">
        <v>0</v>
      </c>
      <c r="G51" s="200"/>
      <c r="H51" s="199"/>
      <c r="I51" s="200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5">
      <c r="A52" s="33" t="s">
        <v>136</v>
      </c>
      <c r="B52" s="33" t="s">
        <v>148</v>
      </c>
      <c r="C52" s="33">
        <v>9</v>
      </c>
      <c r="D52" s="33" t="s">
        <v>28</v>
      </c>
      <c r="E52" s="200">
        <v>0</v>
      </c>
      <c r="F52" s="199">
        <v>0</v>
      </c>
      <c r="G52" s="200"/>
      <c r="H52" s="199"/>
      <c r="I52" s="200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5">
      <c r="A53" s="33" t="s">
        <v>136</v>
      </c>
      <c r="B53" s="33" t="s">
        <v>148</v>
      </c>
      <c r="C53" s="33">
        <v>10</v>
      </c>
      <c r="D53" s="33" t="s">
        <v>32</v>
      </c>
      <c r="E53" s="200">
        <v>0</v>
      </c>
      <c r="F53" s="199">
        <v>0</v>
      </c>
      <c r="G53" s="200"/>
      <c r="H53" s="199"/>
      <c r="I53" s="200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5">
      <c r="A54" s="33" t="s">
        <v>136</v>
      </c>
      <c r="B54" s="33" t="s">
        <v>148</v>
      </c>
      <c r="C54" s="33">
        <v>11</v>
      </c>
      <c r="D54" s="33" t="s">
        <v>35</v>
      </c>
      <c r="E54" s="200">
        <v>0</v>
      </c>
      <c r="F54" s="199">
        <v>0</v>
      </c>
      <c r="G54" s="200"/>
      <c r="H54" s="199"/>
      <c r="I54" s="200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5">
      <c r="A55" s="33" t="s">
        <v>136</v>
      </c>
      <c r="B55" s="33" t="s">
        <v>148</v>
      </c>
      <c r="C55" s="33">
        <v>12</v>
      </c>
      <c r="D55" s="33" t="s">
        <v>36</v>
      </c>
      <c r="E55" s="200">
        <v>0</v>
      </c>
      <c r="F55" s="199">
        <v>0</v>
      </c>
      <c r="G55" s="200"/>
      <c r="H55" s="199"/>
      <c r="I55" s="200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5">
      <c r="A56" s="33" t="s">
        <v>136</v>
      </c>
      <c r="B56" s="33" t="s">
        <v>148</v>
      </c>
      <c r="C56" s="33">
        <v>13</v>
      </c>
      <c r="D56" s="33" t="s">
        <v>39</v>
      </c>
      <c r="E56" s="200">
        <v>0</v>
      </c>
      <c r="F56" s="199">
        <v>0</v>
      </c>
      <c r="G56" s="200"/>
      <c r="H56" s="199"/>
      <c r="I56" s="200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5">
      <c r="A57" s="33" t="s">
        <v>136</v>
      </c>
      <c r="B57" s="33" t="s">
        <v>148</v>
      </c>
      <c r="C57" s="33">
        <v>14</v>
      </c>
      <c r="D57" s="33" t="s">
        <v>40</v>
      </c>
      <c r="E57" s="200">
        <v>0</v>
      </c>
      <c r="F57" s="199">
        <v>0</v>
      </c>
      <c r="G57" s="200"/>
      <c r="H57" s="199"/>
      <c r="I57" s="200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5">
      <c r="A58" s="33" t="s">
        <v>136</v>
      </c>
      <c r="B58" s="33" t="s">
        <v>148</v>
      </c>
      <c r="C58" s="33">
        <v>15</v>
      </c>
      <c r="D58" s="33" t="s">
        <v>41</v>
      </c>
      <c r="E58" s="200">
        <v>0</v>
      </c>
      <c r="F58" s="199">
        <v>0</v>
      </c>
      <c r="G58" s="200"/>
      <c r="H58" s="199"/>
      <c r="I58" s="200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5">
      <c r="A59" s="33" t="s">
        <v>136</v>
      </c>
      <c r="B59" s="33" t="s">
        <v>148</v>
      </c>
      <c r="C59" s="33">
        <v>16</v>
      </c>
      <c r="D59" s="33" t="s">
        <v>42</v>
      </c>
      <c r="E59" s="200">
        <v>0</v>
      </c>
      <c r="F59" s="199">
        <v>0</v>
      </c>
      <c r="G59" s="200"/>
      <c r="H59" s="199"/>
      <c r="I59" s="200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5">
      <c r="A60" s="33" t="s">
        <v>136</v>
      </c>
      <c r="B60" s="33" t="s">
        <v>148</v>
      </c>
      <c r="C60" s="33">
        <v>17</v>
      </c>
      <c r="D60" s="33" t="s">
        <v>124</v>
      </c>
      <c r="E60" s="200">
        <v>0</v>
      </c>
      <c r="F60" s="199">
        <v>0</v>
      </c>
      <c r="G60" s="200"/>
      <c r="H60" s="199"/>
      <c r="I60" s="200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5">
      <c r="A61" s="33" t="s">
        <v>136</v>
      </c>
      <c r="B61" s="33" t="s">
        <v>148</v>
      </c>
      <c r="C61" s="33">
        <v>18</v>
      </c>
      <c r="D61" s="33" t="s">
        <v>125</v>
      </c>
      <c r="E61" s="200">
        <v>0</v>
      </c>
      <c r="F61" s="199">
        <v>0</v>
      </c>
      <c r="G61" s="200"/>
      <c r="H61" s="199"/>
      <c r="I61" s="200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5">
      <c r="A62" s="33" t="s">
        <v>136</v>
      </c>
      <c r="B62" s="33" t="s">
        <v>148</v>
      </c>
      <c r="C62" s="33">
        <v>19</v>
      </c>
      <c r="D62" s="33" t="s">
        <v>47</v>
      </c>
      <c r="E62" s="200">
        <v>0</v>
      </c>
      <c r="F62" s="199">
        <v>0</v>
      </c>
      <c r="G62" s="200"/>
      <c r="H62" s="199"/>
      <c r="I62" s="200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5">
      <c r="A63" s="33" t="s">
        <v>136</v>
      </c>
      <c r="B63" s="33" t="s">
        <v>148</v>
      </c>
      <c r="C63" s="33">
        <v>20</v>
      </c>
      <c r="D63" s="33" t="s">
        <v>126</v>
      </c>
      <c r="E63" s="200">
        <v>0</v>
      </c>
      <c r="F63" s="199">
        <v>0</v>
      </c>
      <c r="G63" s="200"/>
      <c r="H63" s="199"/>
      <c r="I63" s="200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5">
      <c r="A64" s="33" t="s">
        <v>136</v>
      </c>
      <c r="B64" s="33" t="s">
        <v>148</v>
      </c>
      <c r="C64" s="33">
        <v>21</v>
      </c>
      <c r="D64" s="33" t="s">
        <v>127</v>
      </c>
      <c r="E64" s="200">
        <v>0</v>
      </c>
      <c r="F64" s="199">
        <v>0</v>
      </c>
      <c r="G64" s="200"/>
      <c r="H64" s="199"/>
      <c r="I64" s="200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5">
      <c r="A65" s="33" t="s">
        <v>136</v>
      </c>
      <c r="B65" s="33" t="s">
        <v>148</v>
      </c>
      <c r="C65" s="33">
        <v>22</v>
      </c>
      <c r="D65" s="33" t="s">
        <v>128</v>
      </c>
      <c r="E65" s="200">
        <v>0</v>
      </c>
      <c r="F65" s="199">
        <v>0</v>
      </c>
      <c r="G65" s="200"/>
      <c r="H65" s="199"/>
      <c r="I65" s="200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5">
      <c r="A66" s="33" t="s">
        <v>136</v>
      </c>
      <c r="B66" s="33" t="s">
        <v>148</v>
      </c>
      <c r="C66" s="33">
        <v>23</v>
      </c>
      <c r="D66" s="33" t="s">
        <v>129</v>
      </c>
      <c r="E66" s="200">
        <v>0</v>
      </c>
      <c r="F66" s="199">
        <v>0</v>
      </c>
      <c r="G66" s="200"/>
      <c r="H66" s="199"/>
      <c r="I66" s="200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5">
      <c r="A67" s="33" t="s">
        <v>136</v>
      </c>
      <c r="B67" s="33" t="s">
        <v>148</v>
      </c>
      <c r="C67" s="33">
        <v>24</v>
      </c>
      <c r="D67" s="33" t="s">
        <v>55</v>
      </c>
      <c r="E67" s="200">
        <v>0</v>
      </c>
      <c r="F67" s="199">
        <v>0</v>
      </c>
      <c r="G67" s="200"/>
      <c r="H67" s="199"/>
      <c r="I67" s="200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5">
      <c r="A68" s="33" t="s">
        <v>136</v>
      </c>
      <c r="B68" s="33" t="s">
        <v>148</v>
      </c>
      <c r="C68" s="33">
        <v>25</v>
      </c>
      <c r="D68" s="33" t="s">
        <v>56</v>
      </c>
      <c r="E68" s="200">
        <v>0</v>
      </c>
      <c r="F68" s="199">
        <v>0</v>
      </c>
      <c r="G68" s="200"/>
      <c r="H68" s="199"/>
      <c r="I68" s="200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5">
      <c r="A69" s="33" t="s">
        <v>136</v>
      </c>
      <c r="B69" s="33" t="s">
        <v>148</v>
      </c>
      <c r="C69" s="33">
        <v>26</v>
      </c>
      <c r="D69" s="33" t="s">
        <v>130</v>
      </c>
      <c r="E69" s="200">
        <v>0</v>
      </c>
      <c r="F69" s="199">
        <v>0</v>
      </c>
      <c r="G69" s="200"/>
      <c r="H69" s="199"/>
      <c r="I69" s="200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5">
      <c r="A70" s="33" t="s">
        <v>136</v>
      </c>
      <c r="B70" s="33" t="s">
        <v>148</v>
      </c>
      <c r="C70" s="33">
        <v>27</v>
      </c>
      <c r="D70" s="33" t="s">
        <v>131</v>
      </c>
      <c r="E70" s="200">
        <v>0</v>
      </c>
      <c r="F70" s="199">
        <v>0</v>
      </c>
      <c r="G70" s="200"/>
      <c r="H70" s="199"/>
      <c r="I70" s="200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5">
      <c r="A71" s="33" t="s">
        <v>136</v>
      </c>
      <c r="B71" s="33" t="s">
        <v>148</v>
      </c>
      <c r="C71" s="33">
        <v>28</v>
      </c>
      <c r="D71" s="33" t="s">
        <v>132</v>
      </c>
      <c r="E71" s="200">
        <v>0</v>
      </c>
      <c r="F71" s="199">
        <v>0</v>
      </c>
      <c r="G71" s="200"/>
      <c r="H71" s="199"/>
      <c r="I71" s="200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5">
      <c r="A72" s="33" t="s">
        <v>136</v>
      </c>
      <c r="B72" s="33" t="s">
        <v>148</v>
      </c>
      <c r="C72" s="33">
        <v>29</v>
      </c>
      <c r="D72" s="33" t="s">
        <v>133</v>
      </c>
      <c r="E72" s="200">
        <v>0</v>
      </c>
      <c r="F72" s="199">
        <v>0</v>
      </c>
      <c r="G72" s="200"/>
      <c r="H72" s="199"/>
      <c r="I72" s="200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5">
      <c r="A73" s="33" t="s">
        <v>136</v>
      </c>
      <c r="B73" s="33" t="s">
        <v>148</v>
      </c>
      <c r="C73" s="33">
        <v>30</v>
      </c>
      <c r="D73" s="33" t="s">
        <v>134</v>
      </c>
      <c r="E73" s="200">
        <v>0</v>
      </c>
      <c r="F73" s="199">
        <v>0</v>
      </c>
      <c r="G73" s="200"/>
      <c r="H73" s="199"/>
      <c r="I73" s="200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5">
      <c r="A74" s="33" t="s">
        <v>136</v>
      </c>
      <c r="B74" s="33" t="s">
        <v>148</v>
      </c>
      <c r="C74" s="33">
        <v>31</v>
      </c>
      <c r="D74" s="33" t="s">
        <v>135</v>
      </c>
      <c r="E74" s="200">
        <v>0</v>
      </c>
      <c r="F74" s="199">
        <v>0</v>
      </c>
      <c r="G74" s="200"/>
      <c r="H74" s="199"/>
      <c r="I74" s="200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5">
      <c r="A75" s="33" t="s">
        <v>136</v>
      </c>
      <c r="B75" s="33" t="s">
        <v>148</v>
      </c>
      <c r="C75" s="33">
        <v>32</v>
      </c>
      <c r="D75" s="33" t="s">
        <v>70</v>
      </c>
      <c r="E75" s="200">
        <v>0</v>
      </c>
      <c r="F75" s="199">
        <v>0</v>
      </c>
      <c r="G75" s="200"/>
      <c r="H75" s="199"/>
      <c r="I75" s="200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5">
      <c r="A76" s="33" t="s">
        <v>136</v>
      </c>
      <c r="B76" s="33" t="s">
        <v>148</v>
      </c>
      <c r="C76" s="33">
        <v>33</v>
      </c>
      <c r="D76" s="33" t="s">
        <v>71</v>
      </c>
      <c r="E76" s="200">
        <v>0</v>
      </c>
      <c r="F76" s="199">
        <v>0</v>
      </c>
      <c r="G76" s="200"/>
      <c r="H76" s="199"/>
      <c r="I76" s="200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5">
      <c r="A77" s="33" t="s">
        <v>136</v>
      </c>
      <c r="B77" s="33" t="s">
        <v>148</v>
      </c>
      <c r="C77" s="33">
        <v>34</v>
      </c>
      <c r="D77" s="33" t="s">
        <v>72</v>
      </c>
      <c r="E77" s="200">
        <v>0</v>
      </c>
      <c r="F77" s="199">
        <v>0</v>
      </c>
      <c r="G77" s="200"/>
      <c r="H77" s="199"/>
      <c r="I77" s="200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5">
      <c r="A78" s="33" t="s">
        <v>136</v>
      </c>
      <c r="B78" s="33" t="s">
        <v>148</v>
      </c>
      <c r="C78" s="33">
        <v>35</v>
      </c>
      <c r="D78" s="33" t="s">
        <v>73</v>
      </c>
      <c r="E78" s="200">
        <v>0</v>
      </c>
      <c r="F78" s="199">
        <v>0</v>
      </c>
      <c r="G78" s="200"/>
      <c r="H78" s="199"/>
      <c r="I78" s="200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5">
      <c r="A79" s="33" t="s">
        <v>136</v>
      </c>
      <c r="B79" s="33" t="s">
        <v>148</v>
      </c>
      <c r="C79" s="33">
        <v>36</v>
      </c>
      <c r="D79" s="33" t="s">
        <v>74</v>
      </c>
      <c r="E79" s="200">
        <v>0</v>
      </c>
      <c r="F79" s="199">
        <v>0</v>
      </c>
      <c r="G79" s="200"/>
      <c r="H79" s="199"/>
      <c r="I79" s="200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5">
      <c r="A80" s="33" t="s">
        <v>136</v>
      </c>
      <c r="B80" s="33" t="s">
        <v>148</v>
      </c>
      <c r="C80" s="33">
        <v>37</v>
      </c>
      <c r="D80" s="33" t="s">
        <v>75</v>
      </c>
      <c r="E80" s="200">
        <v>0</v>
      </c>
      <c r="F80" s="199">
        <v>0</v>
      </c>
      <c r="G80" s="200"/>
      <c r="H80" s="199"/>
      <c r="I80" s="200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5">
      <c r="A81" s="33" t="s">
        <v>136</v>
      </c>
      <c r="B81" s="33" t="s">
        <v>148</v>
      </c>
      <c r="C81" s="33">
        <v>38</v>
      </c>
      <c r="D81" s="33" t="s">
        <v>76</v>
      </c>
      <c r="E81" s="200">
        <v>0</v>
      </c>
      <c r="F81" s="199">
        <v>0</v>
      </c>
      <c r="G81" s="200"/>
      <c r="H81" s="199"/>
      <c r="I81" s="200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5">
      <c r="A82" s="33" t="s">
        <v>136</v>
      </c>
      <c r="B82" s="33" t="s">
        <v>148</v>
      </c>
      <c r="C82" s="33">
        <v>39</v>
      </c>
      <c r="D82" s="33" t="s">
        <v>77</v>
      </c>
      <c r="E82" s="200">
        <v>0</v>
      </c>
      <c r="F82" s="199">
        <v>0</v>
      </c>
      <c r="G82" s="200"/>
      <c r="H82" s="199"/>
      <c r="I82" s="200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5">
      <c r="A83" s="33" t="s">
        <v>136</v>
      </c>
      <c r="B83" s="33" t="s">
        <v>148</v>
      </c>
      <c r="C83" s="33">
        <v>40</v>
      </c>
      <c r="D83" s="33" t="s">
        <v>78</v>
      </c>
      <c r="E83" s="200">
        <v>0</v>
      </c>
      <c r="F83" s="199">
        <v>0</v>
      </c>
      <c r="G83" s="200"/>
      <c r="H83" s="199"/>
      <c r="I83" s="200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5">
      <c r="A84" s="33" t="s">
        <v>138</v>
      </c>
      <c r="B84" s="33" t="s">
        <v>199</v>
      </c>
      <c r="C84" s="33">
        <v>1</v>
      </c>
      <c r="D84" s="33" t="s">
        <v>25</v>
      </c>
      <c r="E84" s="200">
        <v>0</v>
      </c>
      <c r="F84" s="199">
        <v>0</v>
      </c>
      <c r="G84" s="200"/>
      <c r="H84" s="199"/>
      <c r="I84" s="200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5">
      <c r="A85" s="33" t="s">
        <v>138</v>
      </c>
      <c r="B85" s="33" t="s">
        <v>199</v>
      </c>
      <c r="C85" s="33">
        <v>2</v>
      </c>
      <c r="D85" s="33" t="s">
        <v>26</v>
      </c>
      <c r="E85" s="200">
        <v>0</v>
      </c>
      <c r="F85" s="199">
        <v>0</v>
      </c>
      <c r="G85" s="200"/>
      <c r="H85" s="199"/>
      <c r="I85" s="200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5">
      <c r="A86" s="33" t="s">
        <v>138</v>
      </c>
      <c r="B86" s="33" t="s">
        <v>199</v>
      </c>
      <c r="C86" s="33">
        <v>3</v>
      </c>
      <c r="D86" s="33" t="s">
        <v>27</v>
      </c>
      <c r="E86" s="200">
        <v>0</v>
      </c>
      <c r="F86" s="199">
        <v>0</v>
      </c>
      <c r="G86" s="200"/>
      <c r="H86" s="199"/>
      <c r="I86" s="200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5">
      <c r="A87" s="33" t="s">
        <v>138</v>
      </c>
      <c r="B87" s="33" t="s">
        <v>199</v>
      </c>
      <c r="C87" s="33">
        <v>4</v>
      </c>
      <c r="D87" s="33" t="s">
        <v>28</v>
      </c>
      <c r="E87" s="200">
        <v>0</v>
      </c>
      <c r="F87" s="199">
        <v>0</v>
      </c>
      <c r="G87" s="200"/>
      <c r="H87" s="199"/>
      <c r="I87" s="200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5">
      <c r="A88" s="33" t="s">
        <v>138</v>
      </c>
      <c r="B88" s="33" t="s">
        <v>199</v>
      </c>
      <c r="C88" s="33">
        <v>5</v>
      </c>
      <c r="D88" s="33" t="s">
        <v>123</v>
      </c>
      <c r="E88" s="200">
        <v>0</v>
      </c>
      <c r="F88" s="199">
        <v>0</v>
      </c>
      <c r="G88" s="200"/>
      <c r="H88" s="199"/>
      <c r="I88" s="200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5">
      <c r="A89" s="33" t="s">
        <v>138</v>
      </c>
      <c r="B89" s="33" t="s">
        <v>199</v>
      </c>
      <c r="C89" s="33">
        <v>6</v>
      </c>
      <c r="D89" s="33" t="s">
        <v>25</v>
      </c>
      <c r="E89" s="200">
        <v>0</v>
      </c>
      <c r="F89" s="199">
        <v>0</v>
      </c>
      <c r="G89" s="200"/>
      <c r="H89" s="199"/>
      <c r="I89" s="200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5">
      <c r="A90" s="33" t="s">
        <v>138</v>
      </c>
      <c r="B90" s="33" t="s">
        <v>199</v>
      </c>
      <c r="C90" s="33">
        <v>7</v>
      </c>
      <c r="D90" s="33" t="s">
        <v>26</v>
      </c>
      <c r="E90" s="200">
        <v>0</v>
      </c>
      <c r="F90" s="199">
        <v>0</v>
      </c>
      <c r="G90" s="200"/>
      <c r="H90" s="199"/>
      <c r="I90" s="200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5">
      <c r="A91" s="33" t="s">
        <v>138</v>
      </c>
      <c r="B91" s="33" t="s">
        <v>199</v>
      </c>
      <c r="C91" s="33">
        <v>8</v>
      </c>
      <c r="D91" s="33" t="s">
        <v>27</v>
      </c>
      <c r="E91" s="200">
        <v>0</v>
      </c>
      <c r="F91" s="199">
        <v>0</v>
      </c>
      <c r="G91" s="200"/>
      <c r="H91" s="199"/>
      <c r="I91" s="200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5">
      <c r="A92" s="33" t="s">
        <v>138</v>
      </c>
      <c r="B92" s="33" t="s">
        <v>199</v>
      </c>
      <c r="C92" s="33">
        <v>9</v>
      </c>
      <c r="D92" s="33" t="s">
        <v>28</v>
      </c>
      <c r="E92" s="200">
        <v>0</v>
      </c>
      <c r="F92" s="199">
        <v>0</v>
      </c>
      <c r="G92" s="200"/>
      <c r="H92" s="199"/>
      <c r="I92" s="200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5">
      <c r="A93" s="33" t="s">
        <v>138</v>
      </c>
      <c r="B93" s="33" t="s">
        <v>199</v>
      </c>
      <c r="C93" s="33">
        <v>10</v>
      </c>
      <c r="D93" s="33" t="s">
        <v>32</v>
      </c>
      <c r="E93" s="200">
        <v>0</v>
      </c>
      <c r="F93" s="199">
        <v>0</v>
      </c>
      <c r="G93" s="200"/>
      <c r="H93" s="199"/>
      <c r="I93" s="200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5">
      <c r="A94" s="33" t="s">
        <v>138</v>
      </c>
      <c r="B94" s="33" t="s">
        <v>199</v>
      </c>
      <c r="C94" s="33">
        <v>11</v>
      </c>
      <c r="D94" s="33" t="s">
        <v>35</v>
      </c>
      <c r="E94" s="200">
        <v>0</v>
      </c>
      <c r="F94" s="199">
        <v>0</v>
      </c>
      <c r="G94" s="200"/>
      <c r="H94" s="199"/>
      <c r="I94" s="200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5">
      <c r="A95" s="33" t="s">
        <v>138</v>
      </c>
      <c r="B95" s="33" t="s">
        <v>199</v>
      </c>
      <c r="C95" s="33">
        <v>12</v>
      </c>
      <c r="D95" s="33" t="s">
        <v>36</v>
      </c>
      <c r="E95" s="200">
        <v>0</v>
      </c>
      <c r="F95" s="199">
        <v>0</v>
      </c>
      <c r="G95" s="200"/>
      <c r="H95" s="199"/>
      <c r="I95" s="200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5">
      <c r="A96" s="33" t="s">
        <v>138</v>
      </c>
      <c r="B96" s="33" t="s">
        <v>199</v>
      </c>
      <c r="C96" s="33">
        <v>13</v>
      </c>
      <c r="D96" s="33" t="s">
        <v>39</v>
      </c>
      <c r="E96" s="200">
        <v>0</v>
      </c>
      <c r="F96" s="199">
        <v>0</v>
      </c>
      <c r="G96" s="200"/>
      <c r="H96" s="199"/>
      <c r="I96" s="200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5">
      <c r="A97" s="33" t="s">
        <v>138</v>
      </c>
      <c r="B97" s="33" t="s">
        <v>199</v>
      </c>
      <c r="C97" s="33">
        <v>14</v>
      </c>
      <c r="D97" s="33" t="s">
        <v>40</v>
      </c>
      <c r="E97" s="200">
        <v>0</v>
      </c>
      <c r="F97" s="199">
        <v>0</v>
      </c>
      <c r="G97" s="200"/>
      <c r="H97" s="199"/>
      <c r="I97" s="200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5">
      <c r="A98" s="33" t="s">
        <v>138</v>
      </c>
      <c r="B98" s="33" t="s">
        <v>199</v>
      </c>
      <c r="C98" s="33">
        <v>15</v>
      </c>
      <c r="D98" s="33" t="s">
        <v>41</v>
      </c>
      <c r="E98" s="200">
        <v>0</v>
      </c>
      <c r="F98" s="199">
        <v>0</v>
      </c>
      <c r="G98" s="200"/>
      <c r="H98" s="199"/>
      <c r="I98" s="200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5">
      <c r="A99" s="33" t="s">
        <v>138</v>
      </c>
      <c r="B99" s="33" t="s">
        <v>199</v>
      </c>
      <c r="C99" s="33">
        <v>16</v>
      </c>
      <c r="D99" s="33" t="s">
        <v>42</v>
      </c>
      <c r="E99" s="200">
        <v>0</v>
      </c>
      <c r="F99" s="199">
        <v>0</v>
      </c>
      <c r="G99" s="200"/>
      <c r="H99" s="199"/>
      <c r="I99" s="200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5">
      <c r="A100" s="33" t="s">
        <v>138</v>
      </c>
      <c r="B100" s="33" t="s">
        <v>199</v>
      </c>
      <c r="C100" s="33">
        <v>17</v>
      </c>
      <c r="D100" s="33" t="s">
        <v>124</v>
      </c>
      <c r="E100" s="200">
        <v>0</v>
      </c>
      <c r="F100" s="199">
        <v>0</v>
      </c>
      <c r="G100" s="200"/>
      <c r="H100" s="199"/>
      <c r="I100" s="200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5">
      <c r="A101" s="33" t="s">
        <v>138</v>
      </c>
      <c r="B101" s="33" t="s">
        <v>199</v>
      </c>
      <c r="C101" s="33">
        <v>18</v>
      </c>
      <c r="D101" s="33" t="s">
        <v>125</v>
      </c>
      <c r="E101" s="200">
        <v>0</v>
      </c>
      <c r="F101" s="199">
        <v>0</v>
      </c>
      <c r="G101" s="200"/>
      <c r="H101" s="199"/>
      <c r="I101" s="200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5">
      <c r="A102" s="33" t="s">
        <v>138</v>
      </c>
      <c r="B102" s="33" t="s">
        <v>199</v>
      </c>
      <c r="C102" s="33">
        <v>19</v>
      </c>
      <c r="D102" s="33" t="s">
        <v>47</v>
      </c>
      <c r="E102" s="200">
        <v>0</v>
      </c>
      <c r="F102" s="199">
        <v>0</v>
      </c>
      <c r="G102" s="200"/>
      <c r="H102" s="199"/>
      <c r="I102" s="200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5">
      <c r="A103" s="33" t="s">
        <v>138</v>
      </c>
      <c r="B103" s="33" t="s">
        <v>199</v>
      </c>
      <c r="C103" s="33">
        <v>20</v>
      </c>
      <c r="D103" s="33" t="s">
        <v>126</v>
      </c>
      <c r="E103" s="200">
        <v>0</v>
      </c>
      <c r="F103" s="199">
        <v>0</v>
      </c>
      <c r="G103" s="200"/>
      <c r="H103" s="199"/>
      <c r="I103" s="200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5">
      <c r="A104" s="33" t="s">
        <v>138</v>
      </c>
      <c r="B104" s="33" t="s">
        <v>199</v>
      </c>
      <c r="C104" s="33">
        <v>21</v>
      </c>
      <c r="D104" s="33" t="s">
        <v>127</v>
      </c>
      <c r="E104" s="200">
        <v>0</v>
      </c>
      <c r="F104" s="199">
        <v>0</v>
      </c>
      <c r="G104" s="200"/>
      <c r="H104" s="199"/>
      <c r="I104" s="200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5">
      <c r="A105" s="33" t="s">
        <v>138</v>
      </c>
      <c r="B105" s="33" t="s">
        <v>199</v>
      </c>
      <c r="C105" s="33">
        <v>22</v>
      </c>
      <c r="D105" s="33" t="s">
        <v>128</v>
      </c>
      <c r="E105" s="200">
        <v>0</v>
      </c>
      <c r="F105" s="199">
        <v>0</v>
      </c>
      <c r="G105" s="200"/>
      <c r="H105" s="199"/>
      <c r="I105" s="200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5">
      <c r="A106" s="33" t="s">
        <v>138</v>
      </c>
      <c r="B106" s="33" t="s">
        <v>199</v>
      </c>
      <c r="C106" s="33">
        <v>23</v>
      </c>
      <c r="D106" s="33" t="s">
        <v>129</v>
      </c>
      <c r="E106" s="200">
        <v>0</v>
      </c>
      <c r="F106" s="199">
        <v>0</v>
      </c>
      <c r="G106" s="200"/>
      <c r="H106" s="199"/>
      <c r="I106" s="200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5">
      <c r="A107" s="33" t="s">
        <v>138</v>
      </c>
      <c r="B107" s="33" t="s">
        <v>199</v>
      </c>
      <c r="C107" s="33">
        <v>24</v>
      </c>
      <c r="D107" s="33" t="s">
        <v>55</v>
      </c>
      <c r="E107" s="200">
        <v>0</v>
      </c>
      <c r="F107" s="199">
        <v>0</v>
      </c>
      <c r="G107" s="200"/>
      <c r="H107" s="199"/>
      <c r="I107" s="200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5">
      <c r="A108" s="33" t="s">
        <v>138</v>
      </c>
      <c r="B108" s="33" t="s">
        <v>199</v>
      </c>
      <c r="C108" s="33">
        <v>25</v>
      </c>
      <c r="D108" s="33" t="s">
        <v>56</v>
      </c>
      <c r="E108" s="200">
        <v>0</v>
      </c>
      <c r="F108" s="199">
        <v>0</v>
      </c>
      <c r="G108" s="200"/>
      <c r="H108" s="199"/>
      <c r="I108" s="200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5">
      <c r="A109" s="33" t="s">
        <v>138</v>
      </c>
      <c r="B109" s="33" t="s">
        <v>199</v>
      </c>
      <c r="C109" s="33">
        <v>26</v>
      </c>
      <c r="D109" s="33" t="s">
        <v>130</v>
      </c>
      <c r="E109" s="200">
        <v>0</v>
      </c>
      <c r="F109" s="199">
        <v>0</v>
      </c>
      <c r="G109" s="200"/>
      <c r="H109" s="199"/>
      <c r="I109" s="200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5">
      <c r="A110" s="33" t="s">
        <v>138</v>
      </c>
      <c r="B110" s="33" t="s">
        <v>199</v>
      </c>
      <c r="C110" s="33">
        <v>27</v>
      </c>
      <c r="D110" s="33" t="s">
        <v>131</v>
      </c>
      <c r="E110" s="200">
        <v>0</v>
      </c>
      <c r="F110" s="199">
        <v>0</v>
      </c>
      <c r="G110" s="200"/>
      <c r="H110" s="199"/>
      <c r="I110" s="200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5">
      <c r="A111" s="33" t="s">
        <v>138</v>
      </c>
      <c r="B111" s="33" t="s">
        <v>199</v>
      </c>
      <c r="C111" s="33">
        <v>28</v>
      </c>
      <c r="D111" s="33" t="s">
        <v>132</v>
      </c>
      <c r="E111" s="200">
        <v>0</v>
      </c>
      <c r="F111" s="199">
        <v>0</v>
      </c>
      <c r="G111" s="200"/>
      <c r="H111" s="199"/>
      <c r="I111" s="200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5">
      <c r="A112" s="33" t="s">
        <v>138</v>
      </c>
      <c r="B112" s="33" t="s">
        <v>199</v>
      </c>
      <c r="C112" s="33">
        <v>29</v>
      </c>
      <c r="D112" s="33" t="s">
        <v>133</v>
      </c>
      <c r="E112" s="200">
        <v>0</v>
      </c>
      <c r="F112" s="199">
        <v>0</v>
      </c>
      <c r="G112" s="200"/>
      <c r="H112" s="199"/>
      <c r="I112" s="200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5">
      <c r="A113" s="33" t="s">
        <v>138</v>
      </c>
      <c r="B113" s="33" t="s">
        <v>199</v>
      </c>
      <c r="C113" s="33">
        <v>30</v>
      </c>
      <c r="D113" s="33" t="s">
        <v>134</v>
      </c>
      <c r="E113" s="200">
        <v>0</v>
      </c>
      <c r="F113" s="199">
        <v>0</v>
      </c>
      <c r="G113" s="200"/>
      <c r="H113" s="199"/>
      <c r="I113" s="200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5">
      <c r="A114" s="33" t="s">
        <v>138</v>
      </c>
      <c r="B114" s="33" t="s">
        <v>199</v>
      </c>
      <c r="C114" s="33">
        <v>31</v>
      </c>
      <c r="D114" s="33" t="s">
        <v>135</v>
      </c>
      <c r="E114" s="200">
        <v>0</v>
      </c>
      <c r="F114" s="199">
        <v>0</v>
      </c>
      <c r="G114" s="200"/>
      <c r="H114" s="199"/>
      <c r="I114" s="200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5">
      <c r="A115" s="33" t="s">
        <v>138</v>
      </c>
      <c r="B115" s="33" t="s">
        <v>199</v>
      </c>
      <c r="C115" s="33">
        <v>32</v>
      </c>
      <c r="D115" s="33" t="s">
        <v>70</v>
      </c>
      <c r="E115" s="200">
        <v>0</v>
      </c>
      <c r="F115" s="199">
        <v>0</v>
      </c>
      <c r="G115" s="200"/>
      <c r="H115" s="199"/>
      <c r="I115" s="200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5">
      <c r="A116" s="33" t="s">
        <v>138</v>
      </c>
      <c r="B116" s="33" t="s">
        <v>199</v>
      </c>
      <c r="C116" s="33">
        <v>33</v>
      </c>
      <c r="D116" s="33" t="s">
        <v>71</v>
      </c>
      <c r="E116" s="200">
        <v>0</v>
      </c>
      <c r="F116" s="199">
        <v>0</v>
      </c>
      <c r="G116" s="200"/>
      <c r="H116" s="199"/>
      <c r="I116" s="200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5">
      <c r="A117" s="33" t="s">
        <v>138</v>
      </c>
      <c r="B117" s="33" t="s">
        <v>199</v>
      </c>
      <c r="C117" s="33">
        <v>34</v>
      </c>
      <c r="D117" s="33" t="s">
        <v>72</v>
      </c>
      <c r="E117" s="200">
        <v>0</v>
      </c>
      <c r="F117" s="199">
        <v>0</v>
      </c>
      <c r="G117" s="200"/>
      <c r="H117" s="199"/>
      <c r="I117" s="200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5">
      <c r="A118" s="33" t="s">
        <v>138</v>
      </c>
      <c r="B118" s="33" t="s">
        <v>199</v>
      </c>
      <c r="C118" s="33">
        <v>35</v>
      </c>
      <c r="D118" s="33" t="s">
        <v>73</v>
      </c>
      <c r="E118" s="200">
        <v>0</v>
      </c>
      <c r="F118" s="199">
        <v>0</v>
      </c>
      <c r="G118" s="200"/>
      <c r="H118" s="199"/>
      <c r="I118" s="200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5">
      <c r="A119" s="33" t="s">
        <v>138</v>
      </c>
      <c r="B119" s="33" t="s">
        <v>199</v>
      </c>
      <c r="C119" s="33">
        <v>36</v>
      </c>
      <c r="D119" s="33" t="s">
        <v>74</v>
      </c>
      <c r="E119" s="200">
        <v>0</v>
      </c>
      <c r="F119" s="199">
        <v>0</v>
      </c>
      <c r="G119" s="200"/>
      <c r="H119" s="199"/>
      <c r="I119" s="200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5">
      <c r="A120" s="33" t="s">
        <v>138</v>
      </c>
      <c r="B120" s="33" t="s">
        <v>199</v>
      </c>
      <c r="C120" s="33">
        <v>37</v>
      </c>
      <c r="D120" s="33" t="s">
        <v>75</v>
      </c>
      <c r="E120" s="200">
        <v>0</v>
      </c>
      <c r="F120" s="199">
        <v>0</v>
      </c>
      <c r="G120" s="200"/>
      <c r="H120" s="199"/>
      <c r="I120" s="200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5">
      <c r="A121" s="33" t="s">
        <v>138</v>
      </c>
      <c r="B121" s="33" t="s">
        <v>199</v>
      </c>
      <c r="C121" s="33">
        <v>38</v>
      </c>
      <c r="D121" s="33" t="s">
        <v>76</v>
      </c>
      <c r="E121" s="200">
        <v>0</v>
      </c>
      <c r="F121" s="199">
        <v>0</v>
      </c>
      <c r="G121" s="200"/>
      <c r="H121" s="199"/>
      <c r="I121" s="200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5">
      <c r="A122" s="33" t="s">
        <v>138</v>
      </c>
      <c r="B122" s="33" t="s">
        <v>199</v>
      </c>
      <c r="C122" s="33">
        <v>39</v>
      </c>
      <c r="D122" s="33" t="s">
        <v>77</v>
      </c>
      <c r="E122" s="200">
        <v>0</v>
      </c>
      <c r="F122" s="199">
        <v>0</v>
      </c>
      <c r="G122" s="200"/>
      <c r="H122" s="199"/>
      <c r="I122" s="200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5">
      <c r="A123" s="33" t="s">
        <v>138</v>
      </c>
      <c r="B123" s="33" t="s">
        <v>199</v>
      </c>
      <c r="C123" s="33">
        <v>40</v>
      </c>
      <c r="D123" s="33" t="s">
        <v>78</v>
      </c>
      <c r="E123" s="200">
        <v>0</v>
      </c>
      <c r="F123" s="199">
        <v>0</v>
      </c>
      <c r="G123" s="200"/>
      <c r="H123" s="199"/>
      <c r="I123" s="200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5">
      <c r="A124" s="33" t="s">
        <v>138</v>
      </c>
      <c r="B124" s="33" t="s">
        <v>111</v>
      </c>
      <c r="C124" s="33">
        <v>1</v>
      </c>
      <c r="D124" s="33" t="s">
        <v>25</v>
      </c>
      <c r="E124" s="200">
        <v>0</v>
      </c>
      <c r="F124" s="199">
        <v>0</v>
      </c>
      <c r="G124" s="200"/>
      <c r="H124" s="199"/>
      <c r="I124" s="200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5">
      <c r="A125" s="33" t="s">
        <v>138</v>
      </c>
      <c r="B125" s="33" t="s">
        <v>111</v>
      </c>
      <c r="C125" s="33">
        <v>2</v>
      </c>
      <c r="D125" s="33" t="s">
        <v>26</v>
      </c>
      <c r="E125" s="200">
        <v>0</v>
      </c>
      <c r="F125" s="199">
        <v>0</v>
      </c>
      <c r="G125" s="200"/>
      <c r="H125" s="199"/>
      <c r="I125" s="200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5">
      <c r="A126" s="33" t="s">
        <v>138</v>
      </c>
      <c r="B126" s="33" t="s">
        <v>111</v>
      </c>
      <c r="C126" s="33">
        <v>3</v>
      </c>
      <c r="D126" s="33" t="s">
        <v>27</v>
      </c>
      <c r="E126" s="200">
        <v>0</v>
      </c>
      <c r="F126" s="199">
        <v>0</v>
      </c>
      <c r="G126" s="200"/>
      <c r="H126" s="199"/>
      <c r="I126" s="200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5">
      <c r="A127" s="33" t="s">
        <v>138</v>
      </c>
      <c r="B127" s="33" t="s">
        <v>111</v>
      </c>
      <c r="C127" s="33">
        <v>4</v>
      </c>
      <c r="D127" s="33" t="s">
        <v>28</v>
      </c>
      <c r="E127" s="200">
        <v>0</v>
      </c>
      <c r="F127" s="199">
        <v>0</v>
      </c>
      <c r="G127" s="200"/>
      <c r="H127" s="199"/>
      <c r="I127" s="200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5">
      <c r="A128" s="33" t="s">
        <v>138</v>
      </c>
      <c r="B128" s="33" t="s">
        <v>111</v>
      </c>
      <c r="C128" s="33">
        <v>5</v>
      </c>
      <c r="D128" s="33" t="s">
        <v>123</v>
      </c>
      <c r="E128" s="200">
        <v>0</v>
      </c>
      <c r="F128" s="199">
        <v>0</v>
      </c>
      <c r="G128" s="200"/>
      <c r="H128" s="199"/>
      <c r="I128" s="200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5">
      <c r="A129" s="33" t="s">
        <v>138</v>
      </c>
      <c r="B129" s="33" t="s">
        <v>111</v>
      </c>
      <c r="C129" s="33">
        <v>6</v>
      </c>
      <c r="D129" s="33" t="s">
        <v>25</v>
      </c>
      <c r="E129" s="200">
        <v>0</v>
      </c>
      <c r="F129" s="199">
        <v>0</v>
      </c>
      <c r="G129" s="200"/>
      <c r="H129" s="199"/>
      <c r="I129" s="200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5">
      <c r="A130" s="33" t="s">
        <v>138</v>
      </c>
      <c r="B130" s="33" t="s">
        <v>111</v>
      </c>
      <c r="C130" s="33">
        <v>7</v>
      </c>
      <c r="D130" s="33" t="s">
        <v>26</v>
      </c>
      <c r="E130" s="200">
        <v>0</v>
      </c>
      <c r="F130" s="199">
        <v>0</v>
      </c>
      <c r="G130" s="200"/>
      <c r="H130" s="199"/>
      <c r="I130" s="200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5">
      <c r="A131" s="33" t="s">
        <v>138</v>
      </c>
      <c r="B131" s="33" t="s">
        <v>111</v>
      </c>
      <c r="C131" s="33">
        <v>8</v>
      </c>
      <c r="D131" s="33" t="s">
        <v>27</v>
      </c>
      <c r="E131" s="200">
        <v>0</v>
      </c>
      <c r="F131" s="199">
        <v>0</v>
      </c>
      <c r="G131" s="200"/>
      <c r="H131" s="199"/>
      <c r="I131" s="200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5">
      <c r="A132" s="33" t="s">
        <v>138</v>
      </c>
      <c r="B132" s="33" t="s">
        <v>111</v>
      </c>
      <c r="C132" s="33">
        <v>9</v>
      </c>
      <c r="D132" s="33" t="s">
        <v>28</v>
      </c>
      <c r="E132" s="200">
        <v>0</v>
      </c>
      <c r="F132" s="199">
        <v>0</v>
      </c>
      <c r="G132" s="200"/>
      <c r="H132" s="199"/>
      <c r="I132" s="200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5">
      <c r="A133" s="33" t="s">
        <v>138</v>
      </c>
      <c r="B133" s="33" t="s">
        <v>111</v>
      </c>
      <c r="C133" s="33">
        <v>10</v>
      </c>
      <c r="D133" s="33" t="s">
        <v>32</v>
      </c>
      <c r="E133" s="200">
        <v>0</v>
      </c>
      <c r="F133" s="199">
        <v>0</v>
      </c>
      <c r="G133" s="200"/>
      <c r="H133" s="199"/>
      <c r="I133" s="200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5">
      <c r="A134" s="33" t="s">
        <v>138</v>
      </c>
      <c r="B134" s="33" t="s">
        <v>111</v>
      </c>
      <c r="C134" s="33">
        <v>11</v>
      </c>
      <c r="D134" s="33" t="s">
        <v>35</v>
      </c>
      <c r="E134" s="200">
        <v>0</v>
      </c>
      <c r="F134" s="199">
        <v>0</v>
      </c>
      <c r="G134" s="200"/>
      <c r="H134" s="199"/>
      <c r="I134" s="200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5">
      <c r="A135" s="33" t="s">
        <v>138</v>
      </c>
      <c r="B135" s="33" t="s">
        <v>111</v>
      </c>
      <c r="C135" s="33">
        <v>12</v>
      </c>
      <c r="D135" s="33" t="s">
        <v>36</v>
      </c>
      <c r="E135" s="200">
        <v>0</v>
      </c>
      <c r="F135" s="199">
        <v>0</v>
      </c>
      <c r="G135" s="200"/>
      <c r="H135" s="199"/>
      <c r="I135" s="200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5">
      <c r="A136" s="33" t="s">
        <v>138</v>
      </c>
      <c r="B136" s="33" t="s">
        <v>111</v>
      </c>
      <c r="C136" s="33">
        <v>13</v>
      </c>
      <c r="D136" s="33" t="s">
        <v>39</v>
      </c>
      <c r="E136" s="200">
        <v>0</v>
      </c>
      <c r="F136" s="199">
        <v>0</v>
      </c>
      <c r="G136" s="200"/>
      <c r="H136" s="199"/>
      <c r="I136" s="200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5">
      <c r="A137" s="33" t="s">
        <v>138</v>
      </c>
      <c r="B137" s="33" t="s">
        <v>111</v>
      </c>
      <c r="C137" s="33">
        <v>14</v>
      </c>
      <c r="D137" s="33" t="s">
        <v>40</v>
      </c>
      <c r="E137" s="200">
        <v>0</v>
      </c>
      <c r="F137" s="199">
        <v>0</v>
      </c>
      <c r="G137" s="200"/>
      <c r="H137" s="199"/>
      <c r="I137" s="200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5">
      <c r="A138" s="33" t="s">
        <v>138</v>
      </c>
      <c r="B138" s="33" t="s">
        <v>111</v>
      </c>
      <c r="C138" s="33">
        <v>15</v>
      </c>
      <c r="D138" s="33" t="s">
        <v>41</v>
      </c>
      <c r="E138" s="200">
        <v>0</v>
      </c>
      <c r="F138" s="199">
        <v>0</v>
      </c>
      <c r="G138" s="200"/>
      <c r="H138" s="199"/>
      <c r="I138" s="200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5">
      <c r="A139" s="33" t="s">
        <v>138</v>
      </c>
      <c r="B139" s="33" t="s">
        <v>111</v>
      </c>
      <c r="C139" s="33">
        <v>16</v>
      </c>
      <c r="D139" s="33" t="s">
        <v>42</v>
      </c>
      <c r="E139" s="200">
        <v>0</v>
      </c>
      <c r="F139" s="199">
        <v>0</v>
      </c>
      <c r="G139" s="200"/>
      <c r="H139" s="199"/>
      <c r="I139" s="200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5">
      <c r="A140" s="33" t="s">
        <v>138</v>
      </c>
      <c r="B140" s="33" t="s">
        <v>111</v>
      </c>
      <c r="C140" s="33">
        <v>17</v>
      </c>
      <c r="D140" s="33" t="s">
        <v>124</v>
      </c>
      <c r="E140" s="200">
        <v>0</v>
      </c>
      <c r="F140" s="199">
        <v>0</v>
      </c>
      <c r="G140" s="200"/>
      <c r="H140" s="199"/>
      <c r="I140" s="200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5">
      <c r="A141" s="33" t="s">
        <v>138</v>
      </c>
      <c r="B141" s="33" t="s">
        <v>111</v>
      </c>
      <c r="C141" s="33">
        <v>18</v>
      </c>
      <c r="D141" s="33" t="s">
        <v>125</v>
      </c>
      <c r="E141" s="200">
        <v>0</v>
      </c>
      <c r="F141" s="199">
        <v>0</v>
      </c>
      <c r="G141" s="200"/>
      <c r="H141" s="199"/>
      <c r="I141" s="200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5">
      <c r="A142" s="33" t="s">
        <v>138</v>
      </c>
      <c r="B142" s="33" t="s">
        <v>111</v>
      </c>
      <c r="C142" s="33">
        <v>19</v>
      </c>
      <c r="D142" s="33" t="s">
        <v>47</v>
      </c>
      <c r="E142" s="200">
        <v>0</v>
      </c>
      <c r="F142" s="199">
        <v>0</v>
      </c>
      <c r="G142" s="200"/>
      <c r="H142" s="199"/>
      <c r="I142" s="200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5">
      <c r="A143" s="33" t="s">
        <v>138</v>
      </c>
      <c r="B143" s="33" t="s">
        <v>111</v>
      </c>
      <c r="C143" s="33">
        <v>20</v>
      </c>
      <c r="D143" s="33" t="s">
        <v>126</v>
      </c>
      <c r="E143" s="200">
        <v>0</v>
      </c>
      <c r="F143" s="199">
        <v>0</v>
      </c>
      <c r="G143" s="200"/>
      <c r="H143" s="199"/>
      <c r="I143" s="200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5">
      <c r="A144" s="33" t="s">
        <v>138</v>
      </c>
      <c r="B144" s="33" t="s">
        <v>111</v>
      </c>
      <c r="C144" s="33">
        <v>21</v>
      </c>
      <c r="D144" s="33" t="s">
        <v>127</v>
      </c>
      <c r="E144" s="200">
        <v>0</v>
      </c>
      <c r="F144" s="199">
        <v>0</v>
      </c>
      <c r="G144" s="200"/>
      <c r="H144" s="199"/>
      <c r="I144" s="200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5">
      <c r="A145" s="33" t="s">
        <v>138</v>
      </c>
      <c r="B145" s="33" t="s">
        <v>111</v>
      </c>
      <c r="C145" s="33">
        <v>22</v>
      </c>
      <c r="D145" s="33" t="s">
        <v>128</v>
      </c>
      <c r="E145" s="200">
        <v>0</v>
      </c>
      <c r="F145" s="199">
        <v>0</v>
      </c>
      <c r="G145" s="200"/>
      <c r="H145" s="199"/>
      <c r="I145" s="200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5">
      <c r="A146" s="33" t="s">
        <v>138</v>
      </c>
      <c r="B146" s="33" t="s">
        <v>111</v>
      </c>
      <c r="C146" s="33">
        <v>23</v>
      </c>
      <c r="D146" s="33" t="s">
        <v>129</v>
      </c>
      <c r="E146" s="200">
        <v>0</v>
      </c>
      <c r="F146" s="199">
        <v>0</v>
      </c>
      <c r="G146" s="200"/>
      <c r="H146" s="199"/>
      <c r="I146" s="200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5">
      <c r="A147" s="33" t="s">
        <v>138</v>
      </c>
      <c r="B147" s="33" t="s">
        <v>111</v>
      </c>
      <c r="C147" s="33">
        <v>24</v>
      </c>
      <c r="D147" s="33" t="s">
        <v>55</v>
      </c>
      <c r="E147" s="200">
        <v>0</v>
      </c>
      <c r="F147" s="199">
        <v>0</v>
      </c>
      <c r="G147" s="200"/>
      <c r="H147" s="199"/>
      <c r="I147" s="200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5">
      <c r="A148" s="33" t="s">
        <v>138</v>
      </c>
      <c r="B148" s="33" t="s">
        <v>111</v>
      </c>
      <c r="C148" s="33">
        <v>25</v>
      </c>
      <c r="D148" s="33" t="s">
        <v>56</v>
      </c>
      <c r="E148" s="200">
        <v>0</v>
      </c>
      <c r="F148" s="199">
        <v>0</v>
      </c>
      <c r="G148" s="200"/>
      <c r="H148" s="199"/>
      <c r="I148" s="200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5">
      <c r="A149" s="33" t="s">
        <v>138</v>
      </c>
      <c r="B149" s="33" t="s">
        <v>111</v>
      </c>
      <c r="C149" s="33">
        <v>26</v>
      </c>
      <c r="D149" s="33" t="s">
        <v>130</v>
      </c>
      <c r="E149" s="200">
        <v>0</v>
      </c>
      <c r="F149" s="199">
        <v>0</v>
      </c>
      <c r="G149" s="200"/>
      <c r="H149" s="199"/>
      <c r="I149" s="200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5">
      <c r="A150" s="33" t="s">
        <v>138</v>
      </c>
      <c r="B150" s="33" t="s">
        <v>111</v>
      </c>
      <c r="C150" s="33">
        <v>27</v>
      </c>
      <c r="D150" s="33" t="s">
        <v>131</v>
      </c>
      <c r="E150" s="200">
        <v>0</v>
      </c>
      <c r="F150" s="199">
        <v>0</v>
      </c>
      <c r="G150" s="200"/>
      <c r="H150" s="199"/>
      <c r="I150" s="200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5">
      <c r="A151" s="33" t="s">
        <v>138</v>
      </c>
      <c r="B151" s="33" t="s">
        <v>111</v>
      </c>
      <c r="C151" s="33">
        <v>28</v>
      </c>
      <c r="D151" s="33" t="s">
        <v>132</v>
      </c>
      <c r="E151" s="200">
        <v>0</v>
      </c>
      <c r="F151" s="199">
        <v>0</v>
      </c>
      <c r="G151" s="200"/>
      <c r="H151" s="199"/>
      <c r="I151" s="200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5">
      <c r="A152" s="33" t="s">
        <v>138</v>
      </c>
      <c r="B152" s="33" t="s">
        <v>111</v>
      </c>
      <c r="C152" s="33">
        <v>29</v>
      </c>
      <c r="D152" s="33" t="s">
        <v>133</v>
      </c>
      <c r="E152" s="200">
        <v>0</v>
      </c>
      <c r="F152" s="199">
        <v>0</v>
      </c>
      <c r="G152" s="200"/>
      <c r="H152" s="199"/>
      <c r="I152" s="200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5">
      <c r="A153" s="33" t="s">
        <v>138</v>
      </c>
      <c r="B153" s="33" t="s">
        <v>111</v>
      </c>
      <c r="C153" s="33">
        <v>30</v>
      </c>
      <c r="D153" s="33" t="s">
        <v>134</v>
      </c>
      <c r="E153" s="200">
        <v>0</v>
      </c>
      <c r="F153" s="199">
        <v>0</v>
      </c>
      <c r="G153" s="200"/>
      <c r="H153" s="199"/>
      <c r="I153" s="200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5">
      <c r="A154" s="33" t="s">
        <v>138</v>
      </c>
      <c r="B154" s="33" t="s">
        <v>111</v>
      </c>
      <c r="C154" s="33">
        <v>31</v>
      </c>
      <c r="D154" s="33" t="s">
        <v>135</v>
      </c>
      <c r="E154" s="200">
        <v>0</v>
      </c>
      <c r="F154" s="199">
        <v>0</v>
      </c>
      <c r="G154" s="200"/>
      <c r="H154" s="199"/>
      <c r="I154" s="200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5">
      <c r="A155" s="33" t="s">
        <v>138</v>
      </c>
      <c r="B155" s="33" t="s">
        <v>111</v>
      </c>
      <c r="C155" s="33">
        <v>32</v>
      </c>
      <c r="D155" s="33" t="s">
        <v>70</v>
      </c>
      <c r="E155" s="200">
        <v>0</v>
      </c>
      <c r="F155" s="199">
        <v>0</v>
      </c>
      <c r="G155" s="200"/>
      <c r="H155" s="199"/>
      <c r="I155" s="200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5">
      <c r="A156" s="33" t="s">
        <v>138</v>
      </c>
      <c r="B156" s="33" t="s">
        <v>111</v>
      </c>
      <c r="C156" s="33">
        <v>33</v>
      </c>
      <c r="D156" s="33" t="s">
        <v>71</v>
      </c>
      <c r="E156" s="200">
        <v>0</v>
      </c>
      <c r="F156" s="199">
        <v>0</v>
      </c>
      <c r="G156" s="200"/>
      <c r="H156" s="199"/>
      <c r="I156" s="200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5">
      <c r="A157" s="33" t="s">
        <v>138</v>
      </c>
      <c r="B157" s="33" t="s">
        <v>111</v>
      </c>
      <c r="C157" s="33">
        <v>34</v>
      </c>
      <c r="D157" s="33" t="s">
        <v>72</v>
      </c>
      <c r="E157" s="200">
        <v>0</v>
      </c>
      <c r="F157" s="199">
        <v>0</v>
      </c>
      <c r="G157" s="200"/>
      <c r="H157" s="199"/>
      <c r="I157" s="200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5">
      <c r="A158" s="33" t="s">
        <v>138</v>
      </c>
      <c r="B158" s="33" t="s">
        <v>111</v>
      </c>
      <c r="C158" s="33">
        <v>35</v>
      </c>
      <c r="D158" s="33" t="s">
        <v>73</v>
      </c>
      <c r="E158" s="200">
        <v>0</v>
      </c>
      <c r="F158" s="199">
        <v>0</v>
      </c>
      <c r="G158" s="200"/>
      <c r="H158" s="199"/>
      <c r="I158" s="200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5">
      <c r="A159" s="33" t="s">
        <v>138</v>
      </c>
      <c r="B159" s="33" t="s">
        <v>111</v>
      </c>
      <c r="C159" s="33">
        <v>36</v>
      </c>
      <c r="D159" s="33" t="s">
        <v>74</v>
      </c>
      <c r="E159" s="200">
        <v>0</v>
      </c>
      <c r="F159" s="199">
        <v>0</v>
      </c>
      <c r="G159" s="200"/>
      <c r="H159" s="199"/>
      <c r="I159" s="200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5">
      <c r="A160" s="33" t="s">
        <v>138</v>
      </c>
      <c r="B160" s="33" t="s">
        <v>111</v>
      </c>
      <c r="C160" s="33">
        <v>37</v>
      </c>
      <c r="D160" s="33" t="s">
        <v>75</v>
      </c>
      <c r="E160" s="200">
        <v>0</v>
      </c>
      <c r="F160" s="199">
        <v>0</v>
      </c>
      <c r="G160" s="200"/>
      <c r="H160" s="199"/>
      <c r="I160" s="200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5">
      <c r="A161" s="33" t="s">
        <v>138</v>
      </c>
      <c r="B161" s="33" t="s">
        <v>111</v>
      </c>
      <c r="C161" s="33">
        <v>38</v>
      </c>
      <c r="D161" s="33" t="s">
        <v>76</v>
      </c>
      <c r="E161" s="200">
        <v>0</v>
      </c>
      <c r="F161" s="199">
        <v>0</v>
      </c>
      <c r="G161" s="200"/>
      <c r="H161" s="199"/>
      <c r="I161" s="200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5">
      <c r="A162" s="33" t="s">
        <v>138</v>
      </c>
      <c r="B162" s="33" t="s">
        <v>111</v>
      </c>
      <c r="C162" s="33">
        <v>39</v>
      </c>
      <c r="D162" s="33" t="s">
        <v>77</v>
      </c>
      <c r="E162" s="200">
        <v>0</v>
      </c>
      <c r="F162" s="199">
        <v>0</v>
      </c>
      <c r="G162" s="200"/>
      <c r="H162" s="199"/>
      <c r="I162" s="200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5">
      <c r="A163" s="33" t="s">
        <v>138</v>
      </c>
      <c r="B163" s="33" t="s">
        <v>111</v>
      </c>
      <c r="C163" s="33">
        <v>40</v>
      </c>
      <c r="D163" s="33" t="s">
        <v>78</v>
      </c>
      <c r="E163" s="200">
        <v>0</v>
      </c>
      <c r="F163" s="199">
        <v>0</v>
      </c>
      <c r="G163" s="200"/>
      <c r="H163" s="199"/>
      <c r="I163" s="200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5">
      <c r="A164" s="33" t="s">
        <v>138</v>
      </c>
      <c r="B164" s="33" t="s">
        <v>139</v>
      </c>
      <c r="C164" s="33">
        <v>1</v>
      </c>
      <c r="D164" s="33" t="s">
        <v>25</v>
      </c>
      <c r="E164" s="200">
        <v>118824617</v>
      </c>
      <c r="F164" s="199">
        <v>479998805.62000006</v>
      </c>
      <c r="G164" s="200"/>
      <c r="H164" s="199"/>
      <c r="I164" s="200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5">
      <c r="A165" s="33" t="s">
        <v>138</v>
      </c>
      <c r="B165" s="33" t="s">
        <v>139</v>
      </c>
      <c r="C165" s="33">
        <v>2</v>
      </c>
      <c r="D165" s="33" t="s">
        <v>26</v>
      </c>
      <c r="E165" s="200">
        <v>0</v>
      </c>
      <c r="F165" s="199">
        <v>0</v>
      </c>
      <c r="G165" s="200"/>
      <c r="H165" s="199"/>
      <c r="I165" s="200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5">
      <c r="A166" s="33" t="s">
        <v>138</v>
      </c>
      <c r="B166" s="33" t="s">
        <v>139</v>
      </c>
      <c r="C166" s="33">
        <v>3</v>
      </c>
      <c r="D166" s="33" t="s">
        <v>27</v>
      </c>
      <c r="E166" s="200">
        <v>49857326</v>
      </c>
      <c r="F166" s="199">
        <v>214448508</v>
      </c>
      <c r="G166" s="200"/>
      <c r="H166" s="199"/>
      <c r="I166" s="200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5">
      <c r="A167" s="33" t="s">
        <v>138</v>
      </c>
      <c r="B167" s="33" t="s">
        <v>139</v>
      </c>
      <c r="C167" s="33">
        <v>4</v>
      </c>
      <c r="D167" s="33" t="s">
        <v>28</v>
      </c>
      <c r="E167" s="200">
        <v>0</v>
      </c>
      <c r="F167" s="199">
        <v>0</v>
      </c>
      <c r="G167" s="200"/>
      <c r="H167" s="199"/>
      <c r="I167" s="200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5">
      <c r="A168" s="33" t="s">
        <v>138</v>
      </c>
      <c r="B168" s="33" t="s">
        <v>139</v>
      </c>
      <c r="C168" s="33">
        <v>5</v>
      </c>
      <c r="D168" s="33" t="s">
        <v>123</v>
      </c>
      <c r="E168" s="200">
        <v>0</v>
      </c>
      <c r="F168" s="199">
        <v>15285602</v>
      </c>
      <c r="G168" s="200"/>
      <c r="H168" s="199"/>
      <c r="I168" s="200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5">
      <c r="A169" s="33" t="s">
        <v>138</v>
      </c>
      <c r="B169" s="33" t="s">
        <v>139</v>
      </c>
      <c r="C169" s="33">
        <v>6</v>
      </c>
      <c r="D169" s="33" t="s">
        <v>25</v>
      </c>
      <c r="E169" s="200">
        <v>-125216492</v>
      </c>
      <c r="F169" s="199">
        <v>-518246663.58000004</v>
      </c>
      <c r="G169" s="200"/>
      <c r="H169" s="199"/>
      <c r="I169" s="200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5">
      <c r="A170" s="33" t="s">
        <v>138</v>
      </c>
      <c r="B170" s="33" t="s">
        <v>139</v>
      </c>
      <c r="C170" s="33">
        <v>7</v>
      </c>
      <c r="D170" s="33" t="s">
        <v>26</v>
      </c>
      <c r="E170" s="200">
        <v>0</v>
      </c>
      <c r="F170" s="199">
        <v>0</v>
      </c>
      <c r="G170" s="200"/>
      <c r="H170" s="199"/>
      <c r="I170" s="200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5">
      <c r="A171" s="33" t="s">
        <v>138</v>
      </c>
      <c r="B171" s="33" t="s">
        <v>139</v>
      </c>
      <c r="C171" s="33">
        <v>8</v>
      </c>
      <c r="D171" s="33" t="s">
        <v>27</v>
      </c>
      <c r="E171" s="200">
        <v>-43259083</v>
      </c>
      <c r="F171" s="199">
        <v>-186868567</v>
      </c>
      <c r="G171" s="200"/>
      <c r="H171" s="199"/>
      <c r="I171" s="200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5">
      <c r="A172" s="33" t="s">
        <v>138</v>
      </c>
      <c r="B172" s="33" t="s">
        <v>139</v>
      </c>
      <c r="C172" s="33">
        <v>9</v>
      </c>
      <c r="D172" s="33" t="s">
        <v>28</v>
      </c>
      <c r="E172" s="200">
        <v>0</v>
      </c>
      <c r="F172" s="199">
        <v>0</v>
      </c>
      <c r="G172" s="200"/>
      <c r="H172" s="199"/>
      <c r="I172" s="200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5">
      <c r="A173" s="33" t="s">
        <v>138</v>
      </c>
      <c r="B173" s="33" t="s">
        <v>139</v>
      </c>
      <c r="C173" s="33">
        <v>10</v>
      </c>
      <c r="D173" s="33" t="s">
        <v>32</v>
      </c>
      <c r="E173" s="200">
        <v>414881</v>
      </c>
      <c r="F173" s="199">
        <v>1759095.44</v>
      </c>
      <c r="G173" s="200"/>
      <c r="H173" s="199"/>
      <c r="I173" s="200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5">
      <c r="A174" s="33" t="s">
        <v>138</v>
      </c>
      <c r="B174" s="33" t="s">
        <v>139</v>
      </c>
      <c r="C174" s="33">
        <v>11</v>
      </c>
      <c r="D174" s="33" t="s">
        <v>35</v>
      </c>
      <c r="E174" s="200">
        <v>58500</v>
      </c>
      <c r="F174" s="199">
        <v>242730</v>
      </c>
      <c r="G174" s="200"/>
      <c r="H174" s="199"/>
      <c r="I174" s="200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5">
      <c r="A175" s="33" t="s">
        <v>138</v>
      </c>
      <c r="B175" s="33" t="s">
        <v>139</v>
      </c>
      <c r="C175" s="33">
        <v>12</v>
      </c>
      <c r="D175" s="33" t="s">
        <v>36</v>
      </c>
      <c r="E175" s="200">
        <v>-441868</v>
      </c>
      <c r="F175" s="199">
        <v>-1825560.41</v>
      </c>
      <c r="G175" s="200"/>
      <c r="H175" s="199"/>
      <c r="I175" s="200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5">
      <c r="A176" s="33" t="s">
        <v>138</v>
      </c>
      <c r="B176" s="33" t="s">
        <v>139</v>
      </c>
      <c r="C176" s="33">
        <v>13</v>
      </c>
      <c r="D176" s="33" t="s">
        <v>39</v>
      </c>
      <c r="E176" s="200">
        <v>-44536</v>
      </c>
      <c r="F176" s="199">
        <v>-188832.64000000001</v>
      </c>
      <c r="G176" s="200"/>
      <c r="H176" s="199"/>
      <c r="I176" s="200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5">
      <c r="A177" s="33" t="s">
        <v>138</v>
      </c>
      <c r="B177" s="33" t="s">
        <v>139</v>
      </c>
      <c r="C177" s="33">
        <v>14</v>
      </c>
      <c r="D177" s="33" t="s">
        <v>40</v>
      </c>
      <c r="E177" s="200">
        <v>0</v>
      </c>
      <c r="F177" s="199">
        <v>0</v>
      </c>
      <c r="G177" s="200"/>
      <c r="H177" s="199"/>
      <c r="I177" s="200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5">
      <c r="A178" s="33" t="s">
        <v>138</v>
      </c>
      <c r="B178" s="33" t="s">
        <v>139</v>
      </c>
      <c r="C178" s="33">
        <v>15</v>
      </c>
      <c r="D178" s="33" t="s">
        <v>41</v>
      </c>
      <c r="E178" s="200">
        <v>0</v>
      </c>
      <c r="F178" s="199">
        <v>0</v>
      </c>
      <c r="G178" s="200"/>
      <c r="H178" s="199"/>
      <c r="I178" s="200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5">
      <c r="A179" s="33" t="s">
        <v>138</v>
      </c>
      <c r="B179" s="33" t="s">
        <v>139</v>
      </c>
      <c r="C179" s="33">
        <v>16</v>
      </c>
      <c r="D179" s="33" t="s">
        <v>42</v>
      </c>
      <c r="E179" s="200">
        <v>0</v>
      </c>
      <c r="F179" s="199">
        <v>0</v>
      </c>
      <c r="G179" s="200"/>
      <c r="H179" s="199"/>
      <c r="I179" s="200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5">
      <c r="A180" s="33" t="s">
        <v>138</v>
      </c>
      <c r="B180" s="33" t="s">
        <v>139</v>
      </c>
      <c r="C180" s="33">
        <v>17</v>
      </c>
      <c r="D180" s="33" t="s">
        <v>124</v>
      </c>
      <c r="E180" s="200">
        <v>20675</v>
      </c>
      <c r="F180" s="199">
        <v>87662</v>
      </c>
      <c r="G180" s="200"/>
      <c r="H180" s="199"/>
      <c r="I180" s="200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5">
      <c r="A181" s="33" t="s">
        <v>138</v>
      </c>
      <c r="B181" s="33" t="s">
        <v>139</v>
      </c>
      <c r="C181" s="33">
        <v>18</v>
      </c>
      <c r="D181" s="33" t="s">
        <v>125</v>
      </c>
      <c r="E181" s="200">
        <v>-9097</v>
      </c>
      <c r="F181" s="199">
        <v>-4332.88</v>
      </c>
      <c r="G181" s="200"/>
      <c r="H181" s="199"/>
      <c r="I181" s="200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5">
      <c r="A182" s="33" t="s">
        <v>138</v>
      </c>
      <c r="B182" s="33" t="s">
        <v>139</v>
      </c>
      <c r="C182" s="33">
        <v>19</v>
      </c>
      <c r="D182" s="33" t="s">
        <v>47</v>
      </c>
      <c r="E182" s="200">
        <v>0</v>
      </c>
      <c r="F182" s="199">
        <v>0</v>
      </c>
      <c r="G182" s="200"/>
      <c r="H182" s="199"/>
      <c r="I182" s="200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5">
      <c r="A183" s="33" t="s">
        <v>138</v>
      </c>
      <c r="B183" s="33" t="s">
        <v>139</v>
      </c>
      <c r="C183" s="33">
        <v>20</v>
      </c>
      <c r="D183" s="33" t="s">
        <v>126</v>
      </c>
      <c r="E183" s="200">
        <v>0</v>
      </c>
      <c r="F183" s="199">
        <v>0</v>
      </c>
      <c r="G183" s="200"/>
      <c r="H183" s="199"/>
      <c r="I183" s="200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5">
      <c r="A184" s="33" t="s">
        <v>138</v>
      </c>
      <c r="B184" s="33" t="s">
        <v>139</v>
      </c>
      <c r="C184" s="33">
        <v>21</v>
      </c>
      <c r="D184" s="33" t="s">
        <v>127</v>
      </c>
      <c r="E184" s="200">
        <v>0</v>
      </c>
      <c r="F184" s="199">
        <v>0</v>
      </c>
      <c r="G184" s="200"/>
      <c r="H184" s="199"/>
      <c r="I184" s="200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5">
      <c r="A185" s="33" t="s">
        <v>138</v>
      </c>
      <c r="B185" s="33" t="s">
        <v>139</v>
      </c>
      <c r="C185" s="33">
        <v>22</v>
      </c>
      <c r="D185" s="33" t="s">
        <v>128</v>
      </c>
      <c r="E185" s="200">
        <v>-204923</v>
      </c>
      <c r="F185" s="199">
        <v>-868873.52</v>
      </c>
      <c r="G185" s="200"/>
      <c r="H185" s="199"/>
      <c r="I185" s="200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5">
      <c r="A186" s="33" t="s">
        <v>138</v>
      </c>
      <c r="B186" s="33" t="s">
        <v>139</v>
      </c>
      <c r="C186" s="33">
        <v>23</v>
      </c>
      <c r="D186" s="33" t="s">
        <v>129</v>
      </c>
      <c r="E186" s="200">
        <v>-414881</v>
      </c>
      <c r="F186" s="199">
        <v>-1759095.44</v>
      </c>
      <c r="G186" s="200"/>
      <c r="H186" s="199"/>
      <c r="I186" s="200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5">
      <c r="A187" s="33" t="s">
        <v>138</v>
      </c>
      <c r="B187" s="33" t="s">
        <v>139</v>
      </c>
      <c r="C187" s="33">
        <v>24</v>
      </c>
      <c r="D187" s="33" t="s">
        <v>55</v>
      </c>
      <c r="E187" s="200">
        <v>-95989840</v>
      </c>
      <c r="F187" s="199">
        <v>-292275.65000000002</v>
      </c>
      <c r="G187" s="200"/>
      <c r="H187" s="199"/>
      <c r="I187" s="200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5">
      <c r="A188" s="33" t="s">
        <v>138</v>
      </c>
      <c r="B188" s="33" t="s">
        <v>139</v>
      </c>
      <c r="C188" s="33">
        <v>25</v>
      </c>
      <c r="D188" s="33" t="s">
        <v>56</v>
      </c>
      <c r="E188" s="200">
        <v>0</v>
      </c>
      <c r="F188" s="199">
        <v>-1619071.99</v>
      </c>
      <c r="G188" s="200"/>
      <c r="H188" s="199"/>
      <c r="I188" s="200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5">
      <c r="A189" s="33" t="s">
        <v>138</v>
      </c>
      <c r="B189" s="33" t="s">
        <v>139</v>
      </c>
      <c r="C189" s="33">
        <v>26</v>
      </c>
      <c r="D189" s="33" t="s">
        <v>130</v>
      </c>
      <c r="E189" s="200">
        <v>0</v>
      </c>
      <c r="F189" s="199">
        <v>0</v>
      </c>
      <c r="G189" s="200"/>
      <c r="H189" s="199"/>
      <c r="I189" s="200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5">
      <c r="A190" s="33" t="s">
        <v>138</v>
      </c>
      <c r="B190" s="33" t="s">
        <v>139</v>
      </c>
      <c r="C190" s="33">
        <v>27</v>
      </c>
      <c r="D190" s="33" t="s">
        <v>131</v>
      </c>
      <c r="E190" s="200">
        <v>0</v>
      </c>
      <c r="F190" s="199">
        <v>0</v>
      </c>
      <c r="G190" s="200"/>
      <c r="H190" s="199"/>
      <c r="I190" s="200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5">
      <c r="A191" s="33" t="s">
        <v>138</v>
      </c>
      <c r="B191" s="33" t="s">
        <v>139</v>
      </c>
      <c r="C191" s="33">
        <v>28</v>
      </c>
      <c r="D191" s="33" t="s">
        <v>132</v>
      </c>
      <c r="E191" s="200">
        <v>0</v>
      </c>
      <c r="F191" s="199">
        <v>0</v>
      </c>
      <c r="G191" s="200"/>
      <c r="H191" s="199"/>
      <c r="I191" s="200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5">
      <c r="A192" s="33" t="s">
        <v>138</v>
      </c>
      <c r="B192" s="33" t="s">
        <v>139</v>
      </c>
      <c r="C192" s="33">
        <v>29</v>
      </c>
      <c r="D192" s="33" t="s">
        <v>133</v>
      </c>
      <c r="E192" s="200">
        <v>0</v>
      </c>
      <c r="F192" s="199">
        <v>0</v>
      </c>
      <c r="G192" s="200"/>
      <c r="H192" s="199"/>
      <c r="I192" s="200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5">
      <c r="A193" s="33" t="s">
        <v>138</v>
      </c>
      <c r="B193" s="33" t="s">
        <v>139</v>
      </c>
      <c r="C193" s="33">
        <v>30</v>
      </c>
      <c r="D193" s="33" t="s">
        <v>134</v>
      </c>
      <c r="E193" s="200">
        <v>0</v>
      </c>
      <c r="F193" s="199">
        <v>0</v>
      </c>
      <c r="G193" s="200"/>
      <c r="H193" s="199"/>
      <c r="I193" s="200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5">
      <c r="A194" s="33" t="s">
        <v>138</v>
      </c>
      <c r="B194" s="33" t="s">
        <v>139</v>
      </c>
      <c r="C194" s="33">
        <v>31</v>
      </c>
      <c r="D194" s="33" t="s">
        <v>135</v>
      </c>
      <c r="E194" s="200">
        <v>0</v>
      </c>
      <c r="F194" s="199">
        <v>0</v>
      </c>
      <c r="G194" s="200"/>
      <c r="H194" s="199"/>
      <c r="I194" s="200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5">
      <c r="A195" s="33" t="s">
        <v>138</v>
      </c>
      <c r="B195" s="33" t="s">
        <v>139</v>
      </c>
      <c r="C195" s="33">
        <v>32</v>
      </c>
      <c r="D195" s="33" t="s">
        <v>70</v>
      </c>
      <c r="E195" s="200">
        <v>0</v>
      </c>
      <c r="F195" s="199">
        <v>0</v>
      </c>
      <c r="G195" s="200"/>
      <c r="H195" s="199"/>
      <c r="I195" s="200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5">
      <c r="A196" s="33" t="s">
        <v>138</v>
      </c>
      <c r="B196" s="33" t="s">
        <v>139</v>
      </c>
      <c r="C196" s="33">
        <v>33</v>
      </c>
      <c r="D196" s="33" t="s">
        <v>71</v>
      </c>
      <c r="E196" s="200">
        <v>0</v>
      </c>
      <c r="F196" s="199">
        <v>0</v>
      </c>
      <c r="G196" s="200"/>
      <c r="H196" s="199"/>
      <c r="I196" s="200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5">
      <c r="A197" s="33" t="s">
        <v>138</v>
      </c>
      <c r="B197" s="33" t="s">
        <v>139</v>
      </c>
      <c r="C197" s="33">
        <v>34</v>
      </c>
      <c r="D197" s="33" t="s">
        <v>72</v>
      </c>
      <c r="E197" s="200">
        <v>0</v>
      </c>
      <c r="F197" s="199">
        <v>0</v>
      </c>
      <c r="G197" s="200"/>
      <c r="H197" s="199"/>
      <c r="I197" s="200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5">
      <c r="A198" s="33" t="s">
        <v>138</v>
      </c>
      <c r="B198" s="33" t="s">
        <v>139</v>
      </c>
      <c r="C198" s="33">
        <v>35</v>
      </c>
      <c r="D198" s="33" t="s">
        <v>73</v>
      </c>
      <c r="E198" s="200">
        <v>0</v>
      </c>
      <c r="F198" s="199">
        <v>-3341.06</v>
      </c>
      <c r="G198" s="200"/>
      <c r="H198" s="199"/>
      <c r="I198" s="200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5">
      <c r="A199" s="33" t="s">
        <v>138</v>
      </c>
      <c r="B199" s="33" t="s">
        <v>139</v>
      </c>
      <c r="C199" s="33">
        <v>36</v>
      </c>
      <c r="D199" s="33" t="s">
        <v>74</v>
      </c>
      <c r="E199" s="200">
        <v>0</v>
      </c>
      <c r="F199" s="199">
        <v>0</v>
      </c>
      <c r="G199" s="200"/>
      <c r="H199" s="199"/>
      <c r="I199" s="200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5">
      <c r="A200" s="33" t="s">
        <v>138</v>
      </c>
      <c r="B200" s="33" t="s">
        <v>139</v>
      </c>
      <c r="C200" s="33">
        <v>37</v>
      </c>
      <c r="D200" s="33" t="s">
        <v>75</v>
      </c>
      <c r="E200" s="200">
        <v>0</v>
      </c>
      <c r="F200" s="199">
        <v>0</v>
      </c>
      <c r="G200" s="200"/>
      <c r="H200" s="199"/>
      <c r="I200" s="200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5">
      <c r="A201" s="33" t="s">
        <v>138</v>
      </c>
      <c r="B201" s="33" t="s">
        <v>139</v>
      </c>
      <c r="C201" s="33">
        <v>38</v>
      </c>
      <c r="D201" s="33" t="s">
        <v>76</v>
      </c>
      <c r="E201" s="200">
        <v>0</v>
      </c>
      <c r="F201" s="199">
        <v>0</v>
      </c>
      <c r="G201" s="200"/>
      <c r="H201" s="199"/>
      <c r="I201" s="200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5">
      <c r="A202" s="33" t="s">
        <v>138</v>
      </c>
      <c r="B202" s="33" t="s">
        <v>139</v>
      </c>
      <c r="C202" s="33">
        <v>39</v>
      </c>
      <c r="D202" s="33" t="s">
        <v>77</v>
      </c>
      <c r="E202" s="200">
        <v>0</v>
      </c>
      <c r="F202" s="199">
        <v>0</v>
      </c>
      <c r="G202" s="200"/>
      <c r="H202" s="199"/>
      <c r="I202" s="200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5">
      <c r="A203" s="33" t="s">
        <v>138</v>
      </c>
      <c r="B203" s="33" t="s">
        <v>139</v>
      </c>
      <c r="C203" s="33">
        <v>40</v>
      </c>
      <c r="D203" s="33" t="s">
        <v>78</v>
      </c>
      <c r="E203" s="200">
        <v>0</v>
      </c>
      <c r="F203" s="199">
        <v>0</v>
      </c>
      <c r="G203" s="200"/>
      <c r="H203" s="199"/>
      <c r="I203" s="200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5">
      <c r="A204" s="33" t="s">
        <v>138</v>
      </c>
      <c r="B204" s="33" t="s">
        <v>197</v>
      </c>
      <c r="C204" s="33">
        <v>1</v>
      </c>
      <c r="D204" s="33" t="s">
        <v>25</v>
      </c>
      <c r="E204" s="200">
        <v>3476947</v>
      </c>
      <c r="F204" s="199">
        <v>12016933.529999999</v>
      </c>
      <c r="G204" s="200"/>
      <c r="H204" s="199"/>
      <c r="I204" s="200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5">
      <c r="A205" s="33" t="s">
        <v>138</v>
      </c>
      <c r="B205" s="33" t="s">
        <v>197</v>
      </c>
      <c r="C205" s="33">
        <v>2</v>
      </c>
      <c r="D205" s="33" t="s">
        <v>26</v>
      </c>
      <c r="E205" s="200">
        <v>0</v>
      </c>
      <c r="F205" s="199">
        <v>0</v>
      </c>
      <c r="G205" s="200"/>
      <c r="H205" s="199"/>
      <c r="I205" s="200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5">
      <c r="A206" s="33" t="s">
        <v>138</v>
      </c>
      <c r="B206" s="33" t="s">
        <v>197</v>
      </c>
      <c r="C206" s="33">
        <v>3</v>
      </c>
      <c r="D206" s="33" t="s">
        <v>27</v>
      </c>
      <c r="E206" s="200">
        <v>5098819</v>
      </c>
      <c r="F206" s="199">
        <v>19858480</v>
      </c>
      <c r="G206" s="200"/>
      <c r="H206" s="199"/>
      <c r="I206" s="200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5">
      <c r="A207" s="33" t="s">
        <v>138</v>
      </c>
      <c r="B207" s="33" t="s">
        <v>197</v>
      </c>
      <c r="C207" s="33">
        <v>4</v>
      </c>
      <c r="D207" s="33" t="s">
        <v>28</v>
      </c>
      <c r="E207" s="200">
        <v>0</v>
      </c>
      <c r="F207" s="199">
        <v>0</v>
      </c>
      <c r="G207" s="200"/>
      <c r="H207" s="199"/>
      <c r="I207" s="200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5">
      <c r="A208" s="33" t="s">
        <v>138</v>
      </c>
      <c r="B208" s="33" t="s">
        <v>197</v>
      </c>
      <c r="C208" s="33">
        <v>5</v>
      </c>
      <c r="D208" s="33" t="s">
        <v>123</v>
      </c>
      <c r="E208" s="200">
        <v>0</v>
      </c>
      <c r="F208" s="199">
        <v>0</v>
      </c>
      <c r="G208" s="200"/>
      <c r="H208" s="199"/>
      <c r="I208" s="200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5">
      <c r="A209" s="33" t="s">
        <v>138</v>
      </c>
      <c r="B209" s="33" t="s">
        <v>197</v>
      </c>
      <c r="C209" s="33">
        <v>6</v>
      </c>
      <c r="D209" s="33" t="s">
        <v>25</v>
      </c>
      <c r="E209" s="200">
        <v>-5175839</v>
      </c>
      <c r="F209" s="199">
        <v>-17378867.899999999</v>
      </c>
      <c r="G209" s="200"/>
      <c r="H209" s="199"/>
      <c r="I209" s="200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5">
      <c r="A210" s="33" t="s">
        <v>138</v>
      </c>
      <c r="B210" s="33" t="s">
        <v>197</v>
      </c>
      <c r="C210" s="33">
        <v>7</v>
      </c>
      <c r="D210" s="33" t="s">
        <v>26</v>
      </c>
      <c r="E210" s="200">
        <v>0</v>
      </c>
      <c r="F210" s="199">
        <v>0</v>
      </c>
      <c r="G210" s="200"/>
      <c r="H210" s="199"/>
      <c r="I210" s="200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5">
      <c r="A211" s="33" t="s">
        <v>138</v>
      </c>
      <c r="B211" s="33" t="s">
        <v>197</v>
      </c>
      <c r="C211" s="33">
        <v>8</v>
      </c>
      <c r="D211" s="33" t="s">
        <v>27</v>
      </c>
      <c r="E211" s="200">
        <v>0</v>
      </c>
      <c r="F211" s="199">
        <v>0</v>
      </c>
      <c r="G211" s="200"/>
      <c r="H211" s="199"/>
      <c r="I211" s="200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5">
      <c r="A212" s="33" t="s">
        <v>138</v>
      </c>
      <c r="B212" s="33" t="s">
        <v>197</v>
      </c>
      <c r="C212" s="33">
        <v>9</v>
      </c>
      <c r="D212" s="33" t="s">
        <v>28</v>
      </c>
      <c r="E212" s="200">
        <v>0</v>
      </c>
      <c r="F212" s="199">
        <v>0</v>
      </c>
      <c r="G212" s="200"/>
      <c r="H212" s="199"/>
      <c r="I212" s="200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5">
      <c r="A213" s="33" t="s">
        <v>138</v>
      </c>
      <c r="B213" s="33" t="s">
        <v>197</v>
      </c>
      <c r="C213" s="33">
        <v>10</v>
      </c>
      <c r="D213" s="33" t="s">
        <v>32</v>
      </c>
      <c r="E213" s="200">
        <v>0</v>
      </c>
      <c r="F213" s="199">
        <v>0</v>
      </c>
      <c r="G213" s="200"/>
      <c r="H213" s="199"/>
      <c r="I213" s="200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5">
      <c r="A214" s="33" t="s">
        <v>138</v>
      </c>
      <c r="B214" s="33" t="s">
        <v>197</v>
      </c>
      <c r="C214" s="33">
        <v>11</v>
      </c>
      <c r="D214" s="33" t="s">
        <v>35</v>
      </c>
      <c r="E214" s="200">
        <v>0</v>
      </c>
      <c r="F214" s="199">
        <v>0</v>
      </c>
      <c r="G214" s="200"/>
      <c r="H214" s="199"/>
      <c r="I214" s="200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5">
      <c r="A215" s="33" t="s">
        <v>138</v>
      </c>
      <c r="B215" s="33" t="s">
        <v>197</v>
      </c>
      <c r="C215" s="33">
        <v>12</v>
      </c>
      <c r="D215" s="33" t="s">
        <v>36</v>
      </c>
      <c r="E215" s="200">
        <v>0</v>
      </c>
      <c r="F215" s="199">
        <v>0</v>
      </c>
      <c r="G215" s="200"/>
      <c r="H215" s="199"/>
      <c r="I215" s="200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5">
      <c r="A216" s="33" t="s">
        <v>138</v>
      </c>
      <c r="B216" s="33" t="s">
        <v>197</v>
      </c>
      <c r="C216" s="33">
        <v>13</v>
      </c>
      <c r="D216" s="33" t="s">
        <v>39</v>
      </c>
      <c r="E216" s="200">
        <v>0</v>
      </c>
      <c r="F216" s="199">
        <v>0</v>
      </c>
      <c r="G216" s="200"/>
      <c r="H216" s="199"/>
      <c r="I216" s="200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5">
      <c r="A217" s="33" t="s">
        <v>138</v>
      </c>
      <c r="B217" s="33" t="s">
        <v>197</v>
      </c>
      <c r="C217" s="33">
        <v>14</v>
      </c>
      <c r="D217" s="33" t="s">
        <v>40</v>
      </c>
      <c r="E217" s="200">
        <v>0</v>
      </c>
      <c r="F217" s="199">
        <v>0</v>
      </c>
      <c r="G217" s="200"/>
      <c r="H217" s="199"/>
      <c r="I217" s="200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5">
      <c r="A218" s="33" t="s">
        <v>138</v>
      </c>
      <c r="B218" s="33" t="s">
        <v>197</v>
      </c>
      <c r="C218" s="33">
        <v>15</v>
      </c>
      <c r="D218" s="33" t="s">
        <v>41</v>
      </c>
      <c r="E218" s="200">
        <v>0</v>
      </c>
      <c r="F218" s="199">
        <v>0</v>
      </c>
      <c r="G218" s="200"/>
      <c r="H218" s="199"/>
      <c r="I218" s="200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5">
      <c r="A219" s="33" t="s">
        <v>138</v>
      </c>
      <c r="B219" s="33" t="s">
        <v>197</v>
      </c>
      <c r="C219" s="33">
        <v>16</v>
      </c>
      <c r="D219" s="33" t="s">
        <v>42</v>
      </c>
      <c r="E219" s="200">
        <v>0</v>
      </c>
      <c r="F219" s="199">
        <v>0</v>
      </c>
      <c r="G219" s="200"/>
      <c r="H219" s="199"/>
      <c r="I219" s="200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5">
      <c r="A220" s="33" t="s">
        <v>138</v>
      </c>
      <c r="B220" s="33" t="s">
        <v>197</v>
      </c>
      <c r="C220" s="33">
        <v>17</v>
      </c>
      <c r="D220" s="33" t="s">
        <v>124</v>
      </c>
      <c r="E220" s="200">
        <v>0</v>
      </c>
      <c r="F220" s="199">
        <v>0</v>
      </c>
      <c r="G220" s="200"/>
      <c r="H220" s="199"/>
      <c r="I220" s="200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5">
      <c r="A221" s="33" t="s">
        <v>138</v>
      </c>
      <c r="B221" s="33" t="s">
        <v>197</v>
      </c>
      <c r="C221" s="33">
        <v>18</v>
      </c>
      <c r="D221" s="33" t="s">
        <v>125</v>
      </c>
      <c r="E221" s="200">
        <v>0</v>
      </c>
      <c r="F221" s="199">
        <v>0</v>
      </c>
      <c r="G221" s="200"/>
      <c r="H221" s="199"/>
      <c r="I221" s="200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5">
      <c r="A222" s="33" t="s">
        <v>138</v>
      </c>
      <c r="B222" s="33" t="s">
        <v>197</v>
      </c>
      <c r="C222" s="33">
        <v>19</v>
      </c>
      <c r="D222" s="33" t="s">
        <v>47</v>
      </c>
      <c r="E222" s="200">
        <v>0</v>
      </c>
      <c r="F222" s="199">
        <v>0</v>
      </c>
      <c r="G222" s="200"/>
      <c r="H222" s="199"/>
      <c r="I222" s="200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5">
      <c r="A223" s="33" t="s">
        <v>138</v>
      </c>
      <c r="B223" s="33" t="s">
        <v>197</v>
      </c>
      <c r="C223" s="33">
        <v>20</v>
      </c>
      <c r="D223" s="33" t="s">
        <v>126</v>
      </c>
      <c r="E223" s="200">
        <v>0</v>
      </c>
      <c r="F223" s="199">
        <v>0</v>
      </c>
      <c r="G223" s="200"/>
      <c r="H223" s="199"/>
      <c r="I223" s="200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5">
      <c r="A224" s="33" t="s">
        <v>138</v>
      </c>
      <c r="B224" s="33" t="s">
        <v>197</v>
      </c>
      <c r="C224" s="33">
        <v>21</v>
      </c>
      <c r="D224" s="33" t="s">
        <v>127</v>
      </c>
      <c r="E224" s="200">
        <v>0</v>
      </c>
      <c r="F224" s="199">
        <v>0</v>
      </c>
      <c r="G224" s="200"/>
      <c r="H224" s="199"/>
      <c r="I224" s="200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5">
      <c r="A225" s="33" t="s">
        <v>138</v>
      </c>
      <c r="B225" s="33" t="s">
        <v>197</v>
      </c>
      <c r="C225" s="33">
        <v>22</v>
      </c>
      <c r="D225" s="33" t="s">
        <v>128</v>
      </c>
      <c r="E225" s="200">
        <v>-3399927</v>
      </c>
      <c r="F225" s="199">
        <v>-11580151.362</v>
      </c>
      <c r="G225" s="200"/>
      <c r="H225" s="199"/>
      <c r="I225" s="200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5">
      <c r="A226" s="33" t="s">
        <v>138</v>
      </c>
      <c r="B226" s="33" t="s">
        <v>197</v>
      </c>
      <c r="C226" s="33">
        <v>23</v>
      </c>
      <c r="D226" s="33" t="s">
        <v>129</v>
      </c>
      <c r="E226" s="200">
        <v>0</v>
      </c>
      <c r="F226" s="199">
        <v>0</v>
      </c>
      <c r="G226" s="200"/>
      <c r="H226" s="199"/>
      <c r="I226" s="200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5">
      <c r="A227" s="33" t="s">
        <v>138</v>
      </c>
      <c r="B227" s="33" t="s">
        <v>197</v>
      </c>
      <c r="C227" s="33">
        <v>24</v>
      </c>
      <c r="D227" s="33" t="s">
        <v>55</v>
      </c>
      <c r="E227" s="200">
        <v>-10222796</v>
      </c>
      <c r="F227" s="199">
        <v>-451290.99</v>
      </c>
      <c r="G227" s="200"/>
      <c r="H227" s="199"/>
      <c r="I227" s="200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5">
      <c r="A228" s="33" t="s">
        <v>138</v>
      </c>
      <c r="B228" s="33" t="s">
        <v>197</v>
      </c>
      <c r="C228" s="33">
        <v>25</v>
      </c>
      <c r="D228" s="33" t="s">
        <v>56</v>
      </c>
      <c r="E228" s="200">
        <v>0</v>
      </c>
      <c r="F228" s="199">
        <v>-751074.98</v>
      </c>
      <c r="G228" s="200"/>
      <c r="H228" s="199"/>
      <c r="I228" s="200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5">
      <c r="A229" s="33" t="s">
        <v>138</v>
      </c>
      <c r="B229" s="33" t="s">
        <v>197</v>
      </c>
      <c r="C229" s="33">
        <v>26</v>
      </c>
      <c r="D229" s="33" t="s">
        <v>130</v>
      </c>
      <c r="E229" s="200">
        <v>0</v>
      </c>
      <c r="F229" s="199">
        <v>0</v>
      </c>
      <c r="G229" s="200"/>
      <c r="H229" s="199"/>
      <c r="I229" s="200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5">
      <c r="A230" s="33" t="s">
        <v>138</v>
      </c>
      <c r="B230" s="33" t="s">
        <v>197</v>
      </c>
      <c r="C230" s="33">
        <v>27</v>
      </c>
      <c r="D230" s="33" t="s">
        <v>131</v>
      </c>
      <c r="E230" s="200">
        <v>0</v>
      </c>
      <c r="F230" s="199">
        <v>0</v>
      </c>
      <c r="G230" s="200"/>
      <c r="H230" s="199"/>
      <c r="I230" s="200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5">
      <c r="A231" s="33" t="s">
        <v>138</v>
      </c>
      <c r="B231" s="33" t="s">
        <v>197</v>
      </c>
      <c r="C231" s="33">
        <v>28</v>
      </c>
      <c r="D231" s="33" t="s">
        <v>132</v>
      </c>
      <c r="E231" s="200">
        <v>0</v>
      </c>
      <c r="F231" s="199">
        <v>0</v>
      </c>
      <c r="G231" s="200"/>
      <c r="H231" s="199"/>
      <c r="I231" s="200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5">
      <c r="A232" s="33" t="s">
        <v>138</v>
      </c>
      <c r="B232" s="33" t="s">
        <v>197</v>
      </c>
      <c r="C232" s="33">
        <v>29</v>
      </c>
      <c r="D232" s="33" t="s">
        <v>133</v>
      </c>
      <c r="E232" s="200">
        <v>0</v>
      </c>
      <c r="F232" s="199">
        <v>0</v>
      </c>
      <c r="G232" s="200"/>
      <c r="H232" s="199"/>
      <c r="I232" s="200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5">
      <c r="A233" s="33" t="s">
        <v>138</v>
      </c>
      <c r="B233" s="33" t="s">
        <v>197</v>
      </c>
      <c r="C233" s="33">
        <v>30</v>
      </c>
      <c r="D233" s="33" t="s">
        <v>134</v>
      </c>
      <c r="E233" s="200">
        <v>0</v>
      </c>
      <c r="F233" s="199">
        <v>0</v>
      </c>
      <c r="G233" s="200"/>
      <c r="H233" s="199"/>
      <c r="I233" s="200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5">
      <c r="A234" s="33" t="s">
        <v>138</v>
      </c>
      <c r="B234" s="33" t="s">
        <v>197</v>
      </c>
      <c r="C234" s="33">
        <v>31</v>
      </c>
      <c r="D234" s="33" t="s">
        <v>135</v>
      </c>
      <c r="E234" s="200">
        <v>0</v>
      </c>
      <c r="F234" s="199">
        <v>0</v>
      </c>
      <c r="G234" s="200"/>
      <c r="H234" s="199"/>
      <c r="I234" s="200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5">
      <c r="A235" s="33" t="s">
        <v>138</v>
      </c>
      <c r="B235" s="33" t="s">
        <v>197</v>
      </c>
      <c r="C235" s="33">
        <v>32</v>
      </c>
      <c r="D235" s="33" t="s">
        <v>70</v>
      </c>
      <c r="E235" s="200">
        <v>0</v>
      </c>
      <c r="F235" s="199">
        <v>0</v>
      </c>
      <c r="G235" s="200"/>
      <c r="H235" s="199"/>
      <c r="I235" s="200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5">
      <c r="A236" s="33" t="s">
        <v>138</v>
      </c>
      <c r="B236" s="33" t="s">
        <v>197</v>
      </c>
      <c r="C236" s="33">
        <v>33</v>
      </c>
      <c r="D236" s="33" t="s">
        <v>71</v>
      </c>
      <c r="E236" s="200">
        <v>0</v>
      </c>
      <c r="F236" s="199">
        <v>0</v>
      </c>
      <c r="G236" s="200"/>
      <c r="H236" s="199"/>
      <c r="I236" s="200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5">
      <c r="A237" s="33" t="s">
        <v>138</v>
      </c>
      <c r="B237" s="33" t="s">
        <v>197</v>
      </c>
      <c r="C237" s="33">
        <v>34</v>
      </c>
      <c r="D237" s="33" t="s">
        <v>72</v>
      </c>
      <c r="E237" s="200">
        <v>0</v>
      </c>
      <c r="F237" s="199">
        <v>0</v>
      </c>
      <c r="G237" s="200"/>
      <c r="H237" s="199"/>
      <c r="I237" s="200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5">
      <c r="A238" s="33" t="s">
        <v>138</v>
      </c>
      <c r="B238" s="33" t="s">
        <v>197</v>
      </c>
      <c r="C238" s="33">
        <v>35</v>
      </c>
      <c r="D238" s="33" t="s">
        <v>73</v>
      </c>
      <c r="E238" s="200">
        <v>0</v>
      </c>
      <c r="F238" s="199">
        <v>0</v>
      </c>
      <c r="G238" s="200"/>
      <c r="H238" s="199"/>
      <c r="I238" s="200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5">
      <c r="A239" s="33" t="s">
        <v>138</v>
      </c>
      <c r="B239" s="33" t="s">
        <v>197</v>
      </c>
      <c r="C239" s="33">
        <v>36</v>
      </c>
      <c r="D239" s="33" t="s">
        <v>74</v>
      </c>
      <c r="E239" s="200">
        <v>0</v>
      </c>
      <c r="F239" s="199">
        <v>0</v>
      </c>
      <c r="G239" s="200"/>
      <c r="H239" s="199"/>
      <c r="I239" s="200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5">
      <c r="A240" s="33" t="s">
        <v>138</v>
      </c>
      <c r="B240" s="33" t="s">
        <v>197</v>
      </c>
      <c r="C240" s="33">
        <v>37</v>
      </c>
      <c r="D240" s="33" t="s">
        <v>75</v>
      </c>
      <c r="E240" s="200">
        <v>0</v>
      </c>
      <c r="F240" s="199">
        <v>0</v>
      </c>
      <c r="G240" s="200"/>
      <c r="H240" s="199"/>
      <c r="I240" s="200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5">
      <c r="A241" s="33" t="s">
        <v>138</v>
      </c>
      <c r="B241" s="33" t="s">
        <v>197</v>
      </c>
      <c r="C241" s="33">
        <v>38</v>
      </c>
      <c r="D241" s="33" t="s">
        <v>76</v>
      </c>
      <c r="E241" s="200">
        <v>0</v>
      </c>
      <c r="F241" s="199">
        <v>0</v>
      </c>
      <c r="G241" s="200"/>
      <c r="H241" s="199"/>
      <c r="I241" s="200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5">
      <c r="A242" s="33" t="s">
        <v>138</v>
      </c>
      <c r="B242" s="33" t="s">
        <v>197</v>
      </c>
      <c r="C242" s="33">
        <v>39</v>
      </c>
      <c r="D242" s="33" t="s">
        <v>77</v>
      </c>
      <c r="E242" s="200">
        <v>0</v>
      </c>
      <c r="F242" s="199">
        <v>0</v>
      </c>
      <c r="G242" s="200"/>
      <c r="H242" s="199"/>
      <c r="I242" s="200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5">
      <c r="A243" s="33" t="s">
        <v>138</v>
      </c>
      <c r="B243" s="33" t="s">
        <v>197</v>
      </c>
      <c r="C243" s="33">
        <v>40</v>
      </c>
      <c r="D243" s="33" t="s">
        <v>78</v>
      </c>
      <c r="E243" s="200">
        <v>0</v>
      </c>
      <c r="F243" s="199">
        <v>0</v>
      </c>
      <c r="G243" s="200"/>
      <c r="H243" s="199"/>
      <c r="I243" s="200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5">
      <c r="A244" s="33" t="s">
        <v>138</v>
      </c>
      <c r="B244" s="33" t="s">
        <v>140</v>
      </c>
      <c r="C244" s="33">
        <v>1</v>
      </c>
      <c r="D244" s="33" t="s">
        <v>25</v>
      </c>
      <c r="E244" s="200">
        <v>158135451</v>
      </c>
      <c r="F244" s="199">
        <v>677982083.13999999</v>
      </c>
      <c r="G244" s="200"/>
      <c r="H244" s="199"/>
      <c r="I244" s="200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5">
      <c r="A245" s="33" t="s">
        <v>138</v>
      </c>
      <c r="B245" s="33" t="s">
        <v>140</v>
      </c>
      <c r="C245" s="33">
        <v>2</v>
      </c>
      <c r="D245" s="33" t="s">
        <v>26</v>
      </c>
      <c r="E245" s="200">
        <v>0</v>
      </c>
      <c r="F245" s="199">
        <v>0</v>
      </c>
      <c r="G245" s="200"/>
      <c r="H245" s="199"/>
      <c r="I245" s="200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5">
      <c r="A246" s="33" t="s">
        <v>138</v>
      </c>
      <c r="B246" s="33" t="s">
        <v>140</v>
      </c>
      <c r="C246" s="33">
        <v>3</v>
      </c>
      <c r="D246" s="33" t="s">
        <v>27</v>
      </c>
      <c r="E246" s="200">
        <v>98199788</v>
      </c>
      <c r="F246" s="199">
        <v>425874002</v>
      </c>
      <c r="G246" s="200"/>
      <c r="H246" s="199"/>
      <c r="I246" s="200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5">
      <c r="A247" s="33" t="s">
        <v>138</v>
      </c>
      <c r="B247" s="33" t="s">
        <v>140</v>
      </c>
      <c r="C247" s="33">
        <v>4</v>
      </c>
      <c r="D247" s="33" t="s">
        <v>28</v>
      </c>
      <c r="E247" s="200">
        <v>0</v>
      </c>
      <c r="F247" s="199">
        <v>0</v>
      </c>
      <c r="G247" s="200"/>
      <c r="H247" s="199"/>
      <c r="I247" s="200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5">
      <c r="A248" s="33" t="s">
        <v>138</v>
      </c>
      <c r="B248" s="33" t="s">
        <v>140</v>
      </c>
      <c r="C248" s="33">
        <v>5</v>
      </c>
      <c r="D248" s="33" t="s">
        <v>123</v>
      </c>
      <c r="E248" s="200">
        <v>0</v>
      </c>
      <c r="F248" s="199">
        <v>1694730.88</v>
      </c>
      <c r="G248" s="200"/>
      <c r="H248" s="199"/>
      <c r="I248" s="200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5">
      <c r="A249" s="33" t="s">
        <v>138</v>
      </c>
      <c r="B249" s="33" t="s">
        <v>140</v>
      </c>
      <c r="C249" s="33">
        <v>6</v>
      </c>
      <c r="D249" s="33" t="s">
        <v>25</v>
      </c>
      <c r="E249" s="200">
        <v>-164921265</v>
      </c>
      <c r="F249" s="199">
        <v>-697288081.51000011</v>
      </c>
      <c r="G249" s="200"/>
      <c r="H249" s="199"/>
      <c r="I249" s="200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5">
      <c r="A250" s="33" t="s">
        <v>138</v>
      </c>
      <c r="B250" s="33" t="s">
        <v>140</v>
      </c>
      <c r="C250" s="33">
        <v>7</v>
      </c>
      <c r="D250" s="33" t="s">
        <v>26</v>
      </c>
      <c r="E250" s="200">
        <v>0</v>
      </c>
      <c r="F250" s="199">
        <v>0</v>
      </c>
      <c r="G250" s="200"/>
      <c r="H250" s="199"/>
      <c r="I250" s="200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5">
      <c r="A251" s="33" t="s">
        <v>138</v>
      </c>
      <c r="B251" s="33" t="s">
        <v>140</v>
      </c>
      <c r="C251" s="33">
        <v>8</v>
      </c>
      <c r="D251" s="33" t="s">
        <v>27</v>
      </c>
      <c r="E251" s="200">
        <v>-92207938</v>
      </c>
      <c r="F251" s="199">
        <v>-398424782</v>
      </c>
      <c r="G251" s="200"/>
      <c r="H251" s="199"/>
      <c r="I251" s="200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5">
      <c r="A252" s="33" t="s">
        <v>138</v>
      </c>
      <c r="B252" s="33" t="s">
        <v>140</v>
      </c>
      <c r="C252" s="33">
        <v>9</v>
      </c>
      <c r="D252" s="33" t="s">
        <v>28</v>
      </c>
      <c r="E252" s="200">
        <v>0</v>
      </c>
      <c r="F252" s="199">
        <v>0</v>
      </c>
      <c r="G252" s="200"/>
      <c r="H252" s="199"/>
      <c r="I252" s="200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5">
      <c r="A253" s="33" t="s">
        <v>138</v>
      </c>
      <c r="B253" s="33" t="s">
        <v>140</v>
      </c>
      <c r="C253" s="33">
        <v>10</v>
      </c>
      <c r="D253" s="33" t="s">
        <v>32</v>
      </c>
      <c r="E253" s="200">
        <v>1084187</v>
      </c>
      <c r="F253" s="199">
        <v>4654414.7910000002</v>
      </c>
      <c r="G253" s="200"/>
      <c r="H253" s="199"/>
      <c r="I253" s="200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5">
      <c r="A254" s="33" t="s">
        <v>138</v>
      </c>
      <c r="B254" s="33" t="s">
        <v>140</v>
      </c>
      <c r="C254" s="33">
        <v>11</v>
      </c>
      <c r="D254" s="33" t="s">
        <v>35</v>
      </c>
      <c r="E254" s="200">
        <v>140099</v>
      </c>
      <c r="F254" s="199">
        <v>579768.34</v>
      </c>
      <c r="G254" s="200"/>
      <c r="H254" s="199"/>
      <c r="I254" s="200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5">
      <c r="A255" s="33" t="s">
        <v>138</v>
      </c>
      <c r="B255" s="33" t="s">
        <v>140</v>
      </c>
      <c r="C255" s="33">
        <v>12</v>
      </c>
      <c r="D255" s="33" t="s">
        <v>36</v>
      </c>
      <c r="E255" s="200">
        <v>-89332</v>
      </c>
      <c r="F255" s="199">
        <v>-369479.04</v>
      </c>
      <c r="G255" s="200"/>
      <c r="H255" s="199"/>
      <c r="I255" s="200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5">
      <c r="A256" s="33" t="s">
        <v>138</v>
      </c>
      <c r="B256" s="33" t="s">
        <v>140</v>
      </c>
      <c r="C256" s="33">
        <v>13</v>
      </c>
      <c r="D256" s="33" t="s">
        <v>39</v>
      </c>
      <c r="E256" s="200">
        <v>-248481</v>
      </c>
      <c r="F256" s="199">
        <v>-1066728.933</v>
      </c>
      <c r="G256" s="200"/>
      <c r="H256" s="199"/>
      <c r="I256" s="200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5">
      <c r="A257" s="33" t="s">
        <v>138</v>
      </c>
      <c r="B257" s="33" t="s">
        <v>140</v>
      </c>
      <c r="C257" s="33">
        <v>14</v>
      </c>
      <c r="D257" s="33" t="s">
        <v>40</v>
      </c>
      <c r="E257" s="200">
        <v>0</v>
      </c>
      <c r="F257" s="199">
        <v>0</v>
      </c>
      <c r="G257" s="200"/>
      <c r="H257" s="199"/>
      <c r="I257" s="200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5">
      <c r="A258" s="33" t="s">
        <v>138</v>
      </c>
      <c r="B258" s="33" t="s">
        <v>140</v>
      </c>
      <c r="C258" s="33">
        <v>15</v>
      </c>
      <c r="D258" s="33" t="s">
        <v>41</v>
      </c>
      <c r="E258" s="200">
        <v>0</v>
      </c>
      <c r="F258" s="199">
        <v>0</v>
      </c>
      <c r="G258" s="200"/>
      <c r="H258" s="199"/>
      <c r="I258" s="200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5">
      <c r="A259" s="33" t="s">
        <v>138</v>
      </c>
      <c r="B259" s="33" t="s">
        <v>140</v>
      </c>
      <c r="C259" s="33">
        <v>16</v>
      </c>
      <c r="D259" s="33" t="s">
        <v>42</v>
      </c>
      <c r="E259" s="200">
        <v>0</v>
      </c>
      <c r="F259" s="199">
        <v>0</v>
      </c>
      <c r="G259" s="200"/>
      <c r="H259" s="199"/>
      <c r="I259" s="200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5">
      <c r="A260" s="33" t="s">
        <v>138</v>
      </c>
      <c r="B260" s="33" t="s">
        <v>140</v>
      </c>
      <c r="C260" s="33">
        <v>17</v>
      </c>
      <c r="D260" s="33" t="s">
        <v>124</v>
      </c>
      <c r="E260" s="200">
        <v>1566417</v>
      </c>
      <c r="F260" s="199">
        <v>2045215.29</v>
      </c>
      <c r="G260" s="200"/>
      <c r="H260" s="199"/>
      <c r="I260" s="200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5">
      <c r="A261" s="33" t="s">
        <v>138</v>
      </c>
      <c r="B261" s="33" t="s">
        <v>140</v>
      </c>
      <c r="C261" s="33">
        <v>18</v>
      </c>
      <c r="D261" s="33" t="s">
        <v>125</v>
      </c>
      <c r="E261" s="200">
        <v>-313104</v>
      </c>
      <c r="F261" s="199">
        <v>-493435.94</v>
      </c>
      <c r="G261" s="200"/>
      <c r="H261" s="199"/>
      <c r="I261" s="200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5">
      <c r="A262" s="33" t="s">
        <v>138</v>
      </c>
      <c r="B262" s="33" t="s">
        <v>140</v>
      </c>
      <c r="C262" s="33">
        <v>19</v>
      </c>
      <c r="D262" s="33" t="s">
        <v>47</v>
      </c>
      <c r="E262" s="200">
        <v>0</v>
      </c>
      <c r="F262" s="199">
        <v>0</v>
      </c>
      <c r="G262" s="200"/>
      <c r="H262" s="199"/>
      <c r="I262" s="200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5">
      <c r="A263" s="33" t="s">
        <v>138</v>
      </c>
      <c r="B263" s="33" t="s">
        <v>140</v>
      </c>
      <c r="C263" s="33">
        <v>20</v>
      </c>
      <c r="D263" s="33" t="s">
        <v>126</v>
      </c>
      <c r="E263" s="200">
        <v>0</v>
      </c>
      <c r="F263" s="199">
        <v>0</v>
      </c>
      <c r="G263" s="200"/>
      <c r="H263" s="199"/>
      <c r="I263" s="200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5">
      <c r="A264" s="33" t="s">
        <v>138</v>
      </c>
      <c r="B264" s="33" t="s">
        <v>140</v>
      </c>
      <c r="C264" s="33">
        <v>21</v>
      </c>
      <c r="D264" s="33" t="s">
        <v>127</v>
      </c>
      <c r="E264" s="200">
        <v>0</v>
      </c>
      <c r="F264" s="199">
        <v>0</v>
      </c>
      <c r="G264" s="200"/>
      <c r="H264" s="199"/>
      <c r="I264" s="200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5">
      <c r="A265" s="33" t="s">
        <v>138</v>
      </c>
      <c r="B265" s="33" t="s">
        <v>140</v>
      </c>
      <c r="C265" s="33">
        <v>22</v>
      </c>
      <c r="D265" s="33" t="s">
        <v>128</v>
      </c>
      <c r="E265" s="200">
        <v>-1345822</v>
      </c>
      <c r="F265" s="199">
        <v>-5777613.8459999999</v>
      </c>
      <c r="G265" s="200"/>
      <c r="H265" s="199"/>
      <c r="I265" s="200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5">
      <c r="A266" s="33" t="s">
        <v>138</v>
      </c>
      <c r="B266" s="33" t="s">
        <v>140</v>
      </c>
      <c r="C266" s="33">
        <v>23</v>
      </c>
      <c r="D266" s="33" t="s">
        <v>129</v>
      </c>
      <c r="E266" s="200">
        <v>-1084187</v>
      </c>
      <c r="F266" s="199">
        <v>-4654414.7910000002</v>
      </c>
      <c r="G266" s="200"/>
      <c r="H266" s="199"/>
      <c r="I266" s="200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5">
      <c r="A267" s="33" t="s">
        <v>138</v>
      </c>
      <c r="B267" s="33" t="s">
        <v>140</v>
      </c>
      <c r="C267" s="33">
        <v>24</v>
      </c>
      <c r="D267" s="33" t="s">
        <v>55</v>
      </c>
      <c r="E267" s="200">
        <v>-157970356</v>
      </c>
      <c r="F267" s="199">
        <v>-2293267.85</v>
      </c>
      <c r="G267" s="200"/>
      <c r="H267" s="199"/>
      <c r="I267" s="200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5">
      <c r="A268" s="33" t="s">
        <v>138</v>
      </c>
      <c r="B268" s="33" t="s">
        <v>140</v>
      </c>
      <c r="C268" s="33">
        <v>25</v>
      </c>
      <c r="D268" s="33" t="s">
        <v>56</v>
      </c>
      <c r="E268" s="200">
        <v>0</v>
      </c>
      <c r="F268" s="199">
        <v>-5109292.5999999996</v>
      </c>
      <c r="G268" s="200"/>
      <c r="H268" s="199"/>
      <c r="I268" s="200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5">
      <c r="A269" s="33" t="s">
        <v>138</v>
      </c>
      <c r="B269" s="33" t="s">
        <v>140</v>
      </c>
      <c r="C269" s="33">
        <v>26</v>
      </c>
      <c r="D269" s="33" t="s">
        <v>130</v>
      </c>
      <c r="E269" s="200">
        <v>0</v>
      </c>
      <c r="F269" s="199">
        <v>48847.92</v>
      </c>
      <c r="G269" s="200"/>
      <c r="H269" s="199"/>
      <c r="I269" s="200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5">
      <c r="A270" s="33" t="s">
        <v>138</v>
      </c>
      <c r="B270" s="33" t="s">
        <v>140</v>
      </c>
      <c r="C270" s="33">
        <v>27</v>
      </c>
      <c r="D270" s="33" t="s">
        <v>131</v>
      </c>
      <c r="E270" s="200">
        <v>0</v>
      </c>
      <c r="F270" s="199">
        <v>0</v>
      </c>
      <c r="G270" s="200"/>
      <c r="H270" s="199"/>
      <c r="I270" s="200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5">
      <c r="A271" s="33" t="s">
        <v>138</v>
      </c>
      <c r="B271" s="33" t="s">
        <v>140</v>
      </c>
      <c r="C271" s="33">
        <v>28</v>
      </c>
      <c r="D271" s="33" t="s">
        <v>132</v>
      </c>
      <c r="E271" s="200">
        <v>0</v>
      </c>
      <c r="F271" s="199">
        <v>0</v>
      </c>
      <c r="G271" s="200"/>
      <c r="H271" s="199"/>
      <c r="I271" s="200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5">
      <c r="A272" s="33" t="s">
        <v>138</v>
      </c>
      <c r="B272" s="33" t="s">
        <v>140</v>
      </c>
      <c r="C272" s="33">
        <v>29</v>
      </c>
      <c r="D272" s="33" t="s">
        <v>133</v>
      </c>
      <c r="E272" s="200">
        <v>0</v>
      </c>
      <c r="F272" s="199">
        <v>0</v>
      </c>
      <c r="G272" s="200"/>
      <c r="H272" s="199"/>
      <c r="I272" s="200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5">
      <c r="A273" s="33" t="s">
        <v>138</v>
      </c>
      <c r="B273" s="33" t="s">
        <v>140</v>
      </c>
      <c r="C273" s="33">
        <v>30</v>
      </c>
      <c r="D273" s="33" t="s">
        <v>134</v>
      </c>
      <c r="E273" s="200">
        <v>0</v>
      </c>
      <c r="F273" s="199">
        <v>0</v>
      </c>
      <c r="G273" s="200"/>
      <c r="H273" s="199"/>
      <c r="I273" s="200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5">
      <c r="A274" s="33" t="s">
        <v>138</v>
      </c>
      <c r="B274" s="33" t="s">
        <v>140</v>
      </c>
      <c r="C274" s="33">
        <v>31</v>
      </c>
      <c r="D274" s="33" t="s">
        <v>135</v>
      </c>
      <c r="E274" s="200">
        <v>0</v>
      </c>
      <c r="F274" s="199">
        <v>0</v>
      </c>
      <c r="G274" s="200"/>
      <c r="H274" s="199"/>
      <c r="I274" s="200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5">
      <c r="A275" s="33" t="s">
        <v>138</v>
      </c>
      <c r="B275" s="33" t="s">
        <v>140</v>
      </c>
      <c r="C275" s="33">
        <v>32</v>
      </c>
      <c r="D275" s="33" t="s">
        <v>70</v>
      </c>
      <c r="E275" s="200">
        <v>0</v>
      </c>
      <c r="F275" s="199">
        <v>0</v>
      </c>
      <c r="G275" s="200"/>
      <c r="H275" s="199"/>
      <c r="I275" s="200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5">
      <c r="A276" s="33" t="s">
        <v>138</v>
      </c>
      <c r="B276" s="33" t="s">
        <v>140</v>
      </c>
      <c r="C276" s="33">
        <v>33</v>
      </c>
      <c r="D276" s="33" t="s">
        <v>71</v>
      </c>
      <c r="E276" s="200">
        <v>0</v>
      </c>
      <c r="F276" s="199">
        <v>0</v>
      </c>
      <c r="G276" s="200"/>
      <c r="H276" s="199"/>
      <c r="I276" s="200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5">
      <c r="A277" s="33" t="s">
        <v>138</v>
      </c>
      <c r="B277" s="33" t="s">
        <v>140</v>
      </c>
      <c r="C277" s="33">
        <v>34</v>
      </c>
      <c r="D277" s="33" t="s">
        <v>72</v>
      </c>
      <c r="E277" s="200">
        <v>0</v>
      </c>
      <c r="F277" s="199">
        <v>0</v>
      </c>
      <c r="G277" s="200"/>
      <c r="H277" s="199"/>
      <c r="I277" s="200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5">
      <c r="A278" s="33" t="s">
        <v>138</v>
      </c>
      <c r="B278" s="33" t="s">
        <v>140</v>
      </c>
      <c r="C278" s="33">
        <v>35</v>
      </c>
      <c r="D278" s="33" t="s">
        <v>73</v>
      </c>
      <c r="E278" s="200">
        <v>0</v>
      </c>
      <c r="F278" s="199">
        <v>-866.58</v>
      </c>
      <c r="G278" s="200"/>
      <c r="H278" s="199"/>
      <c r="I278" s="200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5">
      <c r="A279" s="33" t="s">
        <v>138</v>
      </c>
      <c r="B279" s="33" t="s">
        <v>140</v>
      </c>
      <c r="C279" s="33">
        <v>36</v>
      </c>
      <c r="D279" s="33" t="s">
        <v>74</v>
      </c>
      <c r="E279" s="200">
        <v>0</v>
      </c>
      <c r="F279" s="199">
        <v>0</v>
      </c>
      <c r="G279" s="200"/>
      <c r="H279" s="199"/>
      <c r="I279" s="200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5">
      <c r="A280" s="33" t="s">
        <v>138</v>
      </c>
      <c r="B280" s="33" t="s">
        <v>140</v>
      </c>
      <c r="C280" s="33">
        <v>37</v>
      </c>
      <c r="D280" s="33" t="s">
        <v>75</v>
      </c>
      <c r="E280" s="200">
        <v>0</v>
      </c>
      <c r="F280" s="199">
        <v>0</v>
      </c>
      <c r="G280" s="200"/>
      <c r="H280" s="199"/>
      <c r="I280" s="200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5">
      <c r="A281" s="33" t="s">
        <v>138</v>
      </c>
      <c r="B281" s="33" t="s">
        <v>140</v>
      </c>
      <c r="C281" s="33">
        <v>38</v>
      </c>
      <c r="D281" s="33" t="s">
        <v>76</v>
      </c>
      <c r="E281" s="200">
        <v>0</v>
      </c>
      <c r="F281" s="199">
        <v>0</v>
      </c>
      <c r="G281" s="200"/>
      <c r="H281" s="199"/>
      <c r="I281" s="200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5">
      <c r="A282" s="33" t="s">
        <v>138</v>
      </c>
      <c r="B282" s="33" t="s">
        <v>140</v>
      </c>
      <c r="C282" s="33">
        <v>39</v>
      </c>
      <c r="D282" s="33" t="s">
        <v>77</v>
      </c>
      <c r="E282" s="200">
        <v>0</v>
      </c>
      <c r="F282" s="199">
        <v>0</v>
      </c>
      <c r="G282" s="200"/>
      <c r="H282" s="199"/>
      <c r="I282" s="200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5">
      <c r="A283" s="33" t="s">
        <v>138</v>
      </c>
      <c r="B283" s="33" t="s">
        <v>140</v>
      </c>
      <c r="C283" s="33">
        <v>40</v>
      </c>
      <c r="D283" s="33" t="s">
        <v>78</v>
      </c>
      <c r="E283" s="200">
        <v>0</v>
      </c>
      <c r="F283" s="199">
        <v>434349.81</v>
      </c>
      <c r="G283" s="200"/>
      <c r="H283" s="199"/>
      <c r="I283" s="200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5">
      <c r="A284" s="33" t="s">
        <v>138</v>
      </c>
      <c r="B284" s="33" t="s">
        <v>156</v>
      </c>
      <c r="C284" s="33">
        <v>1</v>
      </c>
      <c r="D284" s="33" t="s">
        <v>25</v>
      </c>
      <c r="E284" s="200">
        <v>30578969</v>
      </c>
      <c r="F284" s="199">
        <v>127705469.34999999</v>
      </c>
      <c r="G284" s="200"/>
      <c r="H284" s="199"/>
      <c r="I284" s="200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5">
      <c r="A285" s="33" t="s">
        <v>138</v>
      </c>
      <c r="B285" s="33" t="s">
        <v>156</v>
      </c>
      <c r="C285" s="33">
        <v>2</v>
      </c>
      <c r="D285" s="33" t="s">
        <v>26</v>
      </c>
      <c r="E285" s="200">
        <v>0</v>
      </c>
      <c r="F285" s="199">
        <v>0</v>
      </c>
      <c r="G285" s="200"/>
      <c r="H285" s="199"/>
      <c r="I285" s="200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5">
      <c r="A286" s="33" t="s">
        <v>138</v>
      </c>
      <c r="B286" s="33" t="s">
        <v>156</v>
      </c>
      <c r="C286" s="33">
        <v>3</v>
      </c>
      <c r="D286" s="33" t="s">
        <v>27</v>
      </c>
      <c r="E286" s="200">
        <v>4179702</v>
      </c>
      <c r="F286" s="199">
        <v>18330694</v>
      </c>
      <c r="G286" s="200"/>
      <c r="H286" s="199"/>
      <c r="I286" s="200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5">
      <c r="A287" s="33" t="s">
        <v>138</v>
      </c>
      <c r="B287" s="33" t="s">
        <v>156</v>
      </c>
      <c r="C287" s="33">
        <v>4</v>
      </c>
      <c r="D287" s="33" t="s">
        <v>28</v>
      </c>
      <c r="E287" s="200">
        <v>0</v>
      </c>
      <c r="F287" s="199">
        <v>0</v>
      </c>
      <c r="G287" s="200"/>
      <c r="H287" s="199"/>
      <c r="I287" s="200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5">
      <c r="A288" s="33" t="s">
        <v>138</v>
      </c>
      <c r="B288" s="33" t="s">
        <v>156</v>
      </c>
      <c r="C288" s="33">
        <v>5</v>
      </c>
      <c r="D288" s="33" t="s">
        <v>123</v>
      </c>
      <c r="E288" s="200">
        <v>0</v>
      </c>
      <c r="F288" s="199">
        <v>0</v>
      </c>
      <c r="G288" s="200"/>
      <c r="H288" s="199"/>
      <c r="I288" s="200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5">
      <c r="A289" s="33" t="s">
        <v>138</v>
      </c>
      <c r="B289" s="33" t="s">
        <v>156</v>
      </c>
      <c r="C289" s="33">
        <v>6</v>
      </c>
      <c r="D289" s="33" t="s">
        <v>25</v>
      </c>
      <c r="E289" s="200">
        <v>-33810169</v>
      </c>
      <c r="F289" s="199">
        <v>-144476567.79000002</v>
      </c>
      <c r="G289" s="200"/>
      <c r="H289" s="199"/>
      <c r="I289" s="200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5">
      <c r="A290" s="33" t="s">
        <v>138</v>
      </c>
      <c r="B290" s="33" t="s">
        <v>156</v>
      </c>
      <c r="C290" s="33">
        <v>7</v>
      </c>
      <c r="D290" s="33" t="s">
        <v>26</v>
      </c>
      <c r="E290" s="200">
        <v>0</v>
      </c>
      <c r="F290" s="199">
        <v>0</v>
      </c>
      <c r="G290" s="200"/>
      <c r="H290" s="199"/>
      <c r="I290" s="200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5">
      <c r="A291" s="33" t="s">
        <v>138</v>
      </c>
      <c r="B291" s="33" t="s">
        <v>156</v>
      </c>
      <c r="C291" s="33">
        <v>8</v>
      </c>
      <c r="D291" s="33" t="s">
        <v>27</v>
      </c>
      <c r="E291" s="200">
        <v>-1064304</v>
      </c>
      <c r="F291" s="199">
        <v>-4329544</v>
      </c>
      <c r="G291" s="200"/>
      <c r="H291" s="199"/>
      <c r="I291" s="200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5">
      <c r="A292" s="33" t="s">
        <v>138</v>
      </c>
      <c r="B292" s="33" t="s">
        <v>156</v>
      </c>
      <c r="C292" s="33">
        <v>9</v>
      </c>
      <c r="D292" s="33" t="s">
        <v>28</v>
      </c>
      <c r="E292" s="200">
        <v>0</v>
      </c>
      <c r="F292" s="199">
        <v>0</v>
      </c>
      <c r="G292" s="200"/>
      <c r="H292" s="199"/>
      <c r="I292" s="200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5">
      <c r="A293" s="33" t="s">
        <v>138</v>
      </c>
      <c r="B293" s="33" t="s">
        <v>156</v>
      </c>
      <c r="C293" s="33">
        <v>10</v>
      </c>
      <c r="D293" s="33" t="s">
        <v>32</v>
      </c>
      <c r="E293" s="200">
        <v>225571</v>
      </c>
      <c r="F293" s="199">
        <v>988000.98</v>
      </c>
      <c r="G293" s="200"/>
      <c r="H293" s="199"/>
      <c r="I293" s="200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5">
      <c r="A294" s="33" t="s">
        <v>138</v>
      </c>
      <c r="B294" s="33" t="s">
        <v>156</v>
      </c>
      <c r="C294" s="33">
        <v>11</v>
      </c>
      <c r="D294" s="33" t="s">
        <v>35</v>
      </c>
      <c r="E294" s="200">
        <v>0</v>
      </c>
      <c r="F294" s="199">
        <v>0</v>
      </c>
      <c r="G294" s="200"/>
      <c r="H294" s="199"/>
      <c r="I294" s="200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5">
      <c r="A295" s="33" t="s">
        <v>138</v>
      </c>
      <c r="B295" s="33" t="s">
        <v>156</v>
      </c>
      <c r="C295" s="33">
        <v>12</v>
      </c>
      <c r="D295" s="33" t="s">
        <v>36</v>
      </c>
      <c r="E295" s="200">
        <v>0</v>
      </c>
      <c r="F295" s="199">
        <v>0</v>
      </c>
      <c r="G295" s="200"/>
      <c r="H295" s="199"/>
      <c r="I295" s="200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5">
      <c r="A296" s="33" t="s">
        <v>138</v>
      </c>
      <c r="B296" s="33" t="s">
        <v>156</v>
      </c>
      <c r="C296" s="33">
        <v>13</v>
      </c>
      <c r="D296" s="33" t="s">
        <v>39</v>
      </c>
      <c r="E296" s="200">
        <v>456262</v>
      </c>
      <c r="F296" s="199">
        <v>1998427.56</v>
      </c>
      <c r="G296" s="200"/>
      <c r="H296" s="199"/>
      <c r="I296" s="200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5">
      <c r="A297" s="33" t="s">
        <v>138</v>
      </c>
      <c r="B297" s="33" t="s">
        <v>156</v>
      </c>
      <c r="C297" s="33">
        <v>14</v>
      </c>
      <c r="D297" s="33" t="s">
        <v>40</v>
      </c>
      <c r="E297" s="200">
        <v>0</v>
      </c>
      <c r="F297" s="199">
        <v>0</v>
      </c>
      <c r="G297" s="200"/>
      <c r="H297" s="199"/>
      <c r="I297" s="200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5">
      <c r="A298" s="33" t="s">
        <v>138</v>
      </c>
      <c r="B298" s="33" t="s">
        <v>156</v>
      </c>
      <c r="C298" s="33">
        <v>15</v>
      </c>
      <c r="D298" s="33" t="s">
        <v>41</v>
      </c>
      <c r="E298" s="200">
        <v>0</v>
      </c>
      <c r="F298" s="199">
        <v>0</v>
      </c>
      <c r="G298" s="200"/>
      <c r="H298" s="199"/>
      <c r="I298" s="200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5">
      <c r="A299" s="33" t="s">
        <v>138</v>
      </c>
      <c r="B299" s="33" t="s">
        <v>156</v>
      </c>
      <c r="C299" s="33">
        <v>16</v>
      </c>
      <c r="D299" s="33" t="s">
        <v>42</v>
      </c>
      <c r="E299" s="200">
        <v>0</v>
      </c>
      <c r="F299" s="199">
        <v>0</v>
      </c>
      <c r="G299" s="200"/>
      <c r="H299" s="199"/>
      <c r="I299" s="200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5">
      <c r="A300" s="33" t="s">
        <v>138</v>
      </c>
      <c r="B300" s="33" t="s">
        <v>156</v>
      </c>
      <c r="C300" s="33">
        <v>17</v>
      </c>
      <c r="D300" s="33" t="s">
        <v>124</v>
      </c>
      <c r="E300" s="200">
        <v>0</v>
      </c>
      <c r="F300" s="199">
        <v>0</v>
      </c>
      <c r="G300" s="200"/>
      <c r="H300" s="199"/>
      <c r="I300" s="200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5">
      <c r="A301" s="33" t="s">
        <v>138</v>
      </c>
      <c r="B301" s="33" t="s">
        <v>156</v>
      </c>
      <c r="C301" s="33">
        <v>18</v>
      </c>
      <c r="D301" s="33" t="s">
        <v>125</v>
      </c>
      <c r="E301" s="200">
        <v>0</v>
      </c>
      <c r="F301" s="199">
        <v>0</v>
      </c>
      <c r="G301" s="200"/>
      <c r="H301" s="199"/>
      <c r="I301" s="200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5">
      <c r="A302" s="33" t="s">
        <v>138</v>
      </c>
      <c r="B302" s="33" t="s">
        <v>156</v>
      </c>
      <c r="C302" s="33">
        <v>19</v>
      </c>
      <c r="D302" s="33" t="s">
        <v>47</v>
      </c>
      <c r="E302" s="200">
        <v>0</v>
      </c>
      <c r="F302" s="199">
        <v>0</v>
      </c>
      <c r="G302" s="200"/>
      <c r="H302" s="199"/>
      <c r="I302" s="200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5">
      <c r="A303" s="33" t="s">
        <v>138</v>
      </c>
      <c r="B303" s="33" t="s">
        <v>156</v>
      </c>
      <c r="C303" s="33">
        <v>20</v>
      </c>
      <c r="D303" s="33" t="s">
        <v>126</v>
      </c>
      <c r="E303" s="200">
        <v>0</v>
      </c>
      <c r="F303" s="199">
        <v>0</v>
      </c>
      <c r="G303" s="200"/>
      <c r="H303" s="199"/>
      <c r="I303" s="200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5">
      <c r="A304" s="33" t="s">
        <v>138</v>
      </c>
      <c r="B304" s="33" t="s">
        <v>156</v>
      </c>
      <c r="C304" s="33">
        <v>21</v>
      </c>
      <c r="D304" s="33" t="s">
        <v>127</v>
      </c>
      <c r="E304" s="200">
        <v>0</v>
      </c>
      <c r="F304" s="199">
        <v>0</v>
      </c>
      <c r="G304" s="200"/>
      <c r="H304" s="199"/>
      <c r="I304" s="200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5">
      <c r="A305" s="33" t="s">
        <v>138</v>
      </c>
      <c r="B305" s="33" t="s">
        <v>156</v>
      </c>
      <c r="C305" s="33">
        <v>22</v>
      </c>
      <c r="D305" s="33" t="s">
        <v>128</v>
      </c>
      <c r="E305" s="200">
        <v>-566031</v>
      </c>
      <c r="F305" s="199">
        <v>-2479215.7799999998</v>
      </c>
      <c r="G305" s="200"/>
      <c r="H305" s="199"/>
      <c r="I305" s="200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5">
      <c r="A306" s="33" t="s">
        <v>138</v>
      </c>
      <c r="B306" s="33" t="s">
        <v>156</v>
      </c>
      <c r="C306" s="33">
        <v>23</v>
      </c>
      <c r="D306" s="33" t="s">
        <v>129</v>
      </c>
      <c r="E306" s="200">
        <v>-225571</v>
      </c>
      <c r="F306" s="199">
        <v>-988000.98</v>
      </c>
      <c r="G306" s="200"/>
      <c r="H306" s="199"/>
      <c r="I306" s="200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5">
      <c r="A307" s="33" t="s">
        <v>138</v>
      </c>
      <c r="B307" s="33" t="s">
        <v>156</v>
      </c>
      <c r="C307" s="33">
        <v>24</v>
      </c>
      <c r="D307" s="33" t="s">
        <v>55</v>
      </c>
      <c r="E307" s="200">
        <v>-7370405</v>
      </c>
      <c r="F307" s="199">
        <v>-13649.91</v>
      </c>
      <c r="G307" s="200"/>
      <c r="H307" s="199"/>
      <c r="I307" s="200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5">
      <c r="A308" s="33" t="s">
        <v>138</v>
      </c>
      <c r="B308" s="33" t="s">
        <v>156</v>
      </c>
      <c r="C308" s="33">
        <v>25</v>
      </c>
      <c r="D308" s="33" t="s">
        <v>56</v>
      </c>
      <c r="E308" s="200">
        <v>0</v>
      </c>
      <c r="F308" s="199">
        <v>0</v>
      </c>
      <c r="G308" s="200"/>
      <c r="H308" s="199"/>
      <c r="I308" s="200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5">
      <c r="A309" s="33" t="s">
        <v>138</v>
      </c>
      <c r="B309" s="33" t="s">
        <v>156</v>
      </c>
      <c r="C309" s="33">
        <v>26</v>
      </c>
      <c r="D309" s="33" t="s">
        <v>130</v>
      </c>
      <c r="E309" s="200">
        <v>0</v>
      </c>
      <c r="F309" s="199">
        <v>0</v>
      </c>
      <c r="G309" s="200"/>
      <c r="H309" s="199"/>
      <c r="I309" s="200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5">
      <c r="A310" s="33" t="s">
        <v>138</v>
      </c>
      <c r="B310" s="33" t="s">
        <v>156</v>
      </c>
      <c r="C310" s="33">
        <v>27</v>
      </c>
      <c r="D310" s="33" t="s">
        <v>131</v>
      </c>
      <c r="E310" s="200">
        <v>0</v>
      </c>
      <c r="F310" s="199">
        <v>0</v>
      </c>
      <c r="G310" s="200"/>
      <c r="H310" s="199"/>
      <c r="I310" s="200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5">
      <c r="A311" s="33" t="s">
        <v>138</v>
      </c>
      <c r="B311" s="33" t="s">
        <v>156</v>
      </c>
      <c r="C311" s="33">
        <v>28</v>
      </c>
      <c r="D311" s="33" t="s">
        <v>132</v>
      </c>
      <c r="E311" s="200">
        <v>0</v>
      </c>
      <c r="F311" s="199">
        <v>0</v>
      </c>
      <c r="G311" s="200"/>
      <c r="H311" s="199"/>
      <c r="I311" s="200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5">
      <c r="A312" s="33" t="s">
        <v>138</v>
      </c>
      <c r="B312" s="33" t="s">
        <v>156</v>
      </c>
      <c r="C312" s="33">
        <v>29</v>
      </c>
      <c r="D312" s="33" t="s">
        <v>133</v>
      </c>
      <c r="E312" s="200">
        <v>0</v>
      </c>
      <c r="F312" s="199">
        <v>0</v>
      </c>
      <c r="G312" s="200"/>
      <c r="H312" s="199"/>
      <c r="I312" s="200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5">
      <c r="A313" s="33" t="s">
        <v>138</v>
      </c>
      <c r="B313" s="33" t="s">
        <v>156</v>
      </c>
      <c r="C313" s="33">
        <v>30</v>
      </c>
      <c r="D313" s="33" t="s">
        <v>134</v>
      </c>
      <c r="E313" s="200">
        <v>0</v>
      </c>
      <c r="F313" s="199">
        <v>0</v>
      </c>
      <c r="G313" s="200"/>
      <c r="H313" s="199"/>
      <c r="I313" s="200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5">
      <c r="A314" s="33" t="s">
        <v>138</v>
      </c>
      <c r="B314" s="33" t="s">
        <v>156</v>
      </c>
      <c r="C314" s="33">
        <v>31</v>
      </c>
      <c r="D314" s="33" t="s">
        <v>135</v>
      </c>
      <c r="E314" s="200">
        <v>0</v>
      </c>
      <c r="F314" s="199">
        <v>0</v>
      </c>
      <c r="G314" s="200"/>
      <c r="H314" s="199"/>
      <c r="I314" s="200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5">
      <c r="A315" s="33" t="s">
        <v>138</v>
      </c>
      <c r="B315" s="33" t="s">
        <v>156</v>
      </c>
      <c r="C315" s="33">
        <v>32</v>
      </c>
      <c r="D315" s="33" t="s">
        <v>70</v>
      </c>
      <c r="E315" s="200">
        <v>0</v>
      </c>
      <c r="F315" s="199">
        <v>0</v>
      </c>
      <c r="G315" s="200"/>
      <c r="H315" s="199"/>
      <c r="I315" s="200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5">
      <c r="A316" s="33" t="s">
        <v>138</v>
      </c>
      <c r="B316" s="33" t="s">
        <v>156</v>
      </c>
      <c r="C316" s="33">
        <v>33</v>
      </c>
      <c r="D316" s="33" t="s">
        <v>71</v>
      </c>
      <c r="E316" s="200">
        <v>0</v>
      </c>
      <c r="F316" s="199">
        <v>0</v>
      </c>
      <c r="G316" s="200"/>
      <c r="H316" s="199"/>
      <c r="I316" s="200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5">
      <c r="A317" s="33" t="s">
        <v>138</v>
      </c>
      <c r="B317" s="33" t="s">
        <v>156</v>
      </c>
      <c r="C317" s="33">
        <v>34</v>
      </c>
      <c r="D317" s="33" t="s">
        <v>72</v>
      </c>
      <c r="E317" s="200">
        <v>0</v>
      </c>
      <c r="F317" s="199">
        <v>0</v>
      </c>
      <c r="G317" s="200"/>
      <c r="H317" s="199"/>
      <c r="I317" s="200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5">
      <c r="A318" s="33" t="s">
        <v>138</v>
      </c>
      <c r="B318" s="33" t="s">
        <v>156</v>
      </c>
      <c r="C318" s="33">
        <v>35</v>
      </c>
      <c r="D318" s="33" t="s">
        <v>73</v>
      </c>
      <c r="E318" s="200">
        <v>0</v>
      </c>
      <c r="F318" s="199">
        <v>-4702</v>
      </c>
      <c r="G318" s="200"/>
      <c r="H318" s="199"/>
      <c r="I318" s="200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5">
      <c r="A319" s="33" t="s">
        <v>138</v>
      </c>
      <c r="B319" s="33" t="s">
        <v>156</v>
      </c>
      <c r="C319" s="33">
        <v>36</v>
      </c>
      <c r="D319" s="33" t="s">
        <v>74</v>
      </c>
      <c r="E319" s="200">
        <v>0</v>
      </c>
      <c r="F319" s="199">
        <v>0</v>
      </c>
      <c r="G319" s="200"/>
      <c r="H319" s="199"/>
      <c r="I319" s="200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5">
      <c r="A320" s="33" t="s">
        <v>138</v>
      </c>
      <c r="B320" s="33" t="s">
        <v>156</v>
      </c>
      <c r="C320" s="33">
        <v>37</v>
      </c>
      <c r="D320" s="33" t="s">
        <v>75</v>
      </c>
      <c r="E320" s="200">
        <v>0</v>
      </c>
      <c r="F320" s="199">
        <v>0</v>
      </c>
      <c r="G320" s="200"/>
      <c r="H320" s="199"/>
      <c r="I320" s="200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5">
      <c r="A321" s="33" t="s">
        <v>138</v>
      </c>
      <c r="B321" s="33" t="s">
        <v>156</v>
      </c>
      <c r="C321" s="33">
        <v>38</v>
      </c>
      <c r="D321" s="33" t="s">
        <v>76</v>
      </c>
      <c r="E321" s="200">
        <v>0</v>
      </c>
      <c r="F321" s="199">
        <v>0</v>
      </c>
      <c r="G321" s="200"/>
      <c r="H321" s="199"/>
      <c r="I321" s="200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5">
      <c r="A322" s="33" t="s">
        <v>138</v>
      </c>
      <c r="B322" s="33" t="s">
        <v>156</v>
      </c>
      <c r="C322" s="33">
        <v>39</v>
      </c>
      <c r="D322" s="33" t="s">
        <v>77</v>
      </c>
      <c r="E322" s="200">
        <v>0</v>
      </c>
      <c r="F322" s="199">
        <v>0</v>
      </c>
      <c r="G322" s="200"/>
      <c r="H322" s="199"/>
      <c r="I322" s="200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5">
      <c r="A323" s="33" t="s">
        <v>138</v>
      </c>
      <c r="B323" s="33" t="s">
        <v>156</v>
      </c>
      <c r="C323" s="33">
        <v>40</v>
      </c>
      <c r="D323" s="33" t="s">
        <v>78</v>
      </c>
      <c r="E323" s="200">
        <v>0</v>
      </c>
      <c r="F323" s="199">
        <v>0</v>
      </c>
      <c r="G323" s="200"/>
      <c r="H323" s="199"/>
      <c r="I323" s="200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5">
      <c r="A324" s="33" t="s">
        <v>138</v>
      </c>
      <c r="B324" s="33" t="s">
        <v>200</v>
      </c>
      <c r="C324" s="33">
        <v>1</v>
      </c>
      <c r="D324" s="33" t="s">
        <v>25</v>
      </c>
      <c r="E324" s="200">
        <v>9877555</v>
      </c>
      <c r="F324" s="199">
        <v>43678542.969999999</v>
      </c>
      <c r="G324" s="200"/>
      <c r="H324" s="199"/>
      <c r="I324" s="200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5">
      <c r="A325" s="33" t="s">
        <v>138</v>
      </c>
      <c r="B325" s="33" t="s">
        <v>200</v>
      </c>
      <c r="C325" s="33">
        <v>2</v>
      </c>
      <c r="D325" s="33" t="s">
        <v>26</v>
      </c>
      <c r="E325" s="200">
        <v>0</v>
      </c>
      <c r="F325" s="199">
        <v>0</v>
      </c>
      <c r="G325" s="200"/>
      <c r="H325" s="199"/>
      <c r="I325" s="200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5">
      <c r="A326" s="33" t="s">
        <v>138</v>
      </c>
      <c r="B326" s="33" t="s">
        <v>200</v>
      </c>
      <c r="C326" s="33">
        <v>3</v>
      </c>
      <c r="D326" s="33" t="s">
        <v>27</v>
      </c>
      <c r="E326" s="200">
        <v>23219168</v>
      </c>
      <c r="F326" s="199">
        <v>102136858</v>
      </c>
      <c r="G326" s="200"/>
      <c r="H326" s="199"/>
      <c r="I326" s="200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5">
      <c r="A327" s="33" t="s">
        <v>138</v>
      </c>
      <c r="B327" s="33" t="s">
        <v>200</v>
      </c>
      <c r="C327" s="33">
        <v>4</v>
      </c>
      <c r="D327" s="33" t="s">
        <v>28</v>
      </c>
      <c r="E327" s="200">
        <v>0</v>
      </c>
      <c r="F327" s="199">
        <v>0</v>
      </c>
      <c r="G327" s="200"/>
      <c r="H327" s="199"/>
      <c r="I327" s="200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5">
      <c r="A328" s="33" t="s">
        <v>138</v>
      </c>
      <c r="B328" s="33" t="s">
        <v>200</v>
      </c>
      <c r="C328" s="33">
        <v>5</v>
      </c>
      <c r="D328" s="33" t="s">
        <v>123</v>
      </c>
      <c r="E328" s="200">
        <v>0</v>
      </c>
      <c r="F328" s="199">
        <v>1505214.22</v>
      </c>
      <c r="G328" s="200"/>
      <c r="H328" s="199"/>
      <c r="I328" s="200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5">
      <c r="A329" s="33" t="s">
        <v>138</v>
      </c>
      <c r="B329" s="33" t="s">
        <v>200</v>
      </c>
      <c r="C329" s="33">
        <v>6</v>
      </c>
      <c r="D329" s="33" t="s">
        <v>25</v>
      </c>
      <c r="E329" s="200">
        <v>-3522587</v>
      </c>
      <c r="F329" s="199">
        <v>-15122449.799999999</v>
      </c>
      <c r="G329" s="200"/>
      <c r="H329" s="199"/>
      <c r="I329" s="200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5">
      <c r="A330" s="33" t="s">
        <v>138</v>
      </c>
      <c r="B330" s="33" t="s">
        <v>200</v>
      </c>
      <c r="C330" s="33">
        <v>7</v>
      </c>
      <c r="D330" s="33" t="s">
        <v>26</v>
      </c>
      <c r="E330" s="200">
        <v>0</v>
      </c>
      <c r="F330" s="199">
        <v>0</v>
      </c>
      <c r="G330" s="200"/>
      <c r="H330" s="199"/>
      <c r="I330" s="200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5">
      <c r="A331" s="33" t="s">
        <v>138</v>
      </c>
      <c r="B331" s="33" t="s">
        <v>200</v>
      </c>
      <c r="C331" s="33">
        <v>8</v>
      </c>
      <c r="D331" s="33" t="s">
        <v>27</v>
      </c>
      <c r="E331" s="200">
        <v>-29734470</v>
      </c>
      <c r="F331" s="199">
        <v>-129522006</v>
      </c>
      <c r="G331" s="200"/>
      <c r="H331" s="199"/>
      <c r="I331" s="200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5">
      <c r="A332" s="33" t="s">
        <v>138</v>
      </c>
      <c r="B332" s="33" t="s">
        <v>200</v>
      </c>
      <c r="C332" s="33">
        <v>9</v>
      </c>
      <c r="D332" s="33" t="s">
        <v>28</v>
      </c>
      <c r="E332" s="200">
        <v>0</v>
      </c>
      <c r="F332" s="199">
        <v>0</v>
      </c>
      <c r="G332" s="200"/>
      <c r="H332" s="199"/>
      <c r="I332" s="200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5">
      <c r="A333" s="33" t="s">
        <v>138</v>
      </c>
      <c r="B333" s="33" t="s">
        <v>200</v>
      </c>
      <c r="C333" s="33">
        <v>10</v>
      </c>
      <c r="D333" s="33" t="s">
        <v>32</v>
      </c>
      <c r="E333" s="200">
        <v>0</v>
      </c>
      <c r="F333" s="199">
        <v>0</v>
      </c>
      <c r="G333" s="200"/>
      <c r="H333" s="199"/>
      <c r="I333" s="200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5">
      <c r="A334" s="33" t="s">
        <v>138</v>
      </c>
      <c r="B334" s="33" t="s">
        <v>200</v>
      </c>
      <c r="C334" s="33">
        <v>11</v>
      </c>
      <c r="D334" s="33" t="s">
        <v>35</v>
      </c>
      <c r="E334" s="200">
        <v>0</v>
      </c>
      <c r="F334" s="199">
        <v>0</v>
      </c>
      <c r="G334" s="200"/>
      <c r="H334" s="199"/>
      <c r="I334" s="200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5">
      <c r="A335" s="33" t="s">
        <v>138</v>
      </c>
      <c r="B335" s="33" t="s">
        <v>200</v>
      </c>
      <c r="C335" s="33">
        <v>12</v>
      </c>
      <c r="D335" s="33" t="s">
        <v>36</v>
      </c>
      <c r="E335" s="200">
        <v>0</v>
      </c>
      <c r="F335" s="199">
        <v>0</v>
      </c>
      <c r="G335" s="200"/>
      <c r="H335" s="199"/>
      <c r="I335" s="200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5">
      <c r="A336" s="33" t="s">
        <v>138</v>
      </c>
      <c r="B336" s="33" t="s">
        <v>200</v>
      </c>
      <c r="C336" s="33">
        <v>13</v>
      </c>
      <c r="D336" s="33" t="s">
        <v>39</v>
      </c>
      <c r="E336" s="200">
        <v>0</v>
      </c>
      <c r="F336" s="199">
        <v>0</v>
      </c>
      <c r="G336" s="200"/>
      <c r="H336" s="199"/>
      <c r="I336" s="200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5">
      <c r="A337" s="33" t="s">
        <v>138</v>
      </c>
      <c r="B337" s="33" t="s">
        <v>200</v>
      </c>
      <c r="C337" s="33">
        <v>14</v>
      </c>
      <c r="D337" s="33" t="s">
        <v>40</v>
      </c>
      <c r="E337" s="200">
        <v>0</v>
      </c>
      <c r="F337" s="199">
        <v>0</v>
      </c>
      <c r="G337" s="200"/>
      <c r="H337" s="199"/>
      <c r="I337" s="200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5">
      <c r="A338" s="33" t="s">
        <v>138</v>
      </c>
      <c r="B338" s="33" t="s">
        <v>200</v>
      </c>
      <c r="C338" s="33">
        <v>15</v>
      </c>
      <c r="D338" s="33" t="s">
        <v>41</v>
      </c>
      <c r="E338" s="200">
        <v>0</v>
      </c>
      <c r="F338" s="199">
        <v>0</v>
      </c>
      <c r="G338" s="200"/>
      <c r="H338" s="199"/>
      <c r="I338" s="200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5">
      <c r="A339" s="33" t="s">
        <v>138</v>
      </c>
      <c r="B339" s="33" t="s">
        <v>200</v>
      </c>
      <c r="C339" s="33">
        <v>16</v>
      </c>
      <c r="D339" s="33" t="s">
        <v>42</v>
      </c>
      <c r="E339" s="200">
        <v>0</v>
      </c>
      <c r="F339" s="199">
        <v>0</v>
      </c>
      <c r="G339" s="200"/>
      <c r="H339" s="199"/>
      <c r="I339" s="200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5">
      <c r="A340" s="33" t="s">
        <v>138</v>
      </c>
      <c r="B340" s="33" t="s">
        <v>200</v>
      </c>
      <c r="C340" s="33">
        <v>17</v>
      </c>
      <c r="D340" s="33" t="s">
        <v>124</v>
      </c>
      <c r="E340" s="200">
        <v>0</v>
      </c>
      <c r="F340" s="199">
        <v>0</v>
      </c>
      <c r="G340" s="200"/>
      <c r="H340" s="199"/>
      <c r="I340" s="200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5">
      <c r="A341" s="201" t="s">
        <v>138</v>
      </c>
      <c r="B341" s="201" t="s">
        <v>200</v>
      </c>
      <c r="C341" s="201">
        <v>18</v>
      </c>
      <c r="D341" s="201" t="s">
        <v>125</v>
      </c>
      <c r="E341" s="200">
        <v>0</v>
      </c>
      <c r="F341" s="200">
        <v>0</v>
      </c>
      <c r="G341" s="200"/>
      <c r="H341" s="200"/>
      <c r="I341" s="200"/>
      <c r="J341" s="200"/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5">
      <c r="A342" s="33" t="s">
        <v>138</v>
      </c>
      <c r="B342" s="33" t="s">
        <v>200</v>
      </c>
      <c r="C342" s="33">
        <v>19</v>
      </c>
      <c r="D342" s="33" t="s">
        <v>47</v>
      </c>
      <c r="E342" s="200">
        <v>0</v>
      </c>
      <c r="F342" s="199">
        <v>0</v>
      </c>
      <c r="G342" s="200"/>
      <c r="H342" s="199"/>
      <c r="I342" s="200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5">
      <c r="A343" s="33" t="s">
        <v>138</v>
      </c>
      <c r="B343" s="33" t="s">
        <v>200</v>
      </c>
      <c r="C343" s="33">
        <v>20</v>
      </c>
      <c r="D343" s="33" t="s">
        <v>126</v>
      </c>
      <c r="E343" s="200">
        <v>0</v>
      </c>
      <c r="F343" s="199">
        <v>0</v>
      </c>
      <c r="G343" s="200"/>
      <c r="H343" s="199"/>
      <c r="I343" s="200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5">
      <c r="A344" s="33" t="s">
        <v>138</v>
      </c>
      <c r="B344" s="33" t="s">
        <v>200</v>
      </c>
      <c r="C344" s="33">
        <v>21</v>
      </c>
      <c r="D344" s="33" t="s">
        <v>127</v>
      </c>
      <c r="E344" s="200">
        <v>0</v>
      </c>
      <c r="F344" s="199">
        <v>0</v>
      </c>
      <c r="G344" s="200"/>
      <c r="H344" s="199"/>
      <c r="I344" s="200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5">
      <c r="A345" s="33" t="s">
        <v>138</v>
      </c>
      <c r="B345" s="33" t="s">
        <v>200</v>
      </c>
      <c r="C345" s="33">
        <v>22</v>
      </c>
      <c r="D345" s="33" t="s">
        <v>128</v>
      </c>
      <c r="E345" s="200">
        <v>160334</v>
      </c>
      <c r="F345" s="199">
        <v>681419.5</v>
      </c>
      <c r="G345" s="200"/>
      <c r="H345" s="199"/>
      <c r="I345" s="200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5">
      <c r="A346" s="33" t="s">
        <v>138</v>
      </c>
      <c r="B346" s="33" t="s">
        <v>200</v>
      </c>
      <c r="C346" s="33">
        <v>23</v>
      </c>
      <c r="D346" s="33" t="s">
        <v>129</v>
      </c>
      <c r="E346" s="200">
        <v>0</v>
      </c>
      <c r="F346" s="199">
        <v>0</v>
      </c>
      <c r="G346" s="200"/>
      <c r="H346" s="199"/>
      <c r="I346" s="200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5">
      <c r="A347" s="33" t="s">
        <v>138</v>
      </c>
      <c r="B347" s="33" t="s">
        <v>200</v>
      </c>
      <c r="C347" s="33">
        <v>24</v>
      </c>
      <c r="D347" s="33" t="s">
        <v>55</v>
      </c>
      <c r="E347" s="200">
        <v>-3155829</v>
      </c>
      <c r="F347" s="199">
        <v>-55270.76</v>
      </c>
      <c r="G347" s="200"/>
      <c r="H347" s="199"/>
      <c r="I347" s="200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5">
      <c r="A348" s="33" t="s">
        <v>138</v>
      </c>
      <c r="B348" s="33" t="s">
        <v>200</v>
      </c>
      <c r="C348" s="33">
        <v>25</v>
      </c>
      <c r="D348" s="33" t="s">
        <v>56</v>
      </c>
      <c r="E348" s="200">
        <v>0</v>
      </c>
      <c r="F348" s="199">
        <v>-1475180.32</v>
      </c>
      <c r="G348" s="200"/>
      <c r="H348" s="199"/>
      <c r="I348" s="200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5">
      <c r="A349" s="33" t="s">
        <v>138</v>
      </c>
      <c r="B349" s="33" t="s">
        <v>200</v>
      </c>
      <c r="C349" s="33">
        <v>26</v>
      </c>
      <c r="D349" s="33" t="s">
        <v>130</v>
      </c>
      <c r="E349" s="200">
        <v>0</v>
      </c>
      <c r="F349" s="199">
        <v>0</v>
      </c>
      <c r="G349" s="200"/>
      <c r="H349" s="199"/>
      <c r="I349" s="200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5">
      <c r="A350" s="33" t="s">
        <v>138</v>
      </c>
      <c r="B350" s="33" t="s">
        <v>200</v>
      </c>
      <c r="C350" s="33">
        <v>27</v>
      </c>
      <c r="D350" s="33" t="s">
        <v>131</v>
      </c>
      <c r="E350" s="200">
        <v>0</v>
      </c>
      <c r="F350" s="199">
        <v>0</v>
      </c>
      <c r="G350" s="200"/>
      <c r="H350" s="199"/>
      <c r="I350" s="200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5">
      <c r="A351" s="33" t="s">
        <v>138</v>
      </c>
      <c r="B351" s="33" t="s">
        <v>200</v>
      </c>
      <c r="C351" s="33">
        <v>28</v>
      </c>
      <c r="D351" s="33" t="s">
        <v>132</v>
      </c>
      <c r="E351" s="205">
        <v>0</v>
      </c>
      <c r="F351" s="206">
        <v>0</v>
      </c>
      <c r="G351" s="205"/>
      <c r="H351" s="206"/>
      <c r="I351" s="205"/>
      <c r="J351" s="206"/>
      <c r="K351" s="206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5">
      <c r="A352" s="33" t="s">
        <v>138</v>
      </c>
      <c r="B352" s="33" t="s">
        <v>200</v>
      </c>
      <c r="C352" s="33">
        <v>29</v>
      </c>
      <c r="D352" s="33" t="s">
        <v>133</v>
      </c>
      <c r="E352" s="200">
        <v>0</v>
      </c>
      <c r="F352" s="199">
        <v>0</v>
      </c>
      <c r="G352" s="200"/>
      <c r="H352" s="199"/>
      <c r="I352" s="200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5">
      <c r="A353" s="33" t="s">
        <v>138</v>
      </c>
      <c r="B353" s="33" t="s">
        <v>200</v>
      </c>
      <c r="C353" s="33">
        <v>30</v>
      </c>
      <c r="D353" s="33" t="s">
        <v>134</v>
      </c>
      <c r="E353" s="200">
        <v>0</v>
      </c>
      <c r="F353" s="199">
        <v>0</v>
      </c>
      <c r="G353" s="200"/>
      <c r="H353" s="199"/>
      <c r="I353" s="200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5">
      <c r="A354" s="33" t="s">
        <v>138</v>
      </c>
      <c r="B354" s="33" t="s">
        <v>200</v>
      </c>
      <c r="C354" s="33">
        <v>31</v>
      </c>
      <c r="D354" s="33" t="s">
        <v>135</v>
      </c>
      <c r="E354" s="200">
        <v>0</v>
      </c>
      <c r="F354" s="199">
        <v>0</v>
      </c>
      <c r="G354" s="200"/>
      <c r="H354" s="199"/>
      <c r="I354" s="200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5">
      <c r="A355" s="33" t="s">
        <v>138</v>
      </c>
      <c r="B355" s="33" t="s">
        <v>200</v>
      </c>
      <c r="C355" s="33">
        <v>32</v>
      </c>
      <c r="D355" s="33" t="s">
        <v>70</v>
      </c>
      <c r="E355" s="200">
        <v>0</v>
      </c>
      <c r="F355" s="199">
        <v>0</v>
      </c>
      <c r="G355" s="200"/>
      <c r="H355" s="199"/>
      <c r="I355" s="200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5">
      <c r="A356" s="33" t="s">
        <v>138</v>
      </c>
      <c r="B356" s="33" t="s">
        <v>200</v>
      </c>
      <c r="C356" s="33">
        <v>33</v>
      </c>
      <c r="D356" s="33" t="s">
        <v>71</v>
      </c>
      <c r="E356" s="200">
        <v>0</v>
      </c>
      <c r="F356" s="199">
        <v>0</v>
      </c>
      <c r="G356" s="200"/>
      <c r="H356" s="199"/>
      <c r="I356" s="200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5">
      <c r="A357" s="33" t="s">
        <v>138</v>
      </c>
      <c r="B357" s="33" t="s">
        <v>200</v>
      </c>
      <c r="C357" s="33">
        <v>34</v>
      </c>
      <c r="D357" s="33" t="s">
        <v>72</v>
      </c>
      <c r="E357" s="200">
        <v>0</v>
      </c>
      <c r="F357" s="199">
        <v>0</v>
      </c>
      <c r="G357" s="200"/>
      <c r="H357" s="199"/>
      <c r="I357" s="200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5">
      <c r="A358" s="33" t="s">
        <v>138</v>
      </c>
      <c r="B358" s="33" t="s">
        <v>200</v>
      </c>
      <c r="C358" s="33">
        <v>35</v>
      </c>
      <c r="D358" s="33" t="s">
        <v>73</v>
      </c>
      <c r="E358" s="200">
        <v>0</v>
      </c>
      <c r="F358" s="199">
        <v>0</v>
      </c>
      <c r="G358" s="200"/>
      <c r="H358" s="199"/>
      <c r="I358" s="200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5">
      <c r="A359" s="33" t="s">
        <v>138</v>
      </c>
      <c r="B359" s="33" t="s">
        <v>200</v>
      </c>
      <c r="C359" s="33">
        <v>36</v>
      </c>
      <c r="D359" s="33" t="s">
        <v>74</v>
      </c>
      <c r="E359" s="200">
        <v>0</v>
      </c>
      <c r="F359" s="199">
        <v>0</v>
      </c>
      <c r="G359" s="200"/>
      <c r="H359" s="199"/>
      <c r="I359" s="200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5">
      <c r="A360" s="33" t="s">
        <v>138</v>
      </c>
      <c r="B360" s="33" t="s">
        <v>200</v>
      </c>
      <c r="C360" s="33">
        <v>37</v>
      </c>
      <c r="D360" s="33" t="s">
        <v>75</v>
      </c>
      <c r="E360" s="200">
        <v>0</v>
      </c>
      <c r="F360" s="199">
        <v>0</v>
      </c>
      <c r="G360" s="200"/>
      <c r="H360" s="199"/>
      <c r="I360" s="200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5">
      <c r="A361" s="33" t="s">
        <v>138</v>
      </c>
      <c r="B361" s="33" t="s">
        <v>200</v>
      </c>
      <c r="C361" s="33">
        <v>38</v>
      </c>
      <c r="D361" s="33" t="s">
        <v>76</v>
      </c>
      <c r="E361" s="200">
        <v>0</v>
      </c>
      <c r="F361" s="199">
        <v>0</v>
      </c>
      <c r="G361" s="200"/>
      <c r="H361" s="199"/>
      <c r="I361" s="200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5">
      <c r="A362" s="33" t="s">
        <v>138</v>
      </c>
      <c r="B362" s="33" t="s">
        <v>200</v>
      </c>
      <c r="C362" s="33">
        <v>39</v>
      </c>
      <c r="D362" s="33" t="s">
        <v>77</v>
      </c>
      <c r="E362" s="200">
        <v>0</v>
      </c>
      <c r="F362" s="199">
        <v>0</v>
      </c>
      <c r="G362" s="200"/>
      <c r="H362" s="199"/>
      <c r="I362" s="200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5">
      <c r="A363" s="33" t="s">
        <v>138</v>
      </c>
      <c r="B363" s="33" t="s">
        <v>200</v>
      </c>
      <c r="C363" s="33">
        <v>40</v>
      </c>
      <c r="D363" s="33" t="s">
        <v>78</v>
      </c>
      <c r="E363" s="200">
        <v>0</v>
      </c>
      <c r="F363" s="199">
        <v>0</v>
      </c>
      <c r="G363" s="200"/>
      <c r="H363" s="199"/>
      <c r="I363" s="200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5">
      <c r="A364" s="33" t="s">
        <v>138</v>
      </c>
      <c r="B364" s="33" t="s">
        <v>137</v>
      </c>
      <c r="C364" s="33">
        <v>1</v>
      </c>
      <c r="D364" s="33" t="s">
        <v>25</v>
      </c>
      <c r="E364" s="200">
        <v>0</v>
      </c>
      <c r="F364" s="199">
        <v>0</v>
      </c>
      <c r="G364" s="200"/>
      <c r="H364" s="199"/>
      <c r="I364" s="200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5">
      <c r="A365" s="33" t="s">
        <v>138</v>
      </c>
      <c r="B365" s="33" t="s">
        <v>137</v>
      </c>
      <c r="C365" s="33">
        <v>2</v>
      </c>
      <c r="D365" s="33" t="s">
        <v>26</v>
      </c>
      <c r="E365" s="200">
        <v>0</v>
      </c>
      <c r="F365" s="199">
        <v>0</v>
      </c>
      <c r="G365" s="200"/>
      <c r="H365" s="199"/>
      <c r="I365" s="200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5">
      <c r="A366" s="33" t="s">
        <v>138</v>
      </c>
      <c r="B366" s="33" t="s">
        <v>137</v>
      </c>
      <c r="C366" s="33">
        <v>3</v>
      </c>
      <c r="D366" s="33" t="s">
        <v>27</v>
      </c>
      <c r="E366" s="200">
        <v>0</v>
      </c>
      <c r="F366" s="199">
        <v>0</v>
      </c>
      <c r="G366" s="200"/>
      <c r="H366" s="199"/>
      <c r="I366" s="200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5">
      <c r="A367" s="33" t="s">
        <v>138</v>
      </c>
      <c r="B367" s="33" t="s">
        <v>137</v>
      </c>
      <c r="C367" s="33">
        <v>4</v>
      </c>
      <c r="D367" s="33" t="s">
        <v>28</v>
      </c>
      <c r="E367" s="200">
        <v>0</v>
      </c>
      <c r="F367" s="199">
        <v>0</v>
      </c>
      <c r="G367" s="200"/>
      <c r="H367" s="199"/>
      <c r="I367" s="200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5">
      <c r="A368" s="33" t="s">
        <v>138</v>
      </c>
      <c r="B368" s="33" t="s">
        <v>137</v>
      </c>
      <c r="C368" s="33">
        <v>5</v>
      </c>
      <c r="D368" s="33" t="s">
        <v>123</v>
      </c>
      <c r="E368" s="200">
        <v>0</v>
      </c>
      <c r="F368" s="199">
        <v>0</v>
      </c>
      <c r="G368" s="200"/>
      <c r="H368" s="199"/>
      <c r="I368" s="200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5">
      <c r="A369" s="33" t="s">
        <v>138</v>
      </c>
      <c r="B369" s="33" t="s">
        <v>137</v>
      </c>
      <c r="C369" s="33">
        <v>6</v>
      </c>
      <c r="D369" s="33" t="s">
        <v>25</v>
      </c>
      <c r="E369" s="200">
        <v>0</v>
      </c>
      <c r="F369" s="199">
        <v>0</v>
      </c>
      <c r="G369" s="200"/>
      <c r="H369" s="199"/>
      <c r="I369" s="200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5">
      <c r="A370" s="33" t="s">
        <v>138</v>
      </c>
      <c r="B370" s="33" t="s">
        <v>137</v>
      </c>
      <c r="C370" s="33">
        <v>7</v>
      </c>
      <c r="D370" s="33" t="s">
        <v>26</v>
      </c>
      <c r="E370" s="200">
        <v>0</v>
      </c>
      <c r="F370" s="199">
        <v>0</v>
      </c>
      <c r="G370" s="200"/>
      <c r="H370" s="199"/>
      <c r="I370" s="200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5">
      <c r="A371" s="33" t="s">
        <v>138</v>
      </c>
      <c r="B371" s="33" t="s">
        <v>137</v>
      </c>
      <c r="C371" s="33">
        <v>8</v>
      </c>
      <c r="D371" s="33" t="s">
        <v>27</v>
      </c>
      <c r="E371" s="200">
        <v>0</v>
      </c>
      <c r="F371" s="199">
        <v>0</v>
      </c>
      <c r="G371" s="200"/>
      <c r="H371" s="199"/>
      <c r="I371" s="200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5">
      <c r="A372" s="33" t="s">
        <v>138</v>
      </c>
      <c r="B372" s="33" t="s">
        <v>137</v>
      </c>
      <c r="C372" s="33">
        <v>9</v>
      </c>
      <c r="D372" s="33" t="s">
        <v>28</v>
      </c>
      <c r="E372" s="200">
        <v>0</v>
      </c>
      <c r="F372" s="199">
        <v>0</v>
      </c>
      <c r="G372" s="200"/>
      <c r="H372" s="199"/>
      <c r="I372" s="200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5">
      <c r="A373" s="33" t="s">
        <v>138</v>
      </c>
      <c r="B373" s="33" t="s">
        <v>137</v>
      </c>
      <c r="C373" s="33">
        <v>10</v>
      </c>
      <c r="D373" s="33" t="s">
        <v>32</v>
      </c>
      <c r="E373" s="200">
        <v>0</v>
      </c>
      <c r="F373" s="199">
        <v>0</v>
      </c>
      <c r="G373" s="200"/>
      <c r="H373" s="199"/>
      <c r="I373" s="200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5">
      <c r="A374" s="33" t="s">
        <v>138</v>
      </c>
      <c r="B374" s="33" t="s">
        <v>137</v>
      </c>
      <c r="C374" s="33">
        <v>11</v>
      </c>
      <c r="D374" s="33" t="s">
        <v>35</v>
      </c>
      <c r="E374" s="200">
        <v>0</v>
      </c>
      <c r="F374" s="199">
        <v>0</v>
      </c>
      <c r="G374" s="200"/>
      <c r="H374" s="199"/>
      <c r="I374" s="200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5">
      <c r="A375" s="33" t="s">
        <v>138</v>
      </c>
      <c r="B375" s="33" t="s">
        <v>137</v>
      </c>
      <c r="C375" s="33">
        <v>12</v>
      </c>
      <c r="D375" s="33" t="s">
        <v>36</v>
      </c>
      <c r="E375" s="200">
        <v>0</v>
      </c>
      <c r="F375" s="199">
        <v>0</v>
      </c>
      <c r="G375" s="200"/>
      <c r="H375" s="199"/>
      <c r="I375" s="200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5">
      <c r="A376" s="33" t="s">
        <v>138</v>
      </c>
      <c r="B376" s="33" t="s">
        <v>137</v>
      </c>
      <c r="C376" s="33">
        <v>13</v>
      </c>
      <c r="D376" s="33" t="s">
        <v>39</v>
      </c>
      <c r="E376" s="200">
        <v>0</v>
      </c>
      <c r="F376" s="199">
        <v>0</v>
      </c>
      <c r="G376" s="200"/>
      <c r="H376" s="199"/>
      <c r="I376" s="200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5">
      <c r="A377" s="33" t="s">
        <v>138</v>
      </c>
      <c r="B377" s="33" t="s">
        <v>137</v>
      </c>
      <c r="C377" s="33">
        <v>14</v>
      </c>
      <c r="D377" s="33" t="s">
        <v>40</v>
      </c>
      <c r="E377" s="200">
        <v>0</v>
      </c>
      <c r="F377" s="199">
        <v>0</v>
      </c>
      <c r="G377" s="200"/>
      <c r="H377" s="199"/>
      <c r="I377" s="200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5">
      <c r="A378" s="33" t="s">
        <v>138</v>
      </c>
      <c r="B378" s="33" t="s">
        <v>137</v>
      </c>
      <c r="C378" s="33">
        <v>15</v>
      </c>
      <c r="D378" s="33" t="s">
        <v>41</v>
      </c>
      <c r="E378" s="200">
        <v>0</v>
      </c>
      <c r="F378" s="199">
        <v>0</v>
      </c>
      <c r="G378" s="200"/>
      <c r="H378" s="199"/>
      <c r="I378" s="200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5">
      <c r="A379" s="33" t="s">
        <v>138</v>
      </c>
      <c r="B379" s="33" t="s">
        <v>137</v>
      </c>
      <c r="C379" s="33">
        <v>16</v>
      </c>
      <c r="D379" s="33" t="s">
        <v>42</v>
      </c>
      <c r="E379" s="200">
        <v>0</v>
      </c>
      <c r="F379" s="199">
        <v>0</v>
      </c>
      <c r="G379" s="200"/>
      <c r="H379" s="199"/>
      <c r="I379" s="200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5">
      <c r="A380" s="33" t="s">
        <v>138</v>
      </c>
      <c r="B380" s="33" t="s">
        <v>137</v>
      </c>
      <c r="C380" s="33">
        <v>17</v>
      </c>
      <c r="D380" s="33" t="s">
        <v>124</v>
      </c>
      <c r="E380" s="200">
        <v>0</v>
      </c>
      <c r="F380" s="199">
        <v>0</v>
      </c>
      <c r="G380" s="200"/>
      <c r="H380" s="199"/>
      <c r="I380" s="200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5">
      <c r="A381" s="33" t="s">
        <v>138</v>
      </c>
      <c r="B381" s="33" t="s">
        <v>137</v>
      </c>
      <c r="C381" s="33">
        <v>18</v>
      </c>
      <c r="D381" s="33" t="s">
        <v>125</v>
      </c>
      <c r="E381" s="200">
        <v>0</v>
      </c>
      <c r="F381" s="199">
        <v>0</v>
      </c>
      <c r="G381" s="200"/>
      <c r="H381" s="199"/>
      <c r="I381" s="200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5">
      <c r="A382" s="33" t="s">
        <v>138</v>
      </c>
      <c r="B382" s="33" t="s">
        <v>137</v>
      </c>
      <c r="C382" s="33">
        <v>19</v>
      </c>
      <c r="D382" s="33" t="s">
        <v>47</v>
      </c>
      <c r="E382" s="200">
        <v>0</v>
      </c>
      <c r="F382" s="199">
        <v>0</v>
      </c>
      <c r="G382" s="200"/>
      <c r="H382" s="199"/>
      <c r="I382" s="200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5">
      <c r="A383" s="33" t="s">
        <v>138</v>
      </c>
      <c r="B383" s="33" t="s">
        <v>137</v>
      </c>
      <c r="C383" s="33">
        <v>20</v>
      </c>
      <c r="D383" s="33" t="s">
        <v>126</v>
      </c>
      <c r="E383" s="200">
        <v>0</v>
      </c>
      <c r="F383" s="199">
        <v>0</v>
      </c>
      <c r="G383" s="200"/>
      <c r="H383" s="199"/>
      <c r="I383" s="200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5">
      <c r="A384" s="33" t="s">
        <v>138</v>
      </c>
      <c r="B384" s="33" t="s">
        <v>137</v>
      </c>
      <c r="C384" s="33">
        <v>21</v>
      </c>
      <c r="D384" s="33" t="s">
        <v>127</v>
      </c>
      <c r="E384" s="200">
        <v>0</v>
      </c>
      <c r="F384" s="199">
        <v>0</v>
      </c>
      <c r="G384" s="200"/>
      <c r="H384" s="199"/>
      <c r="I384" s="200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5">
      <c r="A385" s="33" t="s">
        <v>138</v>
      </c>
      <c r="B385" s="33" t="s">
        <v>137</v>
      </c>
      <c r="C385" s="33">
        <v>22</v>
      </c>
      <c r="D385" s="33" t="s">
        <v>128</v>
      </c>
      <c r="E385" s="200">
        <v>0</v>
      </c>
      <c r="F385" s="199">
        <v>0</v>
      </c>
      <c r="G385" s="200"/>
      <c r="H385" s="199"/>
      <c r="I385" s="200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5">
      <c r="A386" s="33" t="s">
        <v>138</v>
      </c>
      <c r="B386" s="33" t="s">
        <v>137</v>
      </c>
      <c r="C386" s="33">
        <v>23</v>
      </c>
      <c r="D386" s="33" t="s">
        <v>129</v>
      </c>
      <c r="E386" s="200">
        <v>0</v>
      </c>
      <c r="F386" s="199">
        <v>0</v>
      </c>
      <c r="G386" s="200"/>
      <c r="H386" s="199"/>
      <c r="I386" s="200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5">
      <c r="A387" s="33" t="s">
        <v>138</v>
      </c>
      <c r="B387" s="33" t="s">
        <v>137</v>
      </c>
      <c r="C387" s="33">
        <v>24</v>
      </c>
      <c r="D387" s="33" t="s">
        <v>55</v>
      </c>
      <c r="E387" s="200">
        <v>0</v>
      </c>
      <c r="F387" s="199">
        <v>0</v>
      </c>
      <c r="G387" s="200"/>
      <c r="H387" s="199"/>
      <c r="I387" s="200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5">
      <c r="A388" s="33" t="s">
        <v>138</v>
      </c>
      <c r="B388" s="33" t="s">
        <v>137</v>
      </c>
      <c r="C388" s="33">
        <v>25</v>
      </c>
      <c r="D388" s="33" t="s">
        <v>56</v>
      </c>
      <c r="E388" s="200">
        <v>0</v>
      </c>
      <c r="F388" s="199">
        <v>0</v>
      </c>
      <c r="G388" s="200"/>
      <c r="H388" s="199"/>
      <c r="I388" s="200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5">
      <c r="A389" s="33" t="s">
        <v>138</v>
      </c>
      <c r="B389" s="33" t="s">
        <v>137</v>
      </c>
      <c r="C389" s="33">
        <v>26</v>
      </c>
      <c r="D389" s="33" t="s">
        <v>130</v>
      </c>
      <c r="E389" s="200">
        <v>0</v>
      </c>
      <c r="F389" s="199">
        <v>0</v>
      </c>
      <c r="G389" s="200"/>
      <c r="H389" s="199"/>
      <c r="I389" s="200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5">
      <c r="A390" s="33" t="s">
        <v>138</v>
      </c>
      <c r="B390" s="33" t="s">
        <v>137</v>
      </c>
      <c r="C390" s="33">
        <v>27</v>
      </c>
      <c r="D390" s="33" t="s">
        <v>131</v>
      </c>
      <c r="E390" s="200">
        <v>0</v>
      </c>
      <c r="F390" s="199">
        <v>0</v>
      </c>
      <c r="G390" s="200"/>
      <c r="H390" s="199"/>
      <c r="I390" s="200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5">
      <c r="A391" s="33" t="s">
        <v>138</v>
      </c>
      <c r="B391" s="33" t="s">
        <v>137</v>
      </c>
      <c r="C391" s="33">
        <v>28</v>
      </c>
      <c r="D391" s="33" t="s">
        <v>132</v>
      </c>
      <c r="E391" s="200">
        <v>0</v>
      </c>
      <c r="F391" s="199">
        <v>0</v>
      </c>
      <c r="G391" s="200"/>
      <c r="H391" s="199"/>
      <c r="I391" s="200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5">
      <c r="A392" s="33" t="s">
        <v>138</v>
      </c>
      <c r="B392" s="33" t="s">
        <v>137</v>
      </c>
      <c r="C392" s="33">
        <v>29</v>
      </c>
      <c r="D392" s="33" t="s">
        <v>133</v>
      </c>
      <c r="E392" s="200">
        <v>0</v>
      </c>
      <c r="F392" s="199">
        <v>0</v>
      </c>
      <c r="G392" s="200"/>
      <c r="H392" s="199"/>
      <c r="I392" s="200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5">
      <c r="A393" s="33" t="s">
        <v>138</v>
      </c>
      <c r="B393" s="33" t="s">
        <v>137</v>
      </c>
      <c r="C393" s="33">
        <v>30</v>
      </c>
      <c r="D393" s="33" t="s">
        <v>134</v>
      </c>
      <c r="E393" s="200">
        <v>0</v>
      </c>
      <c r="F393" s="199">
        <v>0</v>
      </c>
      <c r="G393" s="200"/>
      <c r="H393" s="199"/>
      <c r="I393" s="200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5">
      <c r="A394" s="33" t="s">
        <v>138</v>
      </c>
      <c r="B394" s="33" t="s">
        <v>137</v>
      </c>
      <c r="C394" s="33">
        <v>31</v>
      </c>
      <c r="D394" s="33" t="s">
        <v>135</v>
      </c>
      <c r="E394" s="200">
        <v>0</v>
      </c>
      <c r="F394" s="199">
        <v>0</v>
      </c>
      <c r="G394" s="200"/>
      <c r="H394" s="199"/>
      <c r="I394" s="200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5">
      <c r="A395" s="33" t="s">
        <v>138</v>
      </c>
      <c r="B395" s="33" t="s">
        <v>137</v>
      </c>
      <c r="C395" s="33">
        <v>32</v>
      </c>
      <c r="D395" s="33" t="s">
        <v>70</v>
      </c>
      <c r="E395" s="200">
        <v>0</v>
      </c>
      <c r="F395" s="199">
        <v>0</v>
      </c>
      <c r="G395" s="200"/>
      <c r="H395" s="199"/>
      <c r="I395" s="200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5">
      <c r="A396" s="33" t="s">
        <v>138</v>
      </c>
      <c r="B396" s="33" t="s">
        <v>137</v>
      </c>
      <c r="C396" s="33">
        <v>33</v>
      </c>
      <c r="D396" s="33" t="s">
        <v>71</v>
      </c>
      <c r="E396" s="200">
        <v>0</v>
      </c>
      <c r="F396" s="199">
        <v>0</v>
      </c>
      <c r="G396" s="200"/>
      <c r="H396" s="199"/>
      <c r="I396" s="200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5">
      <c r="A397" s="33" t="s">
        <v>138</v>
      </c>
      <c r="B397" s="33" t="s">
        <v>137</v>
      </c>
      <c r="C397" s="33">
        <v>34</v>
      </c>
      <c r="D397" s="33" t="s">
        <v>72</v>
      </c>
      <c r="E397" s="200">
        <v>0</v>
      </c>
      <c r="F397" s="199">
        <v>0</v>
      </c>
      <c r="G397" s="200"/>
      <c r="H397" s="199"/>
      <c r="I397" s="200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5">
      <c r="A398" s="33" t="s">
        <v>138</v>
      </c>
      <c r="B398" s="33" t="s">
        <v>137</v>
      </c>
      <c r="C398" s="33">
        <v>35</v>
      </c>
      <c r="D398" s="33" t="s">
        <v>73</v>
      </c>
      <c r="E398" s="200">
        <v>0</v>
      </c>
      <c r="F398" s="199">
        <v>0</v>
      </c>
      <c r="G398" s="200"/>
      <c r="H398" s="199"/>
      <c r="I398" s="200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5">
      <c r="A399" s="33" t="s">
        <v>138</v>
      </c>
      <c r="B399" s="33" t="s">
        <v>137</v>
      </c>
      <c r="C399" s="33">
        <v>36</v>
      </c>
      <c r="D399" s="33" t="s">
        <v>74</v>
      </c>
      <c r="E399" s="200">
        <v>0</v>
      </c>
      <c r="F399" s="199">
        <v>0</v>
      </c>
      <c r="G399" s="200"/>
      <c r="H399" s="199"/>
      <c r="I399" s="200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5">
      <c r="A400" s="33" t="s">
        <v>138</v>
      </c>
      <c r="B400" s="33" t="s">
        <v>137</v>
      </c>
      <c r="C400" s="33">
        <v>37</v>
      </c>
      <c r="D400" s="33" t="s">
        <v>75</v>
      </c>
      <c r="E400" s="200">
        <v>0</v>
      </c>
      <c r="F400" s="199">
        <v>0</v>
      </c>
      <c r="G400" s="200"/>
      <c r="H400" s="199"/>
      <c r="I400" s="200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5">
      <c r="A401" s="33" t="s">
        <v>138</v>
      </c>
      <c r="B401" s="33" t="s">
        <v>137</v>
      </c>
      <c r="C401" s="33">
        <v>38</v>
      </c>
      <c r="D401" s="33" t="s">
        <v>76</v>
      </c>
      <c r="E401" s="200">
        <v>0</v>
      </c>
      <c r="F401" s="199">
        <v>0</v>
      </c>
      <c r="G401" s="200"/>
      <c r="H401" s="199"/>
      <c r="I401" s="200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5">
      <c r="A402" s="33" t="s">
        <v>138</v>
      </c>
      <c r="B402" s="33" t="s">
        <v>137</v>
      </c>
      <c r="C402" s="33">
        <v>39</v>
      </c>
      <c r="D402" s="33" t="s">
        <v>77</v>
      </c>
      <c r="E402" s="200">
        <v>0</v>
      </c>
      <c r="F402" s="199">
        <v>0</v>
      </c>
      <c r="G402" s="200"/>
      <c r="H402" s="199"/>
      <c r="I402" s="200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5">
      <c r="A403" s="33" t="s">
        <v>138</v>
      </c>
      <c r="B403" s="33" t="s">
        <v>137</v>
      </c>
      <c r="C403" s="33">
        <v>40</v>
      </c>
      <c r="D403" s="33" t="s">
        <v>78</v>
      </c>
      <c r="E403" s="200">
        <v>0</v>
      </c>
      <c r="F403" s="199">
        <v>0</v>
      </c>
      <c r="G403" s="200"/>
      <c r="H403" s="199"/>
      <c r="I403" s="200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5">
      <c r="A404" s="33" t="s">
        <v>138</v>
      </c>
      <c r="B404" s="33" t="s">
        <v>193</v>
      </c>
      <c r="C404" s="33">
        <v>1</v>
      </c>
      <c r="D404" s="33" t="s">
        <v>25</v>
      </c>
      <c r="E404" s="200">
        <v>4331184</v>
      </c>
      <c r="F404" s="199">
        <v>21463137.079999998</v>
      </c>
      <c r="G404" s="200"/>
      <c r="H404" s="199"/>
      <c r="I404" s="200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5">
      <c r="A405" s="33" t="s">
        <v>138</v>
      </c>
      <c r="B405" s="33" t="s">
        <v>193</v>
      </c>
      <c r="C405" s="33">
        <v>2</v>
      </c>
      <c r="D405" s="33" t="s">
        <v>26</v>
      </c>
      <c r="E405" s="200">
        <v>0</v>
      </c>
      <c r="F405" s="199">
        <v>0</v>
      </c>
      <c r="G405" s="200"/>
      <c r="H405" s="199"/>
      <c r="I405" s="200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5">
      <c r="A406" s="33" t="s">
        <v>138</v>
      </c>
      <c r="B406" s="33" t="s">
        <v>193</v>
      </c>
      <c r="C406" s="33">
        <v>3</v>
      </c>
      <c r="D406" s="33" t="s">
        <v>27</v>
      </c>
      <c r="E406" s="200">
        <v>6364383</v>
      </c>
      <c r="F406" s="199">
        <v>27355816</v>
      </c>
      <c r="G406" s="200"/>
      <c r="H406" s="199"/>
      <c r="I406" s="200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5">
      <c r="A407" s="33" t="s">
        <v>138</v>
      </c>
      <c r="B407" s="33" t="s">
        <v>193</v>
      </c>
      <c r="C407" s="33">
        <v>4</v>
      </c>
      <c r="D407" s="33" t="s">
        <v>28</v>
      </c>
      <c r="E407" s="200">
        <v>0</v>
      </c>
      <c r="F407" s="199">
        <v>0</v>
      </c>
      <c r="G407" s="200"/>
      <c r="H407" s="199"/>
      <c r="I407" s="200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5">
      <c r="A408" s="33" t="s">
        <v>138</v>
      </c>
      <c r="B408" s="33" t="s">
        <v>193</v>
      </c>
      <c r="C408" s="33">
        <v>5</v>
      </c>
      <c r="D408" s="33" t="s">
        <v>123</v>
      </c>
      <c r="E408" s="200">
        <v>0</v>
      </c>
      <c r="F408" s="199">
        <v>0</v>
      </c>
      <c r="G408" s="200"/>
      <c r="H408" s="199"/>
      <c r="I408" s="200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5">
      <c r="A409" s="33" t="s">
        <v>138</v>
      </c>
      <c r="B409" s="33" t="s">
        <v>193</v>
      </c>
      <c r="C409" s="33">
        <v>6</v>
      </c>
      <c r="D409" s="33" t="s">
        <v>25</v>
      </c>
      <c r="E409" s="200">
        <v>-852000</v>
      </c>
      <c r="F409" s="199">
        <v>-3137506.64</v>
      </c>
      <c r="G409" s="200"/>
      <c r="H409" s="199"/>
      <c r="I409" s="200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5">
      <c r="A410" s="33" t="s">
        <v>138</v>
      </c>
      <c r="B410" s="33" t="s">
        <v>193</v>
      </c>
      <c r="C410" s="33">
        <v>7</v>
      </c>
      <c r="D410" s="33" t="s">
        <v>26</v>
      </c>
      <c r="E410" s="200">
        <v>0</v>
      </c>
      <c r="F410" s="199">
        <v>0</v>
      </c>
      <c r="G410" s="200"/>
      <c r="H410" s="199"/>
      <c r="I410" s="200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5">
      <c r="A411" s="33" t="s">
        <v>138</v>
      </c>
      <c r="B411" s="33" t="s">
        <v>193</v>
      </c>
      <c r="C411" s="33">
        <v>8</v>
      </c>
      <c r="D411" s="33" t="s">
        <v>27</v>
      </c>
      <c r="E411" s="200">
        <v>-9883001</v>
      </c>
      <c r="F411" s="199">
        <v>-42798908</v>
      </c>
      <c r="G411" s="200"/>
      <c r="H411" s="199"/>
      <c r="I411" s="200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5">
      <c r="A412" s="33" t="s">
        <v>138</v>
      </c>
      <c r="B412" s="33" t="s">
        <v>193</v>
      </c>
      <c r="C412" s="33">
        <v>9</v>
      </c>
      <c r="D412" s="33" t="s">
        <v>28</v>
      </c>
      <c r="E412" s="200">
        <v>0</v>
      </c>
      <c r="F412" s="199">
        <v>0</v>
      </c>
      <c r="G412" s="200"/>
      <c r="H412" s="199"/>
      <c r="I412" s="200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5">
      <c r="A413" s="33" t="s">
        <v>138</v>
      </c>
      <c r="B413" s="33" t="s">
        <v>193</v>
      </c>
      <c r="C413" s="33">
        <v>10</v>
      </c>
      <c r="D413" s="33" t="s">
        <v>32</v>
      </c>
      <c r="E413" s="200">
        <v>0</v>
      </c>
      <c r="F413" s="199">
        <v>0</v>
      </c>
      <c r="G413" s="200"/>
      <c r="H413" s="199"/>
      <c r="I413" s="200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5">
      <c r="A414" s="33" t="s">
        <v>138</v>
      </c>
      <c r="B414" s="33" t="s">
        <v>193</v>
      </c>
      <c r="C414" s="33">
        <v>11</v>
      </c>
      <c r="D414" s="33" t="s">
        <v>35</v>
      </c>
      <c r="E414" s="200">
        <v>0</v>
      </c>
      <c r="F414" s="199">
        <v>0</v>
      </c>
      <c r="G414" s="200"/>
      <c r="H414" s="199"/>
      <c r="I414" s="200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5">
      <c r="A415" s="33" t="s">
        <v>138</v>
      </c>
      <c r="B415" s="33" t="s">
        <v>193</v>
      </c>
      <c r="C415" s="33">
        <v>12</v>
      </c>
      <c r="D415" s="33" t="s">
        <v>36</v>
      </c>
      <c r="E415" s="200">
        <v>0</v>
      </c>
      <c r="F415" s="199">
        <v>0</v>
      </c>
      <c r="G415" s="200"/>
      <c r="H415" s="199"/>
      <c r="I415" s="200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5">
      <c r="A416" s="33" t="s">
        <v>138</v>
      </c>
      <c r="B416" s="33" t="s">
        <v>193</v>
      </c>
      <c r="C416" s="33">
        <v>13</v>
      </c>
      <c r="D416" s="33" t="s">
        <v>39</v>
      </c>
      <c r="E416" s="200">
        <v>0</v>
      </c>
      <c r="F416" s="199">
        <v>0</v>
      </c>
      <c r="G416" s="200"/>
      <c r="H416" s="199"/>
      <c r="I416" s="200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5">
      <c r="A417" s="33" t="s">
        <v>138</v>
      </c>
      <c r="B417" s="33" t="s">
        <v>193</v>
      </c>
      <c r="C417" s="33">
        <v>14</v>
      </c>
      <c r="D417" s="33" t="s">
        <v>40</v>
      </c>
      <c r="E417" s="200">
        <v>0</v>
      </c>
      <c r="F417" s="199">
        <v>0</v>
      </c>
      <c r="G417" s="200"/>
      <c r="H417" s="199"/>
      <c r="I417" s="200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5">
      <c r="A418" s="33" t="s">
        <v>138</v>
      </c>
      <c r="B418" s="33" t="s">
        <v>193</v>
      </c>
      <c r="C418" s="33">
        <v>15</v>
      </c>
      <c r="D418" s="33" t="s">
        <v>41</v>
      </c>
      <c r="E418" s="200">
        <v>0</v>
      </c>
      <c r="F418" s="199">
        <v>0</v>
      </c>
      <c r="G418" s="200"/>
      <c r="H418" s="199"/>
      <c r="I418" s="200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5">
      <c r="A419" s="33" t="s">
        <v>138</v>
      </c>
      <c r="B419" s="33" t="s">
        <v>193</v>
      </c>
      <c r="C419" s="33">
        <v>16</v>
      </c>
      <c r="D419" s="33" t="s">
        <v>42</v>
      </c>
      <c r="E419" s="200">
        <v>0</v>
      </c>
      <c r="F419" s="199">
        <v>0</v>
      </c>
      <c r="G419" s="200"/>
      <c r="H419" s="199"/>
      <c r="I419" s="200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5">
      <c r="A420" s="33" t="s">
        <v>138</v>
      </c>
      <c r="B420" s="33" t="s">
        <v>193</v>
      </c>
      <c r="C420" s="33">
        <v>17</v>
      </c>
      <c r="D420" s="33" t="s">
        <v>124</v>
      </c>
      <c r="E420" s="200">
        <v>0</v>
      </c>
      <c r="F420" s="199">
        <v>0</v>
      </c>
      <c r="G420" s="200"/>
      <c r="H420" s="199"/>
      <c r="I420" s="200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5">
      <c r="A421" s="33" t="s">
        <v>138</v>
      </c>
      <c r="B421" s="33" t="s">
        <v>193</v>
      </c>
      <c r="C421" s="33">
        <v>18</v>
      </c>
      <c r="D421" s="33" t="s">
        <v>125</v>
      </c>
      <c r="E421" s="200">
        <v>0</v>
      </c>
      <c r="F421" s="199">
        <v>0</v>
      </c>
      <c r="G421" s="200"/>
      <c r="H421" s="199"/>
      <c r="I421" s="200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5">
      <c r="A422" s="33" t="s">
        <v>138</v>
      </c>
      <c r="B422" s="33" t="s">
        <v>193</v>
      </c>
      <c r="C422" s="33">
        <v>19</v>
      </c>
      <c r="D422" s="33" t="s">
        <v>47</v>
      </c>
      <c r="E422" s="200">
        <v>0</v>
      </c>
      <c r="F422" s="199">
        <v>0</v>
      </c>
      <c r="G422" s="200"/>
      <c r="H422" s="199"/>
      <c r="I422" s="200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5">
      <c r="A423" s="33" t="s">
        <v>138</v>
      </c>
      <c r="B423" s="33" t="s">
        <v>193</v>
      </c>
      <c r="C423" s="33">
        <v>20</v>
      </c>
      <c r="D423" s="33" t="s">
        <v>126</v>
      </c>
      <c r="E423" s="200">
        <v>0</v>
      </c>
      <c r="F423" s="199">
        <v>0</v>
      </c>
      <c r="G423" s="200"/>
      <c r="H423" s="199"/>
      <c r="I423" s="200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5">
      <c r="A424" s="33" t="s">
        <v>138</v>
      </c>
      <c r="B424" s="33" t="s">
        <v>193</v>
      </c>
      <c r="C424" s="33">
        <v>21</v>
      </c>
      <c r="D424" s="33" t="s">
        <v>127</v>
      </c>
      <c r="E424" s="200">
        <v>0</v>
      </c>
      <c r="F424" s="199">
        <v>0</v>
      </c>
      <c r="G424" s="200"/>
      <c r="H424" s="199"/>
      <c r="I424" s="200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5">
      <c r="A425" s="33" t="s">
        <v>138</v>
      </c>
      <c r="B425" s="33" t="s">
        <v>193</v>
      </c>
      <c r="C425" s="33">
        <v>22</v>
      </c>
      <c r="D425" s="33" t="s">
        <v>128</v>
      </c>
      <c r="E425" s="200">
        <v>39434</v>
      </c>
      <c r="F425" s="199">
        <v>169566.2</v>
      </c>
      <c r="G425" s="200"/>
      <c r="H425" s="199"/>
      <c r="I425" s="200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5">
      <c r="A426" s="33" t="s">
        <v>138</v>
      </c>
      <c r="B426" s="33" t="s">
        <v>193</v>
      </c>
      <c r="C426" s="33">
        <v>23</v>
      </c>
      <c r="D426" s="33" t="s">
        <v>129</v>
      </c>
      <c r="E426" s="200">
        <v>0</v>
      </c>
      <c r="F426" s="199">
        <v>0</v>
      </c>
      <c r="G426" s="200"/>
      <c r="H426" s="199"/>
      <c r="I426" s="200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5">
      <c r="A427" s="33" t="s">
        <v>138</v>
      </c>
      <c r="B427" s="33" t="s">
        <v>193</v>
      </c>
      <c r="C427" s="33">
        <v>24</v>
      </c>
      <c r="D427" s="33" t="s">
        <v>55</v>
      </c>
      <c r="E427" s="200">
        <v>-123500</v>
      </c>
      <c r="F427" s="199">
        <v>-3908.97</v>
      </c>
      <c r="G427" s="200"/>
      <c r="H427" s="199"/>
      <c r="I427" s="200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5">
      <c r="A428" s="33" t="s">
        <v>138</v>
      </c>
      <c r="B428" s="33" t="s">
        <v>193</v>
      </c>
      <c r="C428" s="33">
        <v>25</v>
      </c>
      <c r="D428" s="33" t="s">
        <v>56</v>
      </c>
      <c r="E428" s="200">
        <v>0</v>
      </c>
      <c r="F428" s="199">
        <v>-8200</v>
      </c>
      <c r="G428" s="200"/>
      <c r="H428" s="199"/>
      <c r="I428" s="200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5">
      <c r="A429" s="33" t="s">
        <v>138</v>
      </c>
      <c r="B429" s="33" t="s">
        <v>193</v>
      </c>
      <c r="C429" s="33">
        <v>26</v>
      </c>
      <c r="D429" s="33" t="s">
        <v>130</v>
      </c>
      <c r="E429" s="200">
        <v>0</v>
      </c>
      <c r="F429" s="199">
        <v>0</v>
      </c>
      <c r="G429" s="200"/>
      <c r="H429" s="199"/>
      <c r="I429" s="200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5">
      <c r="A430" s="33" t="s">
        <v>138</v>
      </c>
      <c r="B430" s="33" t="s">
        <v>193</v>
      </c>
      <c r="C430" s="33">
        <v>27</v>
      </c>
      <c r="D430" s="33" t="s">
        <v>131</v>
      </c>
      <c r="E430" s="200">
        <v>0</v>
      </c>
      <c r="F430" s="199">
        <v>0</v>
      </c>
      <c r="G430" s="200"/>
      <c r="H430" s="199"/>
      <c r="I430" s="200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5">
      <c r="A431" s="33" t="s">
        <v>138</v>
      </c>
      <c r="B431" s="33" t="s">
        <v>193</v>
      </c>
      <c r="C431" s="33">
        <v>28</v>
      </c>
      <c r="D431" s="33" t="s">
        <v>132</v>
      </c>
      <c r="E431" s="200">
        <v>0</v>
      </c>
      <c r="F431" s="199">
        <v>0</v>
      </c>
      <c r="G431" s="200"/>
      <c r="H431" s="199"/>
      <c r="I431" s="200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5">
      <c r="A432" s="33" t="s">
        <v>138</v>
      </c>
      <c r="B432" s="33" t="s">
        <v>193</v>
      </c>
      <c r="C432" s="33">
        <v>29</v>
      </c>
      <c r="D432" s="33" t="s">
        <v>133</v>
      </c>
      <c r="E432" s="200">
        <v>0</v>
      </c>
      <c r="F432" s="199">
        <v>0</v>
      </c>
      <c r="G432" s="200"/>
      <c r="H432" s="199"/>
      <c r="I432" s="200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5">
      <c r="A433" s="33" t="s">
        <v>138</v>
      </c>
      <c r="B433" s="33" t="s">
        <v>193</v>
      </c>
      <c r="C433" s="33">
        <v>30</v>
      </c>
      <c r="D433" s="33" t="s">
        <v>134</v>
      </c>
      <c r="E433" s="200">
        <v>0</v>
      </c>
      <c r="F433" s="199">
        <v>0</v>
      </c>
      <c r="G433" s="200"/>
      <c r="H433" s="199"/>
      <c r="I433" s="200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5">
      <c r="A434" s="33" t="s">
        <v>138</v>
      </c>
      <c r="B434" s="33" t="s">
        <v>193</v>
      </c>
      <c r="C434" s="33">
        <v>31</v>
      </c>
      <c r="D434" s="33" t="s">
        <v>135</v>
      </c>
      <c r="E434" s="200">
        <v>0</v>
      </c>
      <c r="F434" s="199">
        <v>0</v>
      </c>
      <c r="G434" s="200"/>
      <c r="H434" s="199"/>
      <c r="I434" s="200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5">
      <c r="A435" s="33" t="s">
        <v>138</v>
      </c>
      <c r="B435" s="33" t="s">
        <v>193</v>
      </c>
      <c r="C435" s="33">
        <v>32</v>
      </c>
      <c r="D435" s="33" t="s">
        <v>70</v>
      </c>
      <c r="E435" s="200">
        <v>0</v>
      </c>
      <c r="F435" s="199">
        <v>0</v>
      </c>
      <c r="G435" s="200"/>
      <c r="H435" s="199"/>
      <c r="I435" s="200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5">
      <c r="A436" s="33" t="s">
        <v>138</v>
      </c>
      <c r="B436" s="33" t="s">
        <v>193</v>
      </c>
      <c r="C436" s="33">
        <v>33</v>
      </c>
      <c r="D436" s="33" t="s">
        <v>71</v>
      </c>
      <c r="E436" s="200">
        <v>0</v>
      </c>
      <c r="F436" s="199">
        <v>0</v>
      </c>
      <c r="G436" s="200"/>
      <c r="H436" s="199"/>
      <c r="I436" s="200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5">
      <c r="A437" s="33" t="s">
        <v>138</v>
      </c>
      <c r="B437" s="33" t="s">
        <v>193</v>
      </c>
      <c r="C437" s="33">
        <v>34</v>
      </c>
      <c r="D437" s="33" t="s">
        <v>72</v>
      </c>
      <c r="E437" s="200">
        <v>0</v>
      </c>
      <c r="F437" s="199">
        <v>0</v>
      </c>
      <c r="G437" s="200"/>
      <c r="H437" s="199"/>
      <c r="I437" s="200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5">
      <c r="A438" s="33" t="s">
        <v>138</v>
      </c>
      <c r="B438" s="33" t="s">
        <v>193</v>
      </c>
      <c r="C438" s="33">
        <v>35</v>
      </c>
      <c r="D438" s="33" t="s">
        <v>73</v>
      </c>
      <c r="E438" s="200">
        <v>0</v>
      </c>
      <c r="F438" s="199">
        <v>0</v>
      </c>
      <c r="G438" s="200"/>
      <c r="H438" s="199"/>
      <c r="I438" s="200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5">
      <c r="A439" s="33" t="s">
        <v>138</v>
      </c>
      <c r="B439" s="33" t="s">
        <v>193</v>
      </c>
      <c r="C439" s="33">
        <v>36</v>
      </c>
      <c r="D439" s="33" t="s">
        <v>74</v>
      </c>
      <c r="E439" s="200">
        <v>0</v>
      </c>
      <c r="F439" s="199">
        <v>0</v>
      </c>
      <c r="G439" s="200"/>
      <c r="H439" s="199"/>
      <c r="I439" s="200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5">
      <c r="A440" s="33" t="s">
        <v>138</v>
      </c>
      <c r="B440" s="33" t="s">
        <v>193</v>
      </c>
      <c r="C440" s="33">
        <v>37</v>
      </c>
      <c r="D440" s="33" t="s">
        <v>75</v>
      </c>
      <c r="E440" s="200">
        <v>0</v>
      </c>
      <c r="F440" s="199">
        <v>0</v>
      </c>
      <c r="G440" s="200"/>
      <c r="H440" s="199"/>
      <c r="I440" s="200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5">
      <c r="A441" s="33" t="s">
        <v>138</v>
      </c>
      <c r="B441" s="33" t="s">
        <v>193</v>
      </c>
      <c r="C441" s="33">
        <v>38</v>
      </c>
      <c r="D441" s="33" t="s">
        <v>76</v>
      </c>
      <c r="E441" s="200">
        <v>0</v>
      </c>
      <c r="F441" s="199">
        <v>0</v>
      </c>
      <c r="G441" s="200"/>
      <c r="H441" s="199"/>
      <c r="I441" s="200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5">
      <c r="A442" s="33" t="s">
        <v>138</v>
      </c>
      <c r="B442" s="33" t="s">
        <v>193</v>
      </c>
      <c r="C442" s="33">
        <v>39</v>
      </c>
      <c r="D442" s="33" t="s">
        <v>77</v>
      </c>
      <c r="E442" s="200">
        <v>0</v>
      </c>
      <c r="F442" s="199">
        <v>0</v>
      </c>
      <c r="G442" s="200"/>
      <c r="H442" s="199"/>
      <c r="I442" s="200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5">
      <c r="A443" s="33" t="s">
        <v>138</v>
      </c>
      <c r="B443" s="33" t="s">
        <v>193</v>
      </c>
      <c r="C443" s="33">
        <v>40</v>
      </c>
      <c r="D443" s="33" t="s">
        <v>78</v>
      </c>
      <c r="E443" s="200">
        <v>0</v>
      </c>
      <c r="F443" s="199">
        <v>0</v>
      </c>
      <c r="G443" s="200"/>
      <c r="H443" s="199"/>
      <c r="I443" s="200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5">
      <c r="A444" s="33" t="s">
        <v>138</v>
      </c>
      <c r="B444" s="33" t="s">
        <v>141</v>
      </c>
      <c r="C444" s="33">
        <v>1</v>
      </c>
      <c r="D444" s="33" t="s">
        <v>25</v>
      </c>
      <c r="E444" s="200">
        <v>15034964</v>
      </c>
      <c r="F444" s="199">
        <v>62442853.840000004</v>
      </c>
      <c r="G444" s="200"/>
      <c r="H444" s="199"/>
      <c r="I444" s="200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5">
      <c r="A445" s="33" t="s">
        <v>138</v>
      </c>
      <c r="B445" s="33" t="s">
        <v>141</v>
      </c>
      <c r="C445" s="33">
        <v>2</v>
      </c>
      <c r="D445" s="33" t="s">
        <v>26</v>
      </c>
      <c r="E445" s="200">
        <v>0</v>
      </c>
      <c r="F445" s="199">
        <v>0</v>
      </c>
      <c r="G445" s="200"/>
      <c r="H445" s="199"/>
      <c r="I445" s="200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5">
      <c r="A446" s="33" t="s">
        <v>138</v>
      </c>
      <c r="B446" s="33" t="s">
        <v>141</v>
      </c>
      <c r="C446" s="33">
        <v>3</v>
      </c>
      <c r="D446" s="33" t="s">
        <v>27</v>
      </c>
      <c r="E446" s="200">
        <v>10189948</v>
      </c>
      <c r="F446" s="199">
        <v>43284349</v>
      </c>
      <c r="G446" s="200"/>
      <c r="H446" s="199"/>
      <c r="I446" s="200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5">
      <c r="A447" s="33" t="s">
        <v>138</v>
      </c>
      <c r="B447" s="33" t="s">
        <v>141</v>
      </c>
      <c r="C447" s="33">
        <v>4</v>
      </c>
      <c r="D447" s="33" t="s">
        <v>28</v>
      </c>
      <c r="E447" s="200">
        <v>0</v>
      </c>
      <c r="F447" s="199">
        <v>0</v>
      </c>
      <c r="G447" s="200"/>
      <c r="H447" s="199"/>
      <c r="I447" s="200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5">
      <c r="A448" s="33" t="s">
        <v>138</v>
      </c>
      <c r="B448" s="33" t="s">
        <v>141</v>
      </c>
      <c r="C448" s="33">
        <v>5</v>
      </c>
      <c r="D448" s="33" t="s">
        <v>123</v>
      </c>
      <c r="E448" s="200">
        <v>0</v>
      </c>
      <c r="F448" s="199">
        <v>1554000</v>
      </c>
      <c r="G448" s="200"/>
      <c r="H448" s="199"/>
      <c r="I448" s="200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5">
      <c r="A449" s="33" t="s">
        <v>138</v>
      </c>
      <c r="B449" s="33" t="s">
        <v>141</v>
      </c>
      <c r="C449" s="33">
        <v>6</v>
      </c>
      <c r="D449" s="33" t="s">
        <v>25</v>
      </c>
      <c r="E449" s="200">
        <v>-7962551</v>
      </c>
      <c r="F449" s="199">
        <v>-33244105.52</v>
      </c>
      <c r="G449" s="200"/>
      <c r="H449" s="199"/>
      <c r="I449" s="200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5">
      <c r="A450" s="33" t="s">
        <v>138</v>
      </c>
      <c r="B450" s="33" t="s">
        <v>141</v>
      </c>
      <c r="C450" s="33">
        <v>7</v>
      </c>
      <c r="D450" s="33" t="s">
        <v>26</v>
      </c>
      <c r="E450" s="200">
        <v>0</v>
      </c>
      <c r="F450" s="199">
        <v>0</v>
      </c>
      <c r="G450" s="200"/>
      <c r="H450" s="199"/>
      <c r="I450" s="200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5">
      <c r="A451" s="33" t="s">
        <v>138</v>
      </c>
      <c r="B451" s="33" t="s">
        <v>141</v>
      </c>
      <c r="C451" s="33">
        <v>8</v>
      </c>
      <c r="D451" s="33" t="s">
        <v>27</v>
      </c>
      <c r="E451" s="200">
        <v>-10189948</v>
      </c>
      <c r="F451" s="199">
        <v>-43284349</v>
      </c>
      <c r="G451" s="200"/>
      <c r="H451" s="199"/>
      <c r="I451" s="200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5">
      <c r="A452" s="33" t="s">
        <v>138</v>
      </c>
      <c r="B452" s="33" t="s">
        <v>141</v>
      </c>
      <c r="C452" s="33">
        <v>9</v>
      </c>
      <c r="D452" s="33" t="s">
        <v>28</v>
      </c>
      <c r="E452" s="200">
        <v>0</v>
      </c>
      <c r="F452" s="199">
        <v>0</v>
      </c>
      <c r="G452" s="200"/>
      <c r="H452" s="199"/>
      <c r="I452" s="200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5">
      <c r="A453" s="33" t="s">
        <v>138</v>
      </c>
      <c r="B453" s="33" t="s">
        <v>141</v>
      </c>
      <c r="C453" s="33">
        <v>10</v>
      </c>
      <c r="D453" s="33" t="s">
        <v>32</v>
      </c>
      <c r="E453" s="200">
        <v>12541</v>
      </c>
      <c r="F453" s="199">
        <v>53713.103000000003</v>
      </c>
      <c r="G453" s="200"/>
      <c r="H453" s="199"/>
      <c r="I453" s="200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5">
      <c r="A454" s="33" t="s">
        <v>138</v>
      </c>
      <c r="B454" s="33" t="s">
        <v>141</v>
      </c>
      <c r="C454" s="33">
        <v>11</v>
      </c>
      <c r="D454" s="33" t="s">
        <v>35</v>
      </c>
      <c r="E454" s="200">
        <v>11718416</v>
      </c>
      <c r="F454" s="199">
        <v>50214070.700000003</v>
      </c>
      <c r="G454" s="200"/>
      <c r="H454" s="199"/>
      <c r="I454" s="200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5">
      <c r="A455" s="33" t="s">
        <v>138</v>
      </c>
      <c r="B455" s="33" t="s">
        <v>141</v>
      </c>
      <c r="C455" s="33">
        <v>12</v>
      </c>
      <c r="D455" s="33" t="s">
        <v>36</v>
      </c>
      <c r="E455" s="200">
        <v>-12619803</v>
      </c>
      <c r="F455" s="199">
        <v>-54182409.409999996</v>
      </c>
      <c r="G455" s="200"/>
      <c r="H455" s="199"/>
      <c r="I455" s="200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5">
      <c r="A456" s="33" t="s">
        <v>138</v>
      </c>
      <c r="B456" s="33" t="s">
        <v>141</v>
      </c>
      <c r="C456" s="33">
        <v>13</v>
      </c>
      <c r="D456" s="33" t="s">
        <v>39</v>
      </c>
      <c r="E456" s="200">
        <v>-5948543</v>
      </c>
      <c r="F456" s="199">
        <v>-25477609.669</v>
      </c>
      <c r="G456" s="200"/>
      <c r="H456" s="199"/>
      <c r="I456" s="200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5">
      <c r="A457" s="33" t="s">
        <v>138</v>
      </c>
      <c r="B457" s="33" t="s">
        <v>141</v>
      </c>
      <c r="C457" s="33">
        <v>14</v>
      </c>
      <c r="D457" s="33" t="s">
        <v>40</v>
      </c>
      <c r="E457" s="200">
        <v>0</v>
      </c>
      <c r="F457" s="199">
        <v>0</v>
      </c>
      <c r="G457" s="200"/>
      <c r="H457" s="199"/>
      <c r="I457" s="200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5">
      <c r="A458" s="33" t="s">
        <v>138</v>
      </c>
      <c r="B458" s="33" t="s">
        <v>141</v>
      </c>
      <c r="C458" s="33">
        <v>15</v>
      </c>
      <c r="D458" s="33" t="s">
        <v>41</v>
      </c>
      <c r="E458" s="200">
        <v>0</v>
      </c>
      <c r="F458" s="199">
        <v>0</v>
      </c>
      <c r="G458" s="200"/>
      <c r="H458" s="199"/>
      <c r="I458" s="200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5">
      <c r="A459" s="33" t="s">
        <v>138</v>
      </c>
      <c r="B459" s="33" t="s">
        <v>141</v>
      </c>
      <c r="C459" s="33">
        <v>16</v>
      </c>
      <c r="D459" s="33" t="s">
        <v>42</v>
      </c>
      <c r="E459" s="200">
        <v>0</v>
      </c>
      <c r="F459" s="199">
        <v>0</v>
      </c>
      <c r="G459" s="200"/>
      <c r="H459" s="199"/>
      <c r="I459" s="200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5">
      <c r="A460" s="33" t="s">
        <v>138</v>
      </c>
      <c r="B460" s="33" t="s">
        <v>141</v>
      </c>
      <c r="C460" s="33">
        <v>17</v>
      </c>
      <c r="D460" s="33" t="s">
        <v>124</v>
      </c>
      <c r="E460" s="200">
        <v>-31402</v>
      </c>
      <c r="F460" s="199">
        <v>-0.01</v>
      </c>
      <c r="G460" s="200"/>
      <c r="H460" s="199"/>
      <c r="I460" s="200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5">
      <c r="A461" s="33" t="s">
        <v>138</v>
      </c>
      <c r="B461" s="33" t="s">
        <v>141</v>
      </c>
      <c r="C461" s="33">
        <v>18</v>
      </c>
      <c r="D461" s="33" t="s">
        <v>125</v>
      </c>
      <c r="E461" s="200">
        <v>-40000</v>
      </c>
      <c r="F461" s="199">
        <v>-90381.79</v>
      </c>
      <c r="G461" s="200"/>
      <c r="H461" s="199"/>
      <c r="I461" s="200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5">
      <c r="A462" s="33" t="s">
        <v>138</v>
      </c>
      <c r="B462" s="33" t="s">
        <v>141</v>
      </c>
      <c r="C462" s="33">
        <v>19</v>
      </c>
      <c r="D462" s="33" t="s">
        <v>47</v>
      </c>
      <c r="E462" s="200">
        <v>0</v>
      </c>
      <c r="F462" s="199">
        <v>0</v>
      </c>
      <c r="G462" s="200"/>
      <c r="H462" s="199"/>
      <c r="I462" s="200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5">
      <c r="A463" s="33" t="s">
        <v>138</v>
      </c>
      <c r="B463" s="33" t="s">
        <v>141</v>
      </c>
      <c r="C463" s="33">
        <v>20</v>
      </c>
      <c r="D463" s="33" t="s">
        <v>126</v>
      </c>
      <c r="E463" s="200">
        <v>0</v>
      </c>
      <c r="F463" s="199">
        <v>0</v>
      </c>
      <c r="G463" s="200"/>
      <c r="H463" s="199"/>
      <c r="I463" s="200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5">
      <c r="A464" s="33" t="s">
        <v>138</v>
      </c>
      <c r="B464" s="33" t="s">
        <v>141</v>
      </c>
      <c r="C464" s="33">
        <v>21</v>
      </c>
      <c r="D464" s="33" t="s">
        <v>127</v>
      </c>
      <c r="E464" s="200">
        <v>0</v>
      </c>
      <c r="F464" s="199">
        <v>0</v>
      </c>
      <c r="G464" s="200"/>
      <c r="H464" s="199"/>
      <c r="I464" s="200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5">
      <c r="A465" s="33" t="s">
        <v>138</v>
      </c>
      <c r="B465" s="33" t="s">
        <v>141</v>
      </c>
      <c r="C465" s="33">
        <v>22</v>
      </c>
      <c r="D465" s="33" t="s">
        <v>128</v>
      </c>
      <c r="E465" s="200">
        <v>-163622</v>
      </c>
      <c r="F465" s="199">
        <v>-700793.02599999995</v>
      </c>
      <c r="G465" s="200"/>
      <c r="H465" s="199"/>
      <c r="I465" s="200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5">
      <c r="A466" s="33" t="s">
        <v>138</v>
      </c>
      <c r="B466" s="33" t="s">
        <v>141</v>
      </c>
      <c r="C466" s="33">
        <v>23</v>
      </c>
      <c r="D466" s="33" t="s">
        <v>129</v>
      </c>
      <c r="E466" s="200">
        <v>-12541</v>
      </c>
      <c r="F466" s="199">
        <v>-53713.103000000003</v>
      </c>
      <c r="G466" s="200"/>
      <c r="H466" s="199"/>
      <c r="I466" s="200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5">
      <c r="A467" s="33" t="s">
        <v>138</v>
      </c>
      <c r="B467" s="33" t="s">
        <v>141</v>
      </c>
      <c r="C467" s="33">
        <v>24</v>
      </c>
      <c r="D467" s="33" t="s">
        <v>55</v>
      </c>
      <c r="E467" s="200">
        <v>-15438557</v>
      </c>
      <c r="F467" s="199">
        <v>-276381.89</v>
      </c>
      <c r="G467" s="200"/>
      <c r="H467" s="199"/>
      <c r="I467" s="200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5">
      <c r="A468" s="33" t="s">
        <v>138</v>
      </c>
      <c r="B468" s="33" t="s">
        <v>141</v>
      </c>
      <c r="C468" s="33">
        <v>25</v>
      </c>
      <c r="D468" s="33" t="s">
        <v>56</v>
      </c>
      <c r="E468" s="200">
        <v>0</v>
      </c>
      <c r="F468" s="199">
        <v>-160800</v>
      </c>
      <c r="G468" s="200"/>
      <c r="H468" s="199"/>
      <c r="I468" s="200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5">
      <c r="A469" s="33" t="s">
        <v>138</v>
      </c>
      <c r="B469" s="33" t="s">
        <v>141</v>
      </c>
      <c r="C469" s="33">
        <v>26</v>
      </c>
      <c r="D469" s="33" t="s">
        <v>130</v>
      </c>
      <c r="E469" s="200">
        <v>0</v>
      </c>
      <c r="F469" s="199">
        <v>0</v>
      </c>
      <c r="G469" s="200"/>
      <c r="H469" s="199"/>
      <c r="I469" s="200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5">
      <c r="A470" s="33" t="s">
        <v>138</v>
      </c>
      <c r="B470" s="33" t="s">
        <v>141</v>
      </c>
      <c r="C470" s="33">
        <v>27</v>
      </c>
      <c r="D470" s="33" t="s">
        <v>131</v>
      </c>
      <c r="E470" s="200">
        <v>0</v>
      </c>
      <c r="F470" s="199">
        <v>0</v>
      </c>
      <c r="G470" s="200"/>
      <c r="H470" s="199"/>
      <c r="I470" s="200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5">
      <c r="A471" s="33" t="s">
        <v>138</v>
      </c>
      <c r="B471" s="33" t="s">
        <v>141</v>
      </c>
      <c r="C471" s="33">
        <v>28</v>
      </c>
      <c r="D471" s="33" t="s">
        <v>132</v>
      </c>
      <c r="E471" s="200">
        <v>0</v>
      </c>
      <c r="F471" s="199">
        <v>0</v>
      </c>
      <c r="G471" s="200"/>
      <c r="H471" s="199"/>
      <c r="I471" s="200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5">
      <c r="A472" s="33" t="s">
        <v>138</v>
      </c>
      <c r="B472" s="33" t="s">
        <v>141</v>
      </c>
      <c r="C472" s="33">
        <v>29</v>
      </c>
      <c r="D472" s="33" t="s">
        <v>133</v>
      </c>
      <c r="E472" s="200">
        <v>0</v>
      </c>
      <c r="F472" s="199">
        <v>0</v>
      </c>
      <c r="G472" s="200"/>
      <c r="H472" s="199"/>
      <c r="I472" s="200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5">
      <c r="A473" s="33" t="s">
        <v>138</v>
      </c>
      <c r="B473" s="33" t="s">
        <v>141</v>
      </c>
      <c r="C473" s="33">
        <v>30</v>
      </c>
      <c r="D473" s="33" t="s">
        <v>134</v>
      </c>
      <c r="E473" s="200">
        <v>0</v>
      </c>
      <c r="F473" s="199">
        <v>0</v>
      </c>
      <c r="G473" s="200"/>
      <c r="H473" s="199"/>
      <c r="I473" s="200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5">
      <c r="A474" s="33" t="s">
        <v>138</v>
      </c>
      <c r="B474" s="33" t="s">
        <v>141</v>
      </c>
      <c r="C474" s="33">
        <v>31</v>
      </c>
      <c r="D474" s="33" t="s">
        <v>135</v>
      </c>
      <c r="E474" s="200">
        <v>0</v>
      </c>
      <c r="F474" s="199">
        <v>0</v>
      </c>
      <c r="G474" s="200"/>
      <c r="H474" s="199"/>
      <c r="I474" s="200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5">
      <c r="A475" s="33" t="s">
        <v>138</v>
      </c>
      <c r="B475" s="33" t="s">
        <v>141</v>
      </c>
      <c r="C475" s="33">
        <v>32</v>
      </c>
      <c r="D475" s="33" t="s">
        <v>70</v>
      </c>
      <c r="E475" s="200">
        <v>0</v>
      </c>
      <c r="F475" s="199">
        <v>0</v>
      </c>
      <c r="G475" s="200"/>
      <c r="H475" s="199"/>
      <c r="I475" s="200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5">
      <c r="A476" s="33" t="s">
        <v>138</v>
      </c>
      <c r="B476" s="33" t="s">
        <v>141</v>
      </c>
      <c r="C476" s="33">
        <v>33</v>
      </c>
      <c r="D476" s="33" t="s">
        <v>71</v>
      </c>
      <c r="E476" s="200">
        <v>0</v>
      </c>
      <c r="F476" s="199">
        <v>0</v>
      </c>
      <c r="G476" s="200"/>
      <c r="H476" s="199"/>
      <c r="I476" s="200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5">
      <c r="A477" s="33" t="s">
        <v>138</v>
      </c>
      <c r="B477" s="33" t="s">
        <v>141</v>
      </c>
      <c r="C477" s="33">
        <v>34</v>
      </c>
      <c r="D477" s="33" t="s">
        <v>72</v>
      </c>
      <c r="E477" s="200">
        <v>0</v>
      </c>
      <c r="F477" s="199">
        <v>0</v>
      </c>
      <c r="G477" s="200"/>
      <c r="H477" s="199"/>
      <c r="I477" s="200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5">
      <c r="A478" s="33" t="s">
        <v>138</v>
      </c>
      <c r="B478" s="33" t="s">
        <v>141</v>
      </c>
      <c r="C478" s="33">
        <v>35</v>
      </c>
      <c r="D478" s="33" t="s">
        <v>73</v>
      </c>
      <c r="E478" s="200">
        <v>0</v>
      </c>
      <c r="F478" s="199">
        <v>0</v>
      </c>
      <c r="G478" s="200"/>
      <c r="H478" s="199"/>
      <c r="I478" s="200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5">
      <c r="A479" s="33" t="s">
        <v>138</v>
      </c>
      <c r="B479" s="33" t="s">
        <v>141</v>
      </c>
      <c r="C479" s="33">
        <v>36</v>
      </c>
      <c r="D479" s="33" t="s">
        <v>74</v>
      </c>
      <c r="E479" s="200">
        <v>0</v>
      </c>
      <c r="F479" s="199">
        <v>0</v>
      </c>
      <c r="G479" s="200"/>
      <c r="H479" s="199"/>
      <c r="I479" s="200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5">
      <c r="A480" s="33" t="s">
        <v>138</v>
      </c>
      <c r="B480" s="33" t="s">
        <v>141</v>
      </c>
      <c r="C480" s="33">
        <v>37</v>
      </c>
      <c r="D480" s="33" t="s">
        <v>75</v>
      </c>
      <c r="E480" s="200">
        <v>0</v>
      </c>
      <c r="F480" s="199">
        <v>0</v>
      </c>
      <c r="G480" s="200"/>
      <c r="H480" s="199"/>
      <c r="I480" s="200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5">
      <c r="A481" s="33" t="s">
        <v>138</v>
      </c>
      <c r="B481" s="33" t="s">
        <v>141</v>
      </c>
      <c r="C481" s="33">
        <v>38</v>
      </c>
      <c r="D481" s="33" t="s">
        <v>76</v>
      </c>
      <c r="E481" s="200">
        <v>0</v>
      </c>
      <c r="F481" s="199">
        <v>0</v>
      </c>
      <c r="G481" s="200"/>
      <c r="H481" s="199"/>
      <c r="I481" s="200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5">
      <c r="A482" s="33" t="s">
        <v>138</v>
      </c>
      <c r="B482" s="33" t="s">
        <v>141</v>
      </c>
      <c r="C482" s="33">
        <v>39</v>
      </c>
      <c r="D482" s="33" t="s">
        <v>77</v>
      </c>
      <c r="E482" s="200">
        <v>0</v>
      </c>
      <c r="F482" s="199">
        <v>0</v>
      </c>
      <c r="G482" s="200"/>
      <c r="H482" s="199"/>
      <c r="I482" s="200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5">
      <c r="A483" s="33" t="s">
        <v>138</v>
      </c>
      <c r="B483" s="33" t="s">
        <v>141</v>
      </c>
      <c r="C483" s="33">
        <v>40</v>
      </c>
      <c r="D483" s="33" t="s">
        <v>78</v>
      </c>
      <c r="E483" s="200">
        <v>0</v>
      </c>
      <c r="F483" s="199">
        <v>0</v>
      </c>
      <c r="G483" s="200"/>
      <c r="H483" s="199"/>
      <c r="I483" s="200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5">
      <c r="A484" s="33" t="s">
        <v>138</v>
      </c>
      <c r="B484" s="33" t="s">
        <v>142</v>
      </c>
      <c r="C484" s="33">
        <v>1</v>
      </c>
      <c r="D484" s="33" t="s">
        <v>25</v>
      </c>
      <c r="E484" s="200">
        <v>58220784</v>
      </c>
      <c r="F484" s="199">
        <v>238781329.09</v>
      </c>
      <c r="G484" s="200"/>
      <c r="H484" s="199"/>
      <c r="I484" s="200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5">
      <c r="A485" s="33" t="s">
        <v>138</v>
      </c>
      <c r="B485" s="33" t="s">
        <v>142</v>
      </c>
      <c r="C485" s="33">
        <v>2</v>
      </c>
      <c r="D485" s="33" t="s">
        <v>26</v>
      </c>
      <c r="E485" s="200">
        <v>0</v>
      </c>
      <c r="F485" s="199">
        <v>0</v>
      </c>
      <c r="G485" s="200"/>
      <c r="H485" s="199"/>
      <c r="I485" s="200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5">
      <c r="A486" s="33" t="s">
        <v>138</v>
      </c>
      <c r="B486" s="33" t="s">
        <v>142</v>
      </c>
      <c r="C486" s="33">
        <v>3</v>
      </c>
      <c r="D486" s="33" t="s">
        <v>27</v>
      </c>
      <c r="E486" s="200">
        <v>12953024</v>
      </c>
      <c r="F486" s="199">
        <v>54506391</v>
      </c>
      <c r="G486" s="200"/>
      <c r="H486" s="199"/>
      <c r="I486" s="200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5">
      <c r="A487" s="33" t="s">
        <v>138</v>
      </c>
      <c r="B487" s="33" t="s">
        <v>142</v>
      </c>
      <c r="C487" s="33">
        <v>4</v>
      </c>
      <c r="D487" s="33" t="s">
        <v>28</v>
      </c>
      <c r="E487" s="200">
        <v>0</v>
      </c>
      <c r="F487" s="199">
        <v>0</v>
      </c>
      <c r="G487" s="200"/>
      <c r="H487" s="199"/>
      <c r="I487" s="200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5">
      <c r="A488" s="33" t="s">
        <v>138</v>
      </c>
      <c r="B488" s="33" t="s">
        <v>142</v>
      </c>
      <c r="C488" s="33">
        <v>5</v>
      </c>
      <c r="D488" s="33" t="s">
        <v>123</v>
      </c>
      <c r="E488" s="200">
        <v>0</v>
      </c>
      <c r="F488" s="199">
        <v>1155193.02</v>
      </c>
      <c r="G488" s="200"/>
      <c r="H488" s="199"/>
      <c r="I488" s="200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5">
      <c r="A489" s="33" t="s">
        <v>138</v>
      </c>
      <c r="B489" s="33" t="s">
        <v>142</v>
      </c>
      <c r="C489" s="33">
        <v>6</v>
      </c>
      <c r="D489" s="33" t="s">
        <v>25</v>
      </c>
      <c r="E489" s="200">
        <v>-59170839</v>
      </c>
      <c r="F489" s="199">
        <v>-234049221.96000001</v>
      </c>
      <c r="G489" s="200"/>
      <c r="H489" s="199"/>
      <c r="I489" s="200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5">
      <c r="A490" s="33" t="s">
        <v>138</v>
      </c>
      <c r="B490" s="33" t="s">
        <v>142</v>
      </c>
      <c r="C490" s="33">
        <v>7</v>
      </c>
      <c r="D490" s="33" t="s">
        <v>26</v>
      </c>
      <c r="E490" s="200">
        <v>0</v>
      </c>
      <c r="F490" s="199">
        <v>0</v>
      </c>
      <c r="G490" s="200"/>
      <c r="H490" s="199"/>
      <c r="I490" s="200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5">
      <c r="A491" s="33" t="s">
        <v>138</v>
      </c>
      <c r="B491" s="33" t="s">
        <v>142</v>
      </c>
      <c r="C491" s="33">
        <v>8</v>
      </c>
      <c r="D491" s="33" t="s">
        <v>27</v>
      </c>
      <c r="E491" s="200">
        <v>-17092428</v>
      </c>
      <c r="F491" s="199">
        <v>-70353933</v>
      </c>
      <c r="G491" s="200"/>
      <c r="H491" s="199"/>
      <c r="I491" s="200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5">
      <c r="A492" s="33" t="s">
        <v>138</v>
      </c>
      <c r="B492" s="33" t="s">
        <v>142</v>
      </c>
      <c r="C492" s="33">
        <v>9</v>
      </c>
      <c r="D492" s="33" t="s">
        <v>28</v>
      </c>
      <c r="E492" s="200">
        <v>0</v>
      </c>
      <c r="F492" s="199">
        <v>0</v>
      </c>
      <c r="G492" s="200"/>
      <c r="H492" s="199"/>
      <c r="I492" s="200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5">
      <c r="A493" s="33" t="s">
        <v>138</v>
      </c>
      <c r="B493" s="33" t="s">
        <v>142</v>
      </c>
      <c r="C493" s="33">
        <v>10</v>
      </c>
      <c r="D493" s="33" t="s">
        <v>32</v>
      </c>
      <c r="E493" s="200">
        <v>311279</v>
      </c>
      <c r="F493" s="199">
        <v>1244493.442</v>
      </c>
      <c r="G493" s="200"/>
      <c r="H493" s="199"/>
      <c r="I493" s="200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5">
      <c r="A494" s="33" t="s">
        <v>138</v>
      </c>
      <c r="B494" s="33" t="s">
        <v>142</v>
      </c>
      <c r="C494" s="33">
        <v>11</v>
      </c>
      <c r="D494" s="33" t="s">
        <v>35</v>
      </c>
      <c r="E494" s="200">
        <v>1146590</v>
      </c>
      <c r="F494" s="199">
        <v>4791616.13</v>
      </c>
      <c r="G494" s="200"/>
      <c r="H494" s="199"/>
      <c r="I494" s="200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5">
      <c r="A495" s="33" t="s">
        <v>138</v>
      </c>
      <c r="B495" s="33" t="s">
        <v>142</v>
      </c>
      <c r="C495" s="33">
        <v>12</v>
      </c>
      <c r="D495" s="33" t="s">
        <v>36</v>
      </c>
      <c r="E495" s="200">
        <v>0</v>
      </c>
      <c r="F495" s="199">
        <v>0</v>
      </c>
      <c r="G495" s="200"/>
      <c r="H495" s="199"/>
      <c r="I495" s="200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5">
      <c r="A496" s="33" t="s">
        <v>138</v>
      </c>
      <c r="B496" s="33" t="s">
        <v>142</v>
      </c>
      <c r="C496" s="33">
        <v>13</v>
      </c>
      <c r="D496" s="33" t="s">
        <v>39</v>
      </c>
      <c r="E496" s="200">
        <v>-75629</v>
      </c>
      <c r="F496" s="199">
        <v>-302364.74200000003</v>
      </c>
      <c r="G496" s="200"/>
      <c r="H496" s="199"/>
      <c r="I496" s="200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5">
      <c r="A497" s="33" t="s">
        <v>138</v>
      </c>
      <c r="B497" s="33" t="s">
        <v>142</v>
      </c>
      <c r="C497" s="33">
        <v>14</v>
      </c>
      <c r="D497" s="33" t="s">
        <v>40</v>
      </c>
      <c r="E497" s="200">
        <v>0</v>
      </c>
      <c r="F497" s="199">
        <v>0</v>
      </c>
      <c r="G497" s="200"/>
      <c r="H497" s="199"/>
      <c r="I497" s="200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5">
      <c r="A498" s="33" t="s">
        <v>138</v>
      </c>
      <c r="B498" s="33" t="s">
        <v>142</v>
      </c>
      <c r="C498" s="33">
        <v>15</v>
      </c>
      <c r="D498" s="33" t="s">
        <v>41</v>
      </c>
      <c r="E498" s="200">
        <v>0</v>
      </c>
      <c r="F498" s="199">
        <v>0</v>
      </c>
      <c r="G498" s="200"/>
      <c r="H498" s="199"/>
      <c r="I498" s="200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5">
      <c r="A499" s="33" t="s">
        <v>138</v>
      </c>
      <c r="B499" s="33" t="s">
        <v>142</v>
      </c>
      <c r="C499" s="33">
        <v>16</v>
      </c>
      <c r="D499" s="33" t="s">
        <v>42</v>
      </c>
      <c r="E499" s="200">
        <v>0</v>
      </c>
      <c r="F499" s="199">
        <v>0</v>
      </c>
      <c r="G499" s="200"/>
      <c r="H499" s="199"/>
      <c r="I499" s="200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5">
      <c r="A500" s="33" t="s">
        <v>138</v>
      </c>
      <c r="B500" s="33" t="s">
        <v>142</v>
      </c>
      <c r="C500" s="33">
        <v>17</v>
      </c>
      <c r="D500" s="33" t="s">
        <v>124</v>
      </c>
      <c r="E500" s="200">
        <v>112413</v>
      </c>
      <c r="F500" s="199">
        <v>347426.21</v>
      </c>
      <c r="G500" s="200"/>
      <c r="H500" s="199"/>
      <c r="I500" s="200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5">
      <c r="A501" s="33" t="s">
        <v>138</v>
      </c>
      <c r="B501" s="33" t="s">
        <v>142</v>
      </c>
      <c r="C501" s="33">
        <v>18</v>
      </c>
      <c r="D501" s="33" t="s">
        <v>125</v>
      </c>
      <c r="E501" s="200">
        <v>-3009</v>
      </c>
      <c r="F501" s="199">
        <v>-0.01</v>
      </c>
      <c r="G501" s="200"/>
      <c r="H501" s="199"/>
      <c r="I501" s="200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5">
      <c r="A502" s="33" t="s">
        <v>138</v>
      </c>
      <c r="B502" s="33" t="s">
        <v>142</v>
      </c>
      <c r="C502" s="33">
        <v>19</v>
      </c>
      <c r="D502" s="33" t="s">
        <v>47</v>
      </c>
      <c r="E502" s="200">
        <v>0</v>
      </c>
      <c r="F502" s="199">
        <v>0</v>
      </c>
      <c r="G502" s="200"/>
      <c r="H502" s="199"/>
      <c r="I502" s="200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5">
      <c r="A503" s="33" t="s">
        <v>138</v>
      </c>
      <c r="B503" s="33" t="s">
        <v>142</v>
      </c>
      <c r="C503" s="33">
        <v>20</v>
      </c>
      <c r="D503" s="33" t="s">
        <v>126</v>
      </c>
      <c r="E503" s="200">
        <v>0</v>
      </c>
      <c r="F503" s="199">
        <v>0</v>
      </c>
      <c r="G503" s="200"/>
      <c r="H503" s="199"/>
      <c r="I503" s="200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5">
      <c r="A504" s="33" t="s">
        <v>138</v>
      </c>
      <c r="B504" s="33" t="s">
        <v>142</v>
      </c>
      <c r="C504" s="33">
        <v>21</v>
      </c>
      <c r="D504" s="33" t="s">
        <v>127</v>
      </c>
      <c r="E504" s="200">
        <v>0</v>
      </c>
      <c r="F504" s="199">
        <v>0</v>
      </c>
      <c r="G504" s="200"/>
      <c r="H504" s="199"/>
      <c r="I504" s="200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5">
      <c r="A505" s="33" t="s">
        <v>138</v>
      </c>
      <c r="B505" s="33" t="s">
        <v>142</v>
      </c>
      <c r="C505" s="33">
        <v>22</v>
      </c>
      <c r="D505" s="33" t="s">
        <v>128</v>
      </c>
      <c r="E505" s="200">
        <v>3597815</v>
      </c>
      <c r="F505" s="199">
        <v>14384064.369999999</v>
      </c>
      <c r="G505" s="200"/>
      <c r="H505" s="199"/>
      <c r="I505" s="200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5">
      <c r="A506" s="33" t="s">
        <v>138</v>
      </c>
      <c r="B506" s="33" t="s">
        <v>142</v>
      </c>
      <c r="C506" s="33">
        <v>23</v>
      </c>
      <c r="D506" s="33" t="s">
        <v>129</v>
      </c>
      <c r="E506" s="200">
        <v>-311279</v>
      </c>
      <c r="F506" s="199">
        <v>-1244493.442</v>
      </c>
      <c r="G506" s="200"/>
      <c r="H506" s="199"/>
      <c r="I506" s="200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5">
      <c r="A507" s="33" t="s">
        <v>138</v>
      </c>
      <c r="B507" s="33" t="s">
        <v>142</v>
      </c>
      <c r="C507" s="33">
        <v>24</v>
      </c>
      <c r="D507" s="33" t="s">
        <v>55</v>
      </c>
      <c r="E507" s="200">
        <v>-23155744</v>
      </c>
      <c r="F507" s="199">
        <v>-708542.32</v>
      </c>
      <c r="G507" s="200"/>
      <c r="H507" s="199"/>
      <c r="I507" s="200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5">
      <c r="A508" s="33" t="s">
        <v>138</v>
      </c>
      <c r="B508" s="33" t="s">
        <v>142</v>
      </c>
      <c r="C508" s="33">
        <v>25</v>
      </c>
      <c r="D508" s="33" t="s">
        <v>56</v>
      </c>
      <c r="E508" s="200">
        <v>0</v>
      </c>
      <c r="F508" s="199">
        <v>-2523582.58</v>
      </c>
      <c r="G508" s="200"/>
      <c r="H508" s="199"/>
      <c r="I508" s="200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5">
      <c r="A509" s="33" t="s">
        <v>138</v>
      </c>
      <c r="B509" s="33" t="s">
        <v>142</v>
      </c>
      <c r="C509" s="33">
        <v>26</v>
      </c>
      <c r="D509" s="33" t="s">
        <v>130</v>
      </c>
      <c r="E509" s="200">
        <v>0</v>
      </c>
      <c r="F509" s="199">
        <v>0</v>
      </c>
      <c r="G509" s="200"/>
      <c r="H509" s="199"/>
      <c r="I509" s="200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5">
      <c r="A510" s="33" t="s">
        <v>138</v>
      </c>
      <c r="B510" s="33" t="s">
        <v>142</v>
      </c>
      <c r="C510" s="33">
        <v>27</v>
      </c>
      <c r="D510" s="33" t="s">
        <v>131</v>
      </c>
      <c r="E510" s="200">
        <v>0</v>
      </c>
      <c r="F510" s="199">
        <v>0</v>
      </c>
      <c r="G510" s="200"/>
      <c r="H510" s="199"/>
      <c r="I510" s="200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5">
      <c r="A511" s="33" t="s">
        <v>138</v>
      </c>
      <c r="B511" s="33" t="s">
        <v>142</v>
      </c>
      <c r="C511" s="33">
        <v>28</v>
      </c>
      <c r="D511" s="33" t="s">
        <v>132</v>
      </c>
      <c r="E511" s="200">
        <v>0</v>
      </c>
      <c r="F511" s="199">
        <v>0</v>
      </c>
      <c r="G511" s="200"/>
      <c r="H511" s="199"/>
      <c r="I511" s="200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5">
      <c r="A512" s="33" t="s">
        <v>138</v>
      </c>
      <c r="B512" s="33" t="s">
        <v>142</v>
      </c>
      <c r="C512" s="33">
        <v>29</v>
      </c>
      <c r="D512" s="33" t="s">
        <v>133</v>
      </c>
      <c r="E512" s="200">
        <v>0</v>
      </c>
      <c r="F512" s="199">
        <v>0</v>
      </c>
      <c r="G512" s="200"/>
      <c r="H512" s="199"/>
      <c r="I512" s="200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5">
      <c r="A513" s="33" t="s">
        <v>138</v>
      </c>
      <c r="B513" s="33" t="s">
        <v>142</v>
      </c>
      <c r="C513" s="33">
        <v>30</v>
      </c>
      <c r="D513" s="33" t="s">
        <v>134</v>
      </c>
      <c r="E513" s="200">
        <v>0</v>
      </c>
      <c r="F513" s="199">
        <v>0</v>
      </c>
      <c r="G513" s="200"/>
      <c r="H513" s="199"/>
      <c r="I513" s="200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5">
      <c r="A514" s="33" t="s">
        <v>138</v>
      </c>
      <c r="B514" s="33" t="s">
        <v>142</v>
      </c>
      <c r="C514" s="33">
        <v>31</v>
      </c>
      <c r="D514" s="33" t="s">
        <v>135</v>
      </c>
      <c r="E514" s="200">
        <v>0</v>
      </c>
      <c r="F514" s="199">
        <v>0</v>
      </c>
      <c r="G514" s="200"/>
      <c r="H514" s="199"/>
      <c r="I514" s="200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5">
      <c r="A515" s="33" t="s">
        <v>138</v>
      </c>
      <c r="B515" s="33" t="s">
        <v>142</v>
      </c>
      <c r="C515" s="33">
        <v>32</v>
      </c>
      <c r="D515" s="33" t="s">
        <v>70</v>
      </c>
      <c r="E515" s="200">
        <v>0</v>
      </c>
      <c r="F515" s="199">
        <v>0</v>
      </c>
      <c r="G515" s="200"/>
      <c r="H515" s="199"/>
      <c r="I515" s="200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5">
      <c r="A516" s="33" t="s">
        <v>138</v>
      </c>
      <c r="B516" s="33" t="s">
        <v>142</v>
      </c>
      <c r="C516" s="33">
        <v>33</v>
      </c>
      <c r="D516" s="33" t="s">
        <v>71</v>
      </c>
      <c r="E516" s="200">
        <v>0</v>
      </c>
      <c r="F516" s="199">
        <v>0</v>
      </c>
      <c r="G516" s="200"/>
      <c r="H516" s="199"/>
      <c r="I516" s="200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5">
      <c r="A517" s="33" t="s">
        <v>138</v>
      </c>
      <c r="B517" s="33" t="s">
        <v>142</v>
      </c>
      <c r="C517" s="33">
        <v>34</v>
      </c>
      <c r="D517" s="33" t="s">
        <v>72</v>
      </c>
      <c r="E517" s="200">
        <v>0</v>
      </c>
      <c r="F517" s="199">
        <v>0</v>
      </c>
      <c r="G517" s="200"/>
      <c r="H517" s="199"/>
      <c r="I517" s="200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5">
      <c r="A518" s="33" t="s">
        <v>138</v>
      </c>
      <c r="B518" s="33" t="s">
        <v>142</v>
      </c>
      <c r="C518" s="33">
        <v>35</v>
      </c>
      <c r="D518" s="33" t="s">
        <v>73</v>
      </c>
      <c r="E518" s="200">
        <v>0</v>
      </c>
      <c r="F518" s="199">
        <v>-31067.98</v>
      </c>
      <c r="G518" s="200"/>
      <c r="H518" s="199"/>
      <c r="I518" s="200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5">
      <c r="A519" s="33" t="s">
        <v>138</v>
      </c>
      <c r="B519" s="33" t="s">
        <v>142</v>
      </c>
      <c r="C519" s="33">
        <v>36</v>
      </c>
      <c r="D519" s="33" t="s">
        <v>74</v>
      </c>
      <c r="E519" s="200">
        <v>0</v>
      </c>
      <c r="F519" s="199">
        <v>0</v>
      </c>
      <c r="G519" s="200"/>
      <c r="H519" s="199"/>
      <c r="I519" s="200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5">
      <c r="A520" s="33" t="s">
        <v>138</v>
      </c>
      <c r="B520" s="33" t="s">
        <v>142</v>
      </c>
      <c r="C520" s="33">
        <v>37</v>
      </c>
      <c r="D520" s="33" t="s">
        <v>75</v>
      </c>
      <c r="E520" s="200">
        <v>0</v>
      </c>
      <c r="F520" s="199">
        <v>0</v>
      </c>
      <c r="G520" s="200"/>
      <c r="H520" s="199"/>
      <c r="I520" s="200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5">
      <c r="A521" s="33" t="s">
        <v>138</v>
      </c>
      <c r="B521" s="33" t="s">
        <v>142</v>
      </c>
      <c r="C521" s="33">
        <v>38</v>
      </c>
      <c r="D521" s="33" t="s">
        <v>76</v>
      </c>
      <c r="E521" s="200">
        <v>0</v>
      </c>
      <c r="F521" s="199">
        <v>0</v>
      </c>
      <c r="G521" s="200"/>
      <c r="H521" s="199"/>
      <c r="I521" s="200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5">
      <c r="A522" s="33" t="s">
        <v>138</v>
      </c>
      <c r="B522" s="33" t="s">
        <v>142</v>
      </c>
      <c r="C522" s="33">
        <v>39</v>
      </c>
      <c r="D522" s="33" t="s">
        <v>77</v>
      </c>
      <c r="E522" s="200">
        <v>0</v>
      </c>
      <c r="F522" s="199">
        <v>0</v>
      </c>
      <c r="G522" s="200"/>
      <c r="H522" s="199"/>
      <c r="I522" s="200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5">
      <c r="A523" s="33" t="s">
        <v>138</v>
      </c>
      <c r="B523" s="33" t="s">
        <v>142</v>
      </c>
      <c r="C523" s="33">
        <v>40</v>
      </c>
      <c r="D523" s="33" t="s">
        <v>78</v>
      </c>
      <c r="E523" s="200">
        <v>0</v>
      </c>
      <c r="F523" s="199">
        <v>7142.86</v>
      </c>
      <c r="G523" s="200"/>
      <c r="H523" s="199"/>
      <c r="I523" s="200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5">
      <c r="A524" s="33" t="s">
        <v>143</v>
      </c>
      <c r="B524" s="33" t="s">
        <v>144</v>
      </c>
      <c r="C524" s="33">
        <v>1</v>
      </c>
      <c r="D524" s="33" t="s">
        <v>25</v>
      </c>
      <c r="E524" s="200">
        <v>0</v>
      </c>
      <c r="F524" s="199">
        <v>0</v>
      </c>
      <c r="G524" s="200"/>
      <c r="H524" s="199"/>
      <c r="I524" s="200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5">
      <c r="A525" s="33" t="s">
        <v>143</v>
      </c>
      <c r="B525" s="33" t="s">
        <v>144</v>
      </c>
      <c r="C525" s="33">
        <v>2</v>
      </c>
      <c r="D525" s="33" t="s">
        <v>26</v>
      </c>
      <c r="E525" s="200">
        <v>0</v>
      </c>
      <c r="F525" s="199">
        <v>0</v>
      </c>
      <c r="G525" s="200"/>
      <c r="H525" s="199"/>
      <c r="I525" s="200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5">
      <c r="A526" s="33" t="s">
        <v>143</v>
      </c>
      <c r="B526" s="33" t="s">
        <v>144</v>
      </c>
      <c r="C526" s="33">
        <v>3</v>
      </c>
      <c r="D526" s="33" t="s">
        <v>27</v>
      </c>
      <c r="E526" s="200">
        <v>0</v>
      </c>
      <c r="F526" s="199">
        <v>0</v>
      </c>
      <c r="G526" s="200"/>
      <c r="H526" s="199"/>
      <c r="I526" s="200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5">
      <c r="A527" s="33" t="s">
        <v>143</v>
      </c>
      <c r="B527" s="33" t="s">
        <v>144</v>
      </c>
      <c r="C527" s="33">
        <v>4</v>
      </c>
      <c r="D527" s="33" t="s">
        <v>28</v>
      </c>
      <c r="E527" s="200">
        <v>0</v>
      </c>
      <c r="F527" s="199">
        <v>0</v>
      </c>
      <c r="G527" s="200"/>
      <c r="H527" s="199"/>
      <c r="I527" s="200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5">
      <c r="A528" s="33" t="s">
        <v>143</v>
      </c>
      <c r="B528" s="33" t="s">
        <v>144</v>
      </c>
      <c r="C528" s="33">
        <v>5</v>
      </c>
      <c r="D528" s="33" t="s">
        <v>123</v>
      </c>
      <c r="E528" s="200">
        <v>0</v>
      </c>
      <c r="F528" s="199">
        <v>0</v>
      </c>
      <c r="G528" s="200"/>
      <c r="H528" s="199"/>
      <c r="I528" s="200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5">
      <c r="A529" s="33" t="s">
        <v>143</v>
      </c>
      <c r="B529" s="33" t="s">
        <v>144</v>
      </c>
      <c r="C529" s="33">
        <v>6</v>
      </c>
      <c r="D529" s="33" t="s">
        <v>25</v>
      </c>
      <c r="E529" s="200">
        <v>0</v>
      </c>
      <c r="F529" s="199">
        <v>0</v>
      </c>
      <c r="G529" s="200"/>
      <c r="H529" s="199"/>
      <c r="I529" s="200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5">
      <c r="A530" s="33" t="s">
        <v>143</v>
      </c>
      <c r="B530" s="33" t="s">
        <v>144</v>
      </c>
      <c r="C530" s="33">
        <v>7</v>
      </c>
      <c r="D530" s="33" t="s">
        <v>26</v>
      </c>
      <c r="E530" s="200">
        <v>0</v>
      </c>
      <c r="F530" s="199">
        <v>0</v>
      </c>
      <c r="G530" s="200"/>
      <c r="H530" s="199"/>
      <c r="I530" s="200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5">
      <c r="A531" s="33" t="s">
        <v>143</v>
      </c>
      <c r="B531" s="33" t="s">
        <v>144</v>
      </c>
      <c r="C531" s="33">
        <v>8</v>
      </c>
      <c r="D531" s="33" t="s">
        <v>27</v>
      </c>
      <c r="E531" s="200">
        <v>0</v>
      </c>
      <c r="F531" s="199">
        <v>0</v>
      </c>
      <c r="G531" s="200"/>
      <c r="H531" s="199"/>
      <c r="I531" s="200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5">
      <c r="A532" s="33" t="s">
        <v>143</v>
      </c>
      <c r="B532" s="33" t="s">
        <v>144</v>
      </c>
      <c r="C532" s="33">
        <v>9</v>
      </c>
      <c r="D532" s="33" t="s">
        <v>28</v>
      </c>
      <c r="E532" s="200">
        <v>0</v>
      </c>
      <c r="F532" s="199">
        <v>0</v>
      </c>
      <c r="G532" s="200"/>
      <c r="H532" s="199"/>
      <c r="I532" s="200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5">
      <c r="A533" s="33" t="s">
        <v>143</v>
      </c>
      <c r="B533" s="33" t="s">
        <v>144</v>
      </c>
      <c r="C533" s="33">
        <v>10</v>
      </c>
      <c r="D533" s="33" t="s">
        <v>32</v>
      </c>
      <c r="E533" s="200">
        <v>0</v>
      </c>
      <c r="F533" s="199">
        <v>0</v>
      </c>
      <c r="G533" s="200"/>
      <c r="H533" s="199"/>
      <c r="I533" s="200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5">
      <c r="A534" s="33" t="s">
        <v>143</v>
      </c>
      <c r="B534" s="33" t="s">
        <v>144</v>
      </c>
      <c r="C534" s="33">
        <v>11</v>
      </c>
      <c r="D534" s="33" t="s">
        <v>35</v>
      </c>
      <c r="E534" s="200">
        <v>0</v>
      </c>
      <c r="F534" s="199">
        <v>0</v>
      </c>
      <c r="G534" s="200"/>
      <c r="H534" s="199"/>
      <c r="I534" s="200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5">
      <c r="A535" s="33" t="s">
        <v>143</v>
      </c>
      <c r="B535" s="33" t="s">
        <v>144</v>
      </c>
      <c r="C535" s="33">
        <v>12</v>
      </c>
      <c r="D535" s="33" t="s">
        <v>36</v>
      </c>
      <c r="E535" s="200">
        <v>0</v>
      </c>
      <c r="F535" s="199">
        <v>0</v>
      </c>
      <c r="G535" s="200"/>
      <c r="H535" s="199"/>
      <c r="I535" s="200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5">
      <c r="A536" s="33" t="s">
        <v>143</v>
      </c>
      <c r="B536" s="33" t="s">
        <v>144</v>
      </c>
      <c r="C536" s="33">
        <v>13</v>
      </c>
      <c r="D536" s="33" t="s">
        <v>39</v>
      </c>
      <c r="E536" s="200">
        <v>0</v>
      </c>
      <c r="F536" s="199">
        <v>0</v>
      </c>
      <c r="G536" s="200"/>
      <c r="H536" s="199"/>
      <c r="I536" s="200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5">
      <c r="A537" s="33" t="s">
        <v>143</v>
      </c>
      <c r="B537" s="33" t="s">
        <v>144</v>
      </c>
      <c r="C537" s="33">
        <v>14</v>
      </c>
      <c r="D537" s="33" t="s">
        <v>40</v>
      </c>
      <c r="E537" s="200">
        <v>0</v>
      </c>
      <c r="F537" s="199">
        <v>0</v>
      </c>
      <c r="G537" s="200"/>
      <c r="H537" s="199"/>
      <c r="I537" s="200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5">
      <c r="A538" s="33" t="s">
        <v>143</v>
      </c>
      <c r="B538" s="33" t="s">
        <v>144</v>
      </c>
      <c r="C538" s="33">
        <v>15</v>
      </c>
      <c r="D538" s="33" t="s">
        <v>41</v>
      </c>
      <c r="E538" s="200">
        <v>0</v>
      </c>
      <c r="F538" s="199">
        <v>0</v>
      </c>
      <c r="G538" s="200"/>
      <c r="H538" s="199"/>
      <c r="I538" s="200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5">
      <c r="A539" s="33" t="s">
        <v>143</v>
      </c>
      <c r="B539" s="33" t="s">
        <v>144</v>
      </c>
      <c r="C539" s="33">
        <v>16</v>
      </c>
      <c r="D539" s="33" t="s">
        <v>42</v>
      </c>
      <c r="E539" s="200">
        <v>0</v>
      </c>
      <c r="F539" s="199">
        <v>0</v>
      </c>
      <c r="G539" s="200"/>
      <c r="H539" s="199"/>
      <c r="I539" s="200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5">
      <c r="A540" s="33" t="s">
        <v>143</v>
      </c>
      <c r="B540" s="33" t="s">
        <v>144</v>
      </c>
      <c r="C540" s="33">
        <v>17</v>
      </c>
      <c r="D540" s="33" t="s">
        <v>124</v>
      </c>
      <c r="E540" s="200">
        <v>0</v>
      </c>
      <c r="F540" s="199">
        <v>0</v>
      </c>
      <c r="G540" s="200"/>
      <c r="H540" s="199"/>
      <c r="I540" s="200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5">
      <c r="A541" s="33" t="s">
        <v>143</v>
      </c>
      <c r="B541" s="33" t="s">
        <v>144</v>
      </c>
      <c r="C541" s="33">
        <v>18</v>
      </c>
      <c r="D541" s="33" t="s">
        <v>125</v>
      </c>
      <c r="E541" s="200">
        <v>0</v>
      </c>
      <c r="F541" s="199">
        <v>0</v>
      </c>
      <c r="G541" s="200"/>
      <c r="H541" s="199"/>
      <c r="I541" s="200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5">
      <c r="A542" s="33" t="s">
        <v>143</v>
      </c>
      <c r="B542" s="33" t="s">
        <v>144</v>
      </c>
      <c r="C542" s="33">
        <v>19</v>
      </c>
      <c r="D542" s="33" t="s">
        <v>47</v>
      </c>
      <c r="E542" s="200">
        <v>0</v>
      </c>
      <c r="F542" s="199">
        <v>0</v>
      </c>
      <c r="G542" s="200"/>
      <c r="H542" s="199"/>
      <c r="I542" s="200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5">
      <c r="A543" s="33" t="s">
        <v>143</v>
      </c>
      <c r="B543" s="33" t="s">
        <v>144</v>
      </c>
      <c r="C543" s="33">
        <v>20</v>
      </c>
      <c r="D543" s="33" t="s">
        <v>126</v>
      </c>
      <c r="E543" s="200">
        <v>0</v>
      </c>
      <c r="F543" s="199">
        <v>0</v>
      </c>
      <c r="G543" s="200"/>
      <c r="H543" s="199"/>
      <c r="I543" s="200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5">
      <c r="A544" s="33" t="s">
        <v>143</v>
      </c>
      <c r="B544" s="33" t="s">
        <v>144</v>
      </c>
      <c r="C544" s="33">
        <v>21</v>
      </c>
      <c r="D544" s="33" t="s">
        <v>127</v>
      </c>
      <c r="E544" s="200">
        <v>0</v>
      </c>
      <c r="F544" s="199">
        <v>0</v>
      </c>
      <c r="G544" s="200"/>
      <c r="H544" s="199"/>
      <c r="I544" s="200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5">
      <c r="A545" s="33" t="s">
        <v>143</v>
      </c>
      <c r="B545" s="33" t="s">
        <v>144</v>
      </c>
      <c r="C545" s="33">
        <v>22</v>
      </c>
      <c r="D545" s="33" t="s">
        <v>128</v>
      </c>
      <c r="E545" s="200">
        <v>0</v>
      </c>
      <c r="F545" s="199">
        <v>0</v>
      </c>
      <c r="G545" s="200"/>
      <c r="H545" s="199"/>
      <c r="I545" s="200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5">
      <c r="A546" s="33" t="s">
        <v>143</v>
      </c>
      <c r="B546" s="33" t="s">
        <v>144</v>
      </c>
      <c r="C546" s="33">
        <v>23</v>
      </c>
      <c r="D546" s="33" t="s">
        <v>129</v>
      </c>
      <c r="E546" s="200">
        <v>0</v>
      </c>
      <c r="F546" s="199">
        <v>0</v>
      </c>
      <c r="G546" s="200"/>
      <c r="H546" s="199"/>
      <c r="I546" s="200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5">
      <c r="A547" s="33" t="s">
        <v>143</v>
      </c>
      <c r="B547" s="33" t="s">
        <v>144</v>
      </c>
      <c r="C547" s="33">
        <v>24</v>
      </c>
      <c r="D547" s="33" t="s">
        <v>55</v>
      </c>
      <c r="E547" s="200">
        <v>0</v>
      </c>
      <c r="F547" s="199">
        <v>0</v>
      </c>
      <c r="G547" s="200"/>
      <c r="H547" s="199"/>
      <c r="I547" s="200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5">
      <c r="A548" s="33" t="s">
        <v>143</v>
      </c>
      <c r="B548" s="33" t="s">
        <v>144</v>
      </c>
      <c r="C548" s="33">
        <v>25</v>
      </c>
      <c r="D548" s="33" t="s">
        <v>56</v>
      </c>
      <c r="E548" s="200">
        <v>0</v>
      </c>
      <c r="F548" s="199">
        <v>0</v>
      </c>
      <c r="G548" s="200"/>
      <c r="H548" s="199"/>
      <c r="I548" s="200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5">
      <c r="A549" s="33" t="s">
        <v>143</v>
      </c>
      <c r="B549" s="33" t="s">
        <v>144</v>
      </c>
      <c r="C549" s="33">
        <v>26</v>
      </c>
      <c r="D549" s="33" t="s">
        <v>130</v>
      </c>
      <c r="E549" s="200">
        <v>0</v>
      </c>
      <c r="F549" s="199">
        <v>0</v>
      </c>
      <c r="G549" s="200"/>
      <c r="H549" s="199"/>
      <c r="I549" s="200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5">
      <c r="A550" s="33" t="s">
        <v>143</v>
      </c>
      <c r="B550" s="33" t="s">
        <v>144</v>
      </c>
      <c r="C550" s="33">
        <v>27</v>
      </c>
      <c r="D550" s="33" t="s">
        <v>131</v>
      </c>
      <c r="E550" s="200">
        <v>0</v>
      </c>
      <c r="F550" s="199">
        <v>0</v>
      </c>
      <c r="G550" s="200"/>
      <c r="H550" s="199"/>
      <c r="I550" s="200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5">
      <c r="A551" s="33" t="s">
        <v>143</v>
      </c>
      <c r="B551" s="33" t="s">
        <v>144</v>
      </c>
      <c r="C551" s="33">
        <v>28</v>
      </c>
      <c r="D551" s="33" t="s">
        <v>132</v>
      </c>
      <c r="E551" s="200">
        <v>0</v>
      </c>
      <c r="F551" s="199">
        <v>0</v>
      </c>
      <c r="G551" s="200"/>
      <c r="H551" s="199"/>
      <c r="I551" s="200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5">
      <c r="A552" s="33" t="s">
        <v>143</v>
      </c>
      <c r="B552" s="33" t="s">
        <v>144</v>
      </c>
      <c r="C552" s="33">
        <v>29</v>
      </c>
      <c r="D552" s="33" t="s">
        <v>133</v>
      </c>
      <c r="E552" s="200">
        <v>0</v>
      </c>
      <c r="F552" s="199">
        <v>0</v>
      </c>
      <c r="G552" s="200"/>
      <c r="H552" s="199"/>
      <c r="I552" s="200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5">
      <c r="A553" s="33" t="s">
        <v>143</v>
      </c>
      <c r="B553" s="33" t="s">
        <v>144</v>
      </c>
      <c r="C553" s="33">
        <v>30</v>
      </c>
      <c r="D553" s="33" t="s">
        <v>134</v>
      </c>
      <c r="E553" s="200">
        <v>0</v>
      </c>
      <c r="F553" s="199">
        <v>0</v>
      </c>
      <c r="G553" s="200"/>
      <c r="H553" s="199"/>
      <c r="I553" s="200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5">
      <c r="A554" s="33" t="s">
        <v>143</v>
      </c>
      <c r="B554" s="33" t="s">
        <v>144</v>
      </c>
      <c r="C554" s="33">
        <v>31</v>
      </c>
      <c r="D554" s="33" t="s">
        <v>135</v>
      </c>
      <c r="E554" s="200">
        <v>0</v>
      </c>
      <c r="F554" s="199">
        <v>0</v>
      </c>
      <c r="G554" s="200"/>
      <c r="H554" s="199"/>
      <c r="I554" s="200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5">
      <c r="A555" s="33" t="s">
        <v>143</v>
      </c>
      <c r="B555" s="33" t="s">
        <v>144</v>
      </c>
      <c r="C555" s="33">
        <v>32</v>
      </c>
      <c r="D555" s="33" t="s">
        <v>70</v>
      </c>
      <c r="E555" s="200">
        <v>0</v>
      </c>
      <c r="F555" s="199">
        <v>0</v>
      </c>
      <c r="G555" s="200"/>
      <c r="H555" s="199"/>
      <c r="I555" s="200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5">
      <c r="A556" s="33" t="s">
        <v>143</v>
      </c>
      <c r="B556" s="33" t="s">
        <v>144</v>
      </c>
      <c r="C556" s="33">
        <v>33</v>
      </c>
      <c r="D556" s="33" t="s">
        <v>71</v>
      </c>
      <c r="E556" s="200">
        <v>0</v>
      </c>
      <c r="F556" s="199">
        <v>0</v>
      </c>
      <c r="G556" s="200"/>
      <c r="H556" s="199"/>
      <c r="I556" s="200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5">
      <c r="A557" s="33" t="s">
        <v>143</v>
      </c>
      <c r="B557" s="33" t="s">
        <v>144</v>
      </c>
      <c r="C557" s="33">
        <v>34</v>
      </c>
      <c r="D557" s="33" t="s">
        <v>72</v>
      </c>
      <c r="E557" s="200">
        <v>0</v>
      </c>
      <c r="F557" s="199">
        <v>0</v>
      </c>
      <c r="G557" s="200"/>
      <c r="H557" s="199"/>
      <c r="I557" s="200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5">
      <c r="A558" s="33" t="s">
        <v>143</v>
      </c>
      <c r="B558" s="33" t="s">
        <v>144</v>
      </c>
      <c r="C558" s="33">
        <v>35</v>
      </c>
      <c r="D558" s="33" t="s">
        <v>73</v>
      </c>
      <c r="E558" s="200">
        <v>0</v>
      </c>
      <c r="F558" s="199">
        <v>0</v>
      </c>
      <c r="G558" s="200"/>
      <c r="H558" s="199"/>
      <c r="I558" s="200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5">
      <c r="A559" s="33" t="s">
        <v>143</v>
      </c>
      <c r="B559" s="33" t="s">
        <v>144</v>
      </c>
      <c r="C559" s="33">
        <v>36</v>
      </c>
      <c r="D559" s="33" t="s">
        <v>74</v>
      </c>
      <c r="E559" s="200">
        <v>0</v>
      </c>
      <c r="F559" s="199">
        <v>0</v>
      </c>
      <c r="G559" s="200"/>
      <c r="H559" s="199"/>
      <c r="I559" s="200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5">
      <c r="A560" s="33" t="s">
        <v>143</v>
      </c>
      <c r="B560" s="33" t="s">
        <v>144</v>
      </c>
      <c r="C560" s="33">
        <v>37</v>
      </c>
      <c r="D560" s="33" t="s">
        <v>75</v>
      </c>
      <c r="E560" s="200">
        <v>0</v>
      </c>
      <c r="F560" s="199">
        <v>0</v>
      </c>
      <c r="G560" s="200"/>
      <c r="H560" s="199"/>
      <c r="I560" s="200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5">
      <c r="A561" s="33" t="s">
        <v>143</v>
      </c>
      <c r="B561" s="33" t="s">
        <v>144</v>
      </c>
      <c r="C561" s="33">
        <v>38</v>
      </c>
      <c r="D561" s="33" t="s">
        <v>76</v>
      </c>
      <c r="E561" s="200">
        <v>0</v>
      </c>
      <c r="F561" s="199">
        <v>0</v>
      </c>
      <c r="G561" s="200"/>
      <c r="H561" s="199"/>
      <c r="I561" s="200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5">
      <c r="A562" s="33" t="s">
        <v>143</v>
      </c>
      <c r="B562" s="33" t="s">
        <v>144</v>
      </c>
      <c r="C562" s="33">
        <v>39</v>
      </c>
      <c r="D562" s="33" t="s">
        <v>77</v>
      </c>
      <c r="E562" s="200">
        <v>0</v>
      </c>
      <c r="F562" s="199">
        <v>0</v>
      </c>
      <c r="G562" s="200"/>
      <c r="H562" s="199"/>
      <c r="I562" s="200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5">
      <c r="A563" s="33" t="s">
        <v>143</v>
      </c>
      <c r="B563" s="33" t="s">
        <v>144</v>
      </c>
      <c r="C563" s="33">
        <v>40</v>
      </c>
      <c r="D563" s="33" t="s">
        <v>78</v>
      </c>
      <c r="E563" s="200">
        <v>0</v>
      </c>
      <c r="F563" s="199">
        <v>0</v>
      </c>
      <c r="G563" s="200"/>
      <c r="H563" s="199"/>
      <c r="I563" s="200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5">
      <c r="A564" s="33" t="s">
        <v>145</v>
      </c>
      <c r="B564" s="33" t="s">
        <v>146</v>
      </c>
      <c r="C564" s="33">
        <v>1</v>
      </c>
      <c r="D564" s="33" t="s">
        <v>25</v>
      </c>
      <c r="E564" s="200">
        <v>0</v>
      </c>
      <c r="F564" s="199">
        <v>0</v>
      </c>
      <c r="G564" s="200"/>
      <c r="H564" s="199"/>
      <c r="I564" s="200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5">
      <c r="A565" s="33" t="s">
        <v>145</v>
      </c>
      <c r="B565" s="33" t="s">
        <v>146</v>
      </c>
      <c r="C565" s="33">
        <v>2</v>
      </c>
      <c r="D565" s="33" t="s">
        <v>26</v>
      </c>
      <c r="E565" s="200">
        <v>0</v>
      </c>
      <c r="F565" s="199">
        <v>0</v>
      </c>
      <c r="G565" s="200"/>
      <c r="H565" s="199"/>
      <c r="I565" s="200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5">
      <c r="A566" s="33" t="s">
        <v>145</v>
      </c>
      <c r="B566" s="33" t="s">
        <v>146</v>
      </c>
      <c r="C566" s="33">
        <v>3</v>
      </c>
      <c r="D566" s="33" t="s">
        <v>27</v>
      </c>
      <c r="E566" s="200">
        <v>0</v>
      </c>
      <c r="F566" s="199">
        <v>0</v>
      </c>
      <c r="G566" s="200"/>
      <c r="H566" s="199"/>
      <c r="I566" s="200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5">
      <c r="A567" s="33" t="s">
        <v>145</v>
      </c>
      <c r="B567" s="33" t="s">
        <v>146</v>
      </c>
      <c r="C567" s="33">
        <v>4</v>
      </c>
      <c r="D567" s="33" t="s">
        <v>28</v>
      </c>
      <c r="E567" s="200">
        <v>0</v>
      </c>
      <c r="F567" s="199">
        <v>0</v>
      </c>
      <c r="G567" s="200"/>
      <c r="H567" s="199"/>
      <c r="I567" s="200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5">
      <c r="A568" s="33" t="s">
        <v>145</v>
      </c>
      <c r="B568" s="33" t="s">
        <v>146</v>
      </c>
      <c r="C568" s="33">
        <v>5</v>
      </c>
      <c r="D568" s="33" t="s">
        <v>123</v>
      </c>
      <c r="E568" s="200">
        <v>0</v>
      </c>
      <c r="F568" s="199">
        <v>0</v>
      </c>
      <c r="G568" s="200"/>
      <c r="H568" s="199"/>
      <c r="I568" s="200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5">
      <c r="A569" s="33" t="s">
        <v>145</v>
      </c>
      <c r="B569" s="33" t="s">
        <v>146</v>
      </c>
      <c r="C569" s="33">
        <v>6</v>
      </c>
      <c r="D569" s="33" t="s">
        <v>25</v>
      </c>
      <c r="E569" s="200">
        <v>0</v>
      </c>
      <c r="F569" s="199">
        <v>0</v>
      </c>
      <c r="G569" s="200"/>
      <c r="H569" s="199"/>
      <c r="I569" s="200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5">
      <c r="A570" s="33" t="s">
        <v>145</v>
      </c>
      <c r="B570" s="33" t="s">
        <v>146</v>
      </c>
      <c r="C570" s="33">
        <v>7</v>
      </c>
      <c r="D570" s="33" t="s">
        <v>26</v>
      </c>
      <c r="E570" s="201">
        <v>0</v>
      </c>
      <c r="F570" s="33">
        <v>0</v>
      </c>
    </row>
    <row r="571" spans="1:118" x14ac:dyDescent="0.25">
      <c r="A571" s="33" t="s">
        <v>145</v>
      </c>
      <c r="B571" s="33" t="s">
        <v>146</v>
      </c>
      <c r="C571" s="33">
        <v>8</v>
      </c>
      <c r="D571" s="33" t="s">
        <v>27</v>
      </c>
      <c r="E571" s="201">
        <v>0</v>
      </c>
      <c r="F571" s="33">
        <v>0</v>
      </c>
    </row>
    <row r="572" spans="1:118" x14ac:dyDescent="0.25">
      <c r="A572" s="33" t="s">
        <v>145</v>
      </c>
      <c r="B572" s="33" t="s">
        <v>146</v>
      </c>
      <c r="C572" s="33">
        <v>9</v>
      </c>
      <c r="D572" s="33" t="s">
        <v>28</v>
      </c>
      <c r="E572" s="201">
        <v>0</v>
      </c>
      <c r="F572" s="33">
        <v>0</v>
      </c>
    </row>
    <row r="573" spans="1:118" x14ac:dyDescent="0.25">
      <c r="A573" s="33" t="s">
        <v>145</v>
      </c>
      <c r="B573" s="33" t="s">
        <v>146</v>
      </c>
      <c r="C573" s="33">
        <v>10</v>
      </c>
      <c r="D573" s="33" t="s">
        <v>32</v>
      </c>
      <c r="E573" s="201">
        <v>0</v>
      </c>
      <c r="F573" s="33">
        <v>0</v>
      </c>
    </row>
    <row r="574" spans="1:118" x14ac:dyDescent="0.25">
      <c r="A574" s="33" t="s">
        <v>145</v>
      </c>
      <c r="B574" s="33" t="s">
        <v>146</v>
      </c>
      <c r="C574" s="33">
        <v>11</v>
      </c>
      <c r="D574" s="33" t="s">
        <v>35</v>
      </c>
      <c r="E574" s="201">
        <v>0</v>
      </c>
      <c r="F574" s="33">
        <v>0</v>
      </c>
    </row>
    <row r="575" spans="1:118" x14ac:dyDescent="0.25">
      <c r="A575" s="33" t="s">
        <v>145</v>
      </c>
      <c r="B575" s="33" t="s">
        <v>146</v>
      </c>
      <c r="C575" s="33">
        <v>12</v>
      </c>
      <c r="D575" s="33" t="s">
        <v>36</v>
      </c>
      <c r="E575" s="201">
        <v>0</v>
      </c>
      <c r="F575" s="33">
        <v>0</v>
      </c>
    </row>
    <row r="576" spans="1:118" x14ac:dyDescent="0.25">
      <c r="A576" s="33" t="s">
        <v>145</v>
      </c>
      <c r="B576" s="33" t="s">
        <v>146</v>
      </c>
      <c r="C576" s="33">
        <v>13</v>
      </c>
      <c r="D576" s="33" t="s">
        <v>39</v>
      </c>
      <c r="E576" s="201">
        <v>0</v>
      </c>
      <c r="F576" s="33">
        <v>0</v>
      </c>
    </row>
    <row r="577" spans="1:6" x14ac:dyDescent="0.25">
      <c r="A577" s="33" t="s">
        <v>145</v>
      </c>
      <c r="B577" s="33" t="s">
        <v>146</v>
      </c>
      <c r="C577" s="33">
        <v>14</v>
      </c>
      <c r="D577" s="33" t="s">
        <v>40</v>
      </c>
      <c r="E577" s="201">
        <v>0</v>
      </c>
      <c r="F577" s="33">
        <v>0</v>
      </c>
    </row>
    <row r="578" spans="1:6" x14ac:dyDescent="0.25">
      <c r="A578" s="33" t="s">
        <v>145</v>
      </c>
      <c r="B578" s="33" t="s">
        <v>146</v>
      </c>
      <c r="C578" s="33">
        <v>15</v>
      </c>
      <c r="D578" s="33" t="s">
        <v>41</v>
      </c>
      <c r="E578" s="201">
        <v>0</v>
      </c>
      <c r="F578" s="33">
        <v>0</v>
      </c>
    </row>
    <row r="579" spans="1:6" x14ac:dyDescent="0.25">
      <c r="A579" s="33" t="s">
        <v>145</v>
      </c>
      <c r="B579" s="33" t="s">
        <v>146</v>
      </c>
      <c r="C579" s="33">
        <v>16</v>
      </c>
      <c r="D579" s="33" t="s">
        <v>42</v>
      </c>
      <c r="E579" s="201">
        <v>0</v>
      </c>
      <c r="F579" s="33">
        <v>0</v>
      </c>
    </row>
    <row r="580" spans="1:6" x14ac:dyDescent="0.25">
      <c r="A580" s="33" t="s">
        <v>145</v>
      </c>
      <c r="B580" s="33" t="s">
        <v>146</v>
      </c>
      <c r="C580" s="33">
        <v>17</v>
      </c>
      <c r="D580" s="33" t="s">
        <v>124</v>
      </c>
      <c r="E580" s="201">
        <v>0</v>
      </c>
      <c r="F580" s="33">
        <v>0</v>
      </c>
    </row>
    <row r="581" spans="1:6" x14ac:dyDescent="0.25">
      <c r="A581" s="33" t="s">
        <v>145</v>
      </c>
      <c r="B581" s="33" t="s">
        <v>146</v>
      </c>
      <c r="C581" s="33">
        <v>18</v>
      </c>
      <c r="D581" s="33" t="s">
        <v>125</v>
      </c>
      <c r="E581" s="201">
        <v>0</v>
      </c>
      <c r="F581" s="33">
        <v>0</v>
      </c>
    </row>
    <row r="582" spans="1:6" x14ac:dyDescent="0.25">
      <c r="A582" s="33" t="s">
        <v>145</v>
      </c>
      <c r="B582" s="33" t="s">
        <v>146</v>
      </c>
      <c r="C582" s="33">
        <v>19</v>
      </c>
      <c r="D582" s="33" t="s">
        <v>47</v>
      </c>
      <c r="E582" s="201">
        <v>0</v>
      </c>
      <c r="F582" s="33">
        <v>0</v>
      </c>
    </row>
    <row r="583" spans="1:6" x14ac:dyDescent="0.25">
      <c r="A583" s="33" t="s">
        <v>145</v>
      </c>
      <c r="B583" s="33" t="s">
        <v>146</v>
      </c>
      <c r="C583" s="33">
        <v>20</v>
      </c>
      <c r="D583" s="33" t="s">
        <v>126</v>
      </c>
      <c r="E583" s="201">
        <v>0</v>
      </c>
      <c r="F583" s="33">
        <v>0</v>
      </c>
    </row>
    <row r="584" spans="1:6" x14ac:dyDescent="0.25">
      <c r="A584" s="33" t="s">
        <v>145</v>
      </c>
      <c r="B584" s="33" t="s">
        <v>146</v>
      </c>
      <c r="C584" s="33">
        <v>21</v>
      </c>
      <c r="D584" s="33" t="s">
        <v>127</v>
      </c>
      <c r="E584" s="201">
        <v>0</v>
      </c>
      <c r="F584" s="33">
        <v>0</v>
      </c>
    </row>
    <row r="585" spans="1:6" x14ac:dyDescent="0.25">
      <c r="A585" s="33" t="s">
        <v>145</v>
      </c>
      <c r="B585" s="33" t="s">
        <v>146</v>
      </c>
      <c r="C585" s="33">
        <v>22</v>
      </c>
      <c r="D585" s="33" t="s">
        <v>128</v>
      </c>
      <c r="E585" s="201">
        <v>0</v>
      </c>
      <c r="F585" s="33">
        <v>0</v>
      </c>
    </row>
    <row r="586" spans="1:6" x14ac:dyDescent="0.25">
      <c r="A586" s="33" t="s">
        <v>145</v>
      </c>
      <c r="B586" s="33" t="s">
        <v>146</v>
      </c>
      <c r="C586" s="33">
        <v>23</v>
      </c>
      <c r="D586" s="33" t="s">
        <v>129</v>
      </c>
      <c r="E586" s="201">
        <v>0</v>
      </c>
      <c r="F586" s="33">
        <v>0</v>
      </c>
    </row>
    <row r="587" spans="1:6" x14ac:dyDescent="0.25">
      <c r="A587" s="33" t="s">
        <v>145</v>
      </c>
      <c r="B587" s="33" t="s">
        <v>146</v>
      </c>
      <c r="C587" s="33">
        <v>24</v>
      </c>
      <c r="D587" s="33" t="s">
        <v>55</v>
      </c>
      <c r="E587" s="201">
        <v>0</v>
      </c>
      <c r="F587" s="33">
        <v>0</v>
      </c>
    </row>
    <row r="588" spans="1:6" x14ac:dyDescent="0.25">
      <c r="A588" s="33" t="s">
        <v>145</v>
      </c>
      <c r="B588" s="33" t="s">
        <v>146</v>
      </c>
      <c r="C588" s="33">
        <v>25</v>
      </c>
      <c r="D588" s="33" t="s">
        <v>56</v>
      </c>
      <c r="E588" s="201">
        <v>0</v>
      </c>
      <c r="F588" s="33">
        <v>0</v>
      </c>
    </row>
    <row r="589" spans="1:6" x14ac:dyDescent="0.25">
      <c r="A589" s="33" t="s">
        <v>145</v>
      </c>
      <c r="B589" s="33" t="s">
        <v>146</v>
      </c>
      <c r="C589" s="33">
        <v>26</v>
      </c>
      <c r="D589" s="33" t="s">
        <v>130</v>
      </c>
      <c r="E589" s="201">
        <v>0</v>
      </c>
      <c r="F589" s="33">
        <v>0</v>
      </c>
    </row>
    <row r="590" spans="1:6" x14ac:dyDescent="0.25">
      <c r="A590" s="33" t="s">
        <v>145</v>
      </c>
      <c r="B590" s="33" t="s">
        <v>146</v>
      </c>
      <c r="C590" s="33">
        <v>27</v>
      </c>
      <c r="D590" s="33" t="s">
        <v>131</v>
      </c>
      <c r="E590" s="201">
        <v>0</v>
      </c>
      <c r="F590" s="33">
        <v>0</v>
      </c>
    </row>
    <row r="591" spans="1:6" x14ac:dyDescent="0.25">
      <c r="A591" s="33" t="s">
        <v>145</v>
      </c>
      <c r="B591" s="33" t="s">
        <v>146</v>
      </c>
      <c r="C591" s="33">
        <v>28</v>
      </c>
      <c r="D591" s="33" t="s">
        <v>132</v>
      </c>
      <c r="E591" s="201">
        <v>0</v>
      </c>
      <c r="F591" s="33">
        <v>0</v>
      </c>
    </row>
    <row r="592" spans="1:6" x14ac:dyDescent="0.25">
      <c r="A592" s="33" t="s">
        <v>145</v>
      </c>
      <c r="B592" s="33" t="s">
        <v>146</v>
      </c>
      <c r="C592" s="33">
        <v>29</v>
      </c>
      <c r="D592" s="33" t="s">
        <v>133</v>
      </c>
      <c r="E592" s="201">
        <v>0</v>
      </c>
      <c r="F592" s="33">
        <v>0</v>
      </c>
    </row>
    <row r="593" spans="1:6" x14ac:dyDescent="0.25">
      <c r="A593" s="33" t="s">
        <v>145</v>
      </c>
      <c r="B593" s="33" t="s">
        <v>146</v>
      </c>
      <c r="C593" s="33">
        <v>30</v>
      </c>
      <c r="D593" s="33" t="s">
        <v>134</v>
      </c>
      <c r="E593" s="201">
        <v>0</v>
      </c>
      <c r="F593" s="33">
        <v>0</v>
      </c>
    </row>
    <row r="594" spans="1:6" x14ac:dyDescent="0.25">
      <c r="A594" s="33" t="s">
        <v>145</v>
      </c>
      <c r="B594" s="33" t="s">
        <v>146</v>
      </c>
      <c r="C594" s="33">
        <v>31</v>
      </c>
      <c r="D594" s="33" t="s">
        <v>135</v>
      </c>
      <c r="E594" s="201">
        <v>0</v>
      </c>
      <c r="F594" s="33">
        <v>0</v>
      </c>
    </row>
    <row r="595" spans="1:6" x14ac:dyDescent="0.25">
      <c r="A595" s="33" t="s">
        <v>145</v>
      </c>
      <c r="B595" s="33" t="s">
        <v>146</v>
      </c>
      <c r="C595" s="33">
        <v>32</v>
      </c>
      <c r="D595" s="33" t="s">
        <v>70</v>
      </c>
      <c r="E595" s="201">
        <v>0</v>
      </c>
      <c r="F595" s="33">
        <v>0</v>
      </c>
    </row>
    <row r="596" spans="1:6" x14ac:dyDescent="0.25">
      <c r="A596" s="33" t="s">
        <v>145</v>
      </c>
      <c r="B596" s="33" t="s">
        <v>146</v>
      </c>
      <c r="C596" s="33">
        <v>33</v>
      </c>
      <c r="D596" s="33" t="s">
        <v>71</v>
      </c>
      <c r="E596" s="201">
        <v>0</v>
      </c>
      <c r="F596" s="33">
        <v>0</v>
      </c>
    </row>
    <row r="597" spans="1:6" x14ac:dyDescent="0.25">
      <c r="A597" s="33" t="s">
        <v>145</v>
      </c>
      <c r="B597" s="33" t="s">
        <v>146</v>
      </c>
      <c r="C597" s="33">
        <v>34</v>
      </c>
      <c r="D597" s="33" t="s">
        <v>72</v>
      </c>
      <c r="E597" s="201">
        <v>0</v>
      </c>
      <c r="F597" s="33">
        <v>0</v>
      </c>
    </row>
    <row r="598" spans="1:6" x14ac:dyDescent="0.25">
      <c r="A598" s="33" t="s">
        <v>145</v>
      </c>
      <c r="B598" s="33" t="s">
        <v>146</v>
      </c>
      <c r="C598" s="33">
        <v>35</v>
      </c>
      <c r="D598" s="33" t="s">
        <v>73</v>
      </c>
      <c r="E598" s="201">
        <v>0</v>
      </c>
      <c r="F598" s="33">
        <v>0</v>
      </c>
    </row>
    <row r="599" spans="1:6" x14ac:dyDescent="0.25">
      <c r="A599" s="33" t="s">
        <v>145</v>
      </c>
      <c r="B599" s="33" t="s">
        <v>146</v>
      </c>
      <c r="C599" s="33">
        <v>36</v>
      </c>
      <c r="D599" s="33" t="s">
        <v>74</v>
      </c>
      <c r="E599" s="201">
        <v>0</v>
      </c>
      <c r="F599" s="33">
        <v>0</v>
      </c>
    </row>
    <row r="600" spans="1:6" x14ac:dyDescent="0.25">
      <c r="A600" s="33" t="s">
        <v>145</v>
      </c>
      <c r="B600" s="33" t="s">
        <v>146</v>
      </c>
      <c r="C600" s="33">
        <v>37</v>
      </c>
      <c r="D600" s="33" t="s">
        <v>75</v>
      </c>
      <c r="E600" s="201">
        <v>0</v>
      </c>
      <c r="F600" s="33">
        <v>0</v>
      </c>
    </row>
    <row r="601" spans="1:6" x14ac:dyDescent="0.25">
      <c r="A601" s="33" t="s">
        <v>145</v>
      </c>
      <c r="B601" s="33" t="s">
        <v>146</v>
      </c>
      <c r="C601" s="33">
        <v>38</v>
      </c>
      <c r="D601" s="33" t="s">
        <v>76</v>
      </c>
      <c r="E601" s="201">
        <v>0</v>
      </c>
      <c r="F601" s="33">
        <v>0</v>
      </c>
    </row>
    <row r="602" spans="1:6" x14ac:dyDescent="0.25">
      <c r="A602" s="33" t="s">
        <v>145</v>
      </c>
      <c r="B602" s="33" t="s">
        <v>146</v>
      </c>
      <c r="C602" s="33">
        <v>39</v>
      </c>
      <c r="D602" s="33" t="s">
        <v>77</v>
      </c>
      <c r="E602" s="201">
        <v>0</v>
      </c>
      <c r="F602" s="33">
        <v>0</v>
      </c>
    </row>
    <row r="603" spans="1:6" x14ac:dyDescent="0.25">
      <c r="A603" s="33" t="s">
        <v>145</v>
      </c>
      <c r="B603" s="33" t="s">
        <v>146</v>
      </c>
      <c r="C603" s="33">
        <v>40</v>
      </c>
      <c r="D603" s="33" t="s">
        <v>78</v>
      </c>
      <c r="E603" s="201">
        <v>0</v>
      </c>
      <c r="F603" s="33">
        <v>0</v>
      </c>
    </row>
    <row r="633" spans="2:31" x14ac:dyDescent="0.25">
      <c r="I633" s="207"/>
    </row>
    <row r="634" spans="2:31" x14ac:dyDescent="0.25">
      <c r="D634" s="33">
        <v>3515738</v>
      </c>
    </row>
    <row r="635" spans="2:31" x14ac:dyDescent="0.25">
      <c r="D635" s="225">
        <f>+G640+D634</f>
        <v>1351187.0809996603</v>
      </c>
    </row>
    <row r="636" spans="2:31" x14ac:dyDescent="0.25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2:31" x14ac:dyDescent="0.25">
      <c r="F637" s="122" t="s">
        <v>22</v>
      </c>
      <c r="G637" s="143" t="s">
        <v>147</v>
      </c>
      <c r="H637" s="122" t="s">
        <v>22</v>
      </c>
      <c r="I637" s="143" t="s">
        <v>147</v>
      </c>
      <c r="J637" s="122" t="s">
        <v>22</v>
      </c>
      <c r="K637" s="122" t="s">
        <v>147</v>
      </c>
      <c r="L637" s="122" t="s">
        <v>22</v>
      </c>
      <c r="M637" s="122" t="s">
        <v>147</v>
      </c>
      <c r="N637" s="122" t="s">
        <v>22</v>
      </c>
      <c r="O637" s="122" t="s">
        <v>147</v>
      </c>
      <c r="P637" s="122" t="s">
        <v>22</v>
      </c>
      <c r="Q637" s="122" t="s">
        <v>147</v>
      </c>
      <c r="R637" s="122" t="s">
        <v>22</v>
      </c>
      <c r="S637" s="122" t="s">
        <v>147</v>
      </c>
      <c r="T637" s="122" t="s">
        <v>22</v>
      </c>
      <c r="U637" s="122" t="s">
        <v>147</v>
      </c>
      <c r="V637" s="122" t="s">
        <v>22</v>
      </c>
      <c r="W637" s="122" t="s">
        <v>147</v>
      </c>
      <c r="X637" s="122" t="s">
        <v>22</v>
      </c>
      <c r="Y637" s="122" t="s">
        <v>147</v>
      </c>
      <c r="Z637" s="122" t="s">
        <v>22</v>
      </c>
      <c r="AA637" s="122" t="s">
        <v>147</v>
      </c>
      <c r="AB637" s="122" t="s">
        <v>22</v>
      </c>
      <c r="AC637" s="122" t="s">
        <v>147</v>
      </c>
      <c r="AD637" s="116"/>
      <c r="AE637" s="116"/>
    </row>
    <row r="638" spans="2:31" s="201" customFormat="1" x14ac:dyDescent="0.25">
      <c r="D638" s="208" t="s">
        <v>111</v>
      </c>
      <c r="E638" s="209"/>
      <c r="F638" s="210">
        <f>BUG_GL!H82</f>
        <v>0</v>
      </c>
      <c r="G638" s="211">
        <f>BUG_GL!I82</f>
        <v>0</v>
      </c>
      <c r="H638" s="210">
        <f>BUG_GL!J82</f>
        <v>0</v>
      </c>
      <c r="I638" s="210">
        <f>BUG_GL!K82</f>
        <v>0</v>
      </c>
      <c r="J638" s="210">
        <f>BUG_GL!L82</f>
        <v>0</v>
      </c>
      <c r="K638" s="210">
        <f>BUG_GL!M82</f>
        <v>0</v>
      </c>
      <c r="L638" s="210">
        <f>BUG_GL!N82</f>
        <v>0</v>
      </c>
      <c r="M638" s="210">
        <f>BUG_GL!O82</f>
        <v>0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2:31" s="201" customFormat="1" x14ac:dyDescent="0.25">
      <c r="B639" s="201">
        <v>-19535379.360000014</v>
      </c>
      <c r="D639" s="208" t="s">
        <v>139</v>
      </c>
      <c r="E639" s="209"/>
      <c r="F639" s="210">
        <f>CE_GL!H82</f>
        <v>0</v>
      </c>
      <c r="G639" s="228">
        <f>CE_GL!I82</f>
        <v>145788.89000019571</v>
      </c>
      <c r="H639" s="210">
        <f>CE_GL!J82</f>
        <v>0</v>
      </c>
      <c r="I639" s="211">
        <f>CE_GL!K82</f>
        <v>1962344.8699999999</v>
      </c>
      <c r="J639" s="210">
        <f>CE_GL!L82</f>
        <v>0</v>
      </c>
      <c r="K639" s="210">
        <f>CE_GL!M82</f>
        <v>8697165.2100000009</v>
      </c>
      <c r="L639" s="210">
        <f>CE_GL!N82</f>
        <v>0</v>
      </c>
      <c r="M639" s="210">
        <f>CE_GL!O82</f>
        <v>1509473.1999999995</v>
      </c>
      <c r="N639" s="210">
        <f>CE_GL!P82</f>
        <v>0</v>
      </c>
      <c r="O639" s="210">
        <f>CE_GL!Q82</f>
        <v>0</v>
      </c>
      <c r="P639" s="210">
        <f>CE_GL!R82</f>
        <v>0</v>
      </c>
      <c r="Q639" s="210">
        <f>CE_GL!S82</f>
        <v>0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2:31" s="201" customFormat="1" x14ac:dyDescent="0.25">
      <c r="D640" s="208" t="s">
        <v>140</v>
      </c>
      <c r="E640" s="209"/>
      <c r="F640" s="210">
        <f>+'EAST-EGM-GL'!H82</f>
        <v>0</v>
      </c>
      <c r="G640" s="211">
        <f>+'EAST-EGM-GL'!I82</f>
        <v>-2164550.9190003397</v>
      </c>
      <c r="H640" s="210">
        <f>+'EAST-EGM-GL'!J82</f>
        <v>165</v>
      </c>
      <c r="I640" s="211">
        <f>+'EAST-EGM-GL'!K82</f>
        <v>-7373874.6999999974</v>
      </c>
      <c r="J640" s="210">
        <f>+'EAST-EGM-GL'!L82</f>
        <v>0</v>
      </c>
      <c r="K640" s="210">
        <f>+'EAST-EGM-GL'!M82</f>
        <v>4533721.5600000005</v>
      </c>
      <c r="L640" s="210">
        <f>+'EAST-EGM-GL'!N82</f>
        <v>0</v>
      </c>
      <c r="M640" s="210">
        <f>+'EAST-EGM-GL'!O82</f>
        <v>-3417903.0000000005</v>
      </c>
      <c r="N640" s="210">
        <f>+'EAST-EGM-GL'!P82</f>
        <v>0</v>
      </c>
      <c r="O640" s="210">
        <f>+'EAST-EGM-GL'!Q82</f>
        <v>0</v>
      </c>
      <c r="P640" s="210">
        <f>+'EAST-EGM-GL'!R82</f>
        <v>0</v>
      </c>
      <c r="Q640" s="210">
        <f>+'EAST-EGM-GL'!S82</f>
        <v>0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5">
      <c r="D641" s="208" t="s">
        <v>148</v>
      </c>
      <c r="E641" s="209"/>
      <c r="F641" s="210">
        <f>+'EAST-LRC-GL'!H82</f>
        <v>0</v>
      </c>
      <c r="G641" s="211">
        <f>+'EAST-LRC-GL'!I82</f>
        <v>3331023</v>
      </c>
      <c r="H641" s="210">
        <f>+'EAST-LRC-GL'!J82</f>
        <v>0</v>
      </c>
      <c r="I641" s="211">
        <f>+'EAST-LRC-GL'!K82</f>
        <v>-3331023</v>
      </c>
      <c r="J641" s="210">
        <f>+'EAST-LRC-GL'!L82</f>
        <v>0</v>
      </c>
      <c r="K641" s="210">
        <f>+'EAST-LRC-GL'!M82</f>
        <v>0</v>
      </c>
      <c r="L641" s="210">
        <f>+'EAST-LRC-GL'!N82</f>
        <v>0</v>
      </c>
      <c r="M641" s="210">
        <f>+'EAST-LRC-GL'!O82</f>
        <v>0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5">
      <c r="D642" s="208" t="s">
        <v>149</v>
      </c>
      <c r="E642" s="209"/>
      <c r="F642" s="210">
        <f>+'BGC-EGM-GL'!H82</f>
        <v>0</v>
      </c>
      <c r="G642" s="211">
        <f>+'BGC-EGM-GL'!I82</f>
        <v>0</v>
      </c>
      <c r="H642" s="210">
        <f>+'BGC-EGM-GL'!J82</f>
        <v>0</v>
      </c>
      <c r="I642" s="211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5">
      <c r="D643" s="208" t="s">
        <v>150</v>
      </c>
      <c r="E643" s="209"/>
      <c r="F643" s="210">
        <f>+'EAST-CON-GL '!H82</f>
        <v>0</v>
      </c>
      <c r="G643" s="211">
        <f>+'EAST-CON-GL '!I82</f>
        <v>1166472.0809996631</v>
      </c>
      <c r="H643" s="210">
        <f>+'EAST-CON-GL '!J82</f>
        <v>165</v>
      </c>
      <c r="I643" s="211">
        <f>+'EAST-CON-GL '!K82</f>
        <v>-10704897.699999996</v>
      </c>
      <c r="J643" s="210">
        <f>+'EAST-CON-GL '!L82</f>
        <v>0</v>
      </c>
      <c r="K643" s="210">
        <f>+'EAST-CON-GL '!M82</f>
        <v>4533721.5600000005</v>
      </c>
      <c r="L643" s="210">
        <f>+'EAST-CON-GL '!N82</f>
        <v>0</v>
      </c>
      <c r="M643" s="210">
        <f>+'EAST-CON-GL '!O82</f>
        <v>-3417903.0000000005</v>
      </c>
      <c r="N643" s="210">
        <f>+'EAST-CON-GL '!P82</f>
        <v>0</v>
      </c>
      <c r="O643" s="210">
        <f>+'EAST-CON-GL '!Q82</f>
        <v>0</v>
      </c>
      <c r="P643" s="210">
        <f>+'EAST-CON-GL '!R82</f>
        <v>0</v>
      </c>
      <c r="Q643" s="210">
        <f>+'EAST-CON-GL '!S82</f>
        <v>0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5">
      <c r="D644" s="208" t="s">
        <v>151</v>
      </c>
      <c r="E644" s="209"/>
      <c r="F644" s="210">
        <f>+'TX-EGM-GL'!H82</f>
        <v>0</v>
      </c>
      <c r="G644" s="211">
        <f>+'TX-EGM-GL'!I82</f>
        <v>78443.225000014645</v>
      </c>
      <c r="H644" s="210">
        <f>+'TX-EGM-GL'!J82</f>
        <v>273600</v>
      </c>
      <c r="I644" s="211">
        <f>+'TX-EGM-GL'!K91</f>
        <v>-261972.81999999902</v>
      </c>
      <c r="J644" s="210">
        <f>+'TX-EGM-GL'!L82</f>
        <v>0</v>
      </c>
      <c r="K644" s="210">
        <f>+'TX-EGM-GL'!M82</f>
        <v>351228.00600000005</v>
      </c>
      <c r="L644" s="210">
        <f>+'TX-EGM-GL'!N82</f>
        <v>0</v>
      </c>
      <c r="M644" s="210">
        <f>+'TX-EGM-GL'!O82</f>
        <v>-783907.77</v>
      </c>
      <c r="N644" s="210">
        <f>+'TX-EGM-GL'!P82</f>
        <v>0</v>
      </c>
      <c r="O644" s="210">
        <f>+'TX-EGM-GL'!Q82</f>
        <v>0</v>
      </c>
      <c r="P644" s="210">
        <f>+'TX-EGM-GL'!R82</f>
        <v>0</v>
      </c>
      <c r="Q644" s="210">
        <f>+'TX-EGM-GL'!S82</f>
        <v>0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5">
      <c r="D645" s="208" t="s">
        <v>177</v>
      </c>
      <c r="E645" s="209"/>
      <c r="F645" s="210">
        <f>+'TX-HPLR-GL '!H82</f>
        <v>0</v>
      </c>
      <c r="G645" s="211">
        <f>+'TX-HPLR-GL '!I82</f>
        <v>-22487.040000000037</v>
      </c>
      <c r="H645" s="210">
        <f>+'TX-HPLR-GL '!J82</f>
        <v>0</v>
      </c>
      <c r="I645" s="211">
        <f>+'TX-HPLR-GL '!K82</f>
        <v>-1147909.8900000001</v>
      </c>
      <c r="J645" s="210">
        <f>+'TX-HPLR-GL '!L82</f>
        <v>0</v>
      </c>
      <c r="K645" s="210">
        <f>+'TX-HPLR-GL '!M82</f>
        <v>9717.56</v>
      </c>
      <c r="L645" s="210">
        <f>+'TX-HPLR-GL '!N82</f>
        <v>0</v>
      </c>
      <c r="M645" s="210">
        <f>+'TX-HPLR-GL '!O82</f>
        <v>0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5">
      <c r="D646" s="208" t="s">
        <v>176</v>
      </c>
      <c r="E646" s="209"/>
      <c r="F646" s="210">
        <f>+'TX-HPLC-GL'!H82</f>
        <v>0</v>
      </c>
      <c r="G646" s="211">
        <f>+'TX-HPLC-GL'!I82</f>
        <v>1994129</v>
      </c>
      <c r="H646" s="210">
        <f>+'TX-HPLC-GL'!J82</f>
        <v>0</v>
      </c>
      <c r="I646" s="211">
        <f>+'TX-HPLC-GL'!K82</f>
        <v>-1147021.5300000012</v>
      </c>
      <c r="J646" s="210">
        <f>+'TX-HPLC-GL'!L82</f>
        <v>0</v>
      </c>
      <c r="K646" s="210">
        <f>+'TX-HPLC-GL'!M82</f>
        <v>8840418.5800000001</v>
      </c>
      <c r="L646" s="210">
        <f>+'TX-HPLC-GL'!N82</f>
        <v>0</v>
      </c>
      <c r="M646" s="210">
        <f>+'TX-HPLC-GL'!O82</f>
        <v>-667643.17000000039</v>
      </c>
      <c r="N646" s="210">
        <f>+'TX-HPLC-GL'!P82</f>
        <v>0</v>
      </c>
      <c r="O646" s="210">
        <f>+'TX-HPLC-GL'!Q82</f>
        <v>0</v>
      </c>
      <c r="P646" s="210">
        <f>+'TX-HPLC-GL'!R82</f>
        <v>0</v>
      </c>
      <c r="Q646" s="210">
        <f>+'TX-HPLC-GL'!S82</f>
        <v>0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5">
      <c r="D647" s="208" t="s">
        <v>152</v>
      </c>
      <c r="E647" s="209"/>
      <c r="F647" s="210">
        <f>+'TX-CON-GL '!H82</f>
        <v>0</v>
      </c>
      <c r="G647" s="211">
        <f>+'TX-CON-GL '!I82</f>
        <v>2050085.1849999917</v>
      </c>
      <c r="H647" s="210">
        <f>+'TX-CON-GL '!J82</f>
        <v>273600</v>
      </c>
      <c r="I647" s="211">
        <f>+'TX-CON-GL '!K82</f>
        <v>-2556904.2400000002</v>
      </c>
      <c r="J647" s="210">
        <f>+'TX-CON-GL '!L82</f>
        <v>0</v>
      </c>
      <c r="K647" s="210">
        <f>+'TX-CON-GL '!M82</f>
        <v>9201364.1460000016</v>
      </c>
      <c r="L647" s="210">
        <f>+'TX-CON-GL '!N82</f>
        <v>0</v>
      </c>
      <c r="M647" s="210">
        <f>+'TX-CON-GL '!O82</f>
        <v>-1451550.9400000006</v>
      </c>
      <c r="N647" s="210">
        <f>+'TX-CON-GL '!P82</f>
        <v>0</v>
      </c>
      <c r="O647" s="210">
        <f>+'TX-CON-GL '!Q82</f>
        <v>0</v>
      </c>
      <c r="P647" s="210">
        <f>+'TX-CON-GL '!R82</f>
        <v>0</v>
      </c>
      <c r="Q647" s="210">
        <f>+'TX-CON-GL '!S82</f>
        <v>0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5">
      <c r="D648" s="208" t="s">
        <v>142</v>
      </c>
      <c r="E648" s="209"/>
      <c r="F648" s="210">
        <f>+'WE-GL '!H82</f>
        <v>0</v>
      </c>
      <c r="G648" s="211">
        <f>+'WE-GL '!I82</f>
        <v>6004450.0879999436</v>
      </c>
      <c r="H648" s="210">
        <f>+'WE-GL '!J82</f>
        <v>0</v>
      </c>
      <c r="I648" s="211">
        <f>+'WE-GL '!K82</f>
        <v>208221.8499999998</v>
      </c>
      <c r="J648" s="210">
        <f>+'WE-GL '!L82</f>
        <v>0</v>
      </c>
      <c r="K648" s="210">
        <f>+'WE-GL '!M82</f>
        <v>-1082723.8600000003</v>
      </c>
      <c r="L648" s="210">
        <f>+'WE-GL '!N82</f>
        <v>0</v>
      </c>
      <c r="M648" s="210">
        <f>+'WE-GL '!O82</f>
        <v>-370503.06000000052</v>
      </c>
      <c r="N648" s="210">
        <f>+'WE-GL '!P82</f>
        <v>0</v>
      </c>
      <c r="O648" s="210">
        <f>+'WE-GL '!Q82</f>
        <v>0</v>
      </c>
      <c r="P648" s="210">
        <f>+'WE-GL '!R82</f>
        <v>0</v>
      </c>
      <c r="Q648" s="210">
        <f>+'WE-GL '!S82</f>
        <v>0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5">
      <c r="D649" s="208" t="s">
        <v>197</v>
      </c>
      <c r="E649" s="209"/>
      <c r="F649" s="210">
        <f>+'DEN-GL'!H82</f>
        <v>0</v>
      </c>
      <c r="G649" s="211">
        <f>+'DEN-GL'!I82</f>
        <v>1714028.298000003</v>
      </c>
      <c r="H649" s="210">
        <f>+'DEN-GL'!J82</f>
        <v>0</v>
      </c>
      <c r="I649" s="211">
        <f>+'DEN-GL'!K82</f>
        <v>-3919015.1900000004</v>
      </c>
      <c r="J649" s="210">
        <f>+'DEN-GL'!L82</f>
        <v>0</v>
      </c>
      <c r="K649" s="210">
        <f>+'DEN-GL'!M82</f>
        <v>4322502.6400000006</v>
      </c>
      <c r="L649" s="210">
        <f>+'DEN-GL'!N82</f>
        <v>0</v>
      </c>
      <c r="M649" s="210">
        <f>+'DEN-GL'!O82</f>
        <v>-1582158.2599999998</v>
      </c>
      <c r="N649" s="210">
        <f>+'DEN-GL'!P82</f>
        <v>0</v>
      </c>
      <c r="O649" s="210">
        <f>+'DEN-GL'!Q82</f>
        <v>0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5">
      <c r="D650" s="208" t="s">
        <v>144</v>
      </c>
      <c r="E650" s="209"/>
      <c r="F650" s="210">
        <f>+STG_GL!H82</f>
        <v>0</v>
      </c>
      <c r="G650" s="210">
        <f>+STG_GL!I82</f>
        <v>-1423900</v>
      </c>
      <c r="H650" s="210">
        <f>+STG_GL!J82</f>
        <v>0</v>
      </c>
      <c r="I650" s="210">
        <f>+STG_GL!K82</f>
        <v>7182506.5300000003</v>
      </c>
      <c r="J650" s="210">
        <f>+STG_GL!L82</f>
        <v>0</v>
      </c>
      <c r="K650" s="210">
        <f>+STG_GL!M82</f>
        <v>-8299000.2400000002</v>
      </c>
      <c r="L650" s="210">
        <f>+STG_GL!N82</f>
        <v>0</v>
      </c>
      <c r="M650" s="210">
        <f>+STG_GL!O82</f>
        <v>6835410.8600000003</v>
      </c>
      <c r="N650" s="210">
        <f>+STG_GL!P82</f>
        <v>0</v>
      </c>
      <c r="O650" s="210">
        <f>+STG_GL!Q82</f>
        <v>0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5">
      <c r="D651" s="208" t="s">
        <v>156</v>
      </c>
      <c r="E651" s="209"/>
      <c r="F651" s="210">
        <f>+'ONT_GL '!H82</f>
        <v>0</v>
      </c>
      <c r="G651" s="211">
        <f>+'ONT_GL '!I82</f>
        <v>-3935095.570000038</v>
      </c>
      <c r="H651" s="210">
        <f>+'ONT_GL '!J82</f>
        <v>0</v>
      </c>
      <c r="I651" s="211">
        <f>+'ONT_GL '!K82</f>
        <v>-7773435.8399999999</v>
      </c>
      <c r="J651" s="210">
        <f>+'ONT_GL '!L82</f>
        <v>0</v>
      </c>
      <c r="K651" s="210">
        <f>+'ONT_GL '!M82</f>
        <v>-2293509.79</v>
      </c>
      <c r="L651" s="210">
        <f>+'ONT_GL '!N82</f>
        <v>0</v>
      </c>
      <c r="M651" s="210">
        <f>+'ONT_GL '!O82</f>
        <v>6223694.040000001</v>
      </c>
      <c r="N651" s="210">
        <f>+'ONT_GL '!P82</f>
        <v>0</v>
      </c>
      <c r="O651" s="210">
        <f>+'ONT_GL '!Q82</f>
        <v>0</v>
      </c>
      <c r="P651" s="210">
        <f>+'ONT_GL '!R82</f>
        <v>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5">
      <c r="D652" s="208" t="s">
        <v>189</v>
      </c>
      <c r="E652" s="209"/>
      <c r="F652" s="210">
        <f>+ARUBA_GL!H82</f>
        <v>0</v>
      </c>
      <c r="G652" s="211">
        <f>+ARUBA_GL!I82</f>
        <v>1827127.8099999856</v>
      </c>
      <c r="H652" s="210">
        <f>+ARUBA_GL!J82</f>
        <v>0</v>
      </c>
      <c r="I652" s="211">
        <f>+ARUBA_GL!K82</f>
        <v>-10847.169999999925</v>
      </c>
      <c r="J652" s="210">
        <f>+ARUBA_GL!L82</f>
        <v>0</v>
      </c>
      <c r="K652" s="210">
        <f>+ARUBA_GL!M82</f>
        <v>281278</v>
      </c>
      <c r="L652" s="210">
        <f>+ARUBA_GL!N82</f>
        <v>0</v>
      </c>
      <c r="M652" s="210">
        <f>+ARUBA_GL!O82</f>
        <v>188451</v>
      </c>
      <c r="N652" s="210">
        <f>+ARUBA_GL!P82</f>
        <v>0</v>
      </c>
      <c r="O652" s="210">
        <f>+ARUBA_GL!Q82</f>
        <v>0</v>
      </c>
      <c r="P652" s="210">
        <f>+ARUBA_GL!R82</f>
        <v>0</v>
      </c>
      <c r="Q652" s="210">
        <f>+ARUBA_GL!S82</f>
        <v>0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5">
      <c r="D653" s="208" t="s">
        <v>193</v>
      </c>
      <c r="E653" s="209"/>
      <c r="F653" s="210">
        <f>+SITHE_GL!H82</f>
        <v>0</v>
      </c>
      <c r="G653" s="211">
        <f>+SITHE_GL!I82</f>
        <v>3039995.6699999976</v>
      </c>
      <c r="H653" s="210">
        <f>+SITHE_GL!J82</f>
        <v>0</v>
      </c>
      <c r="I653" s="211">
        <f>+SITHE_GL!K82</f>
        <v>-2513598.92</v>
      </c>
      <c r="J653" s="210">
        <f>+SITHE_GL!L82</f>
        <v>0</v>
      </c>
      <c r="K653" s="210">
        <f>+SITHE_GL!M82</f>
        <v>-506479.17999999993</v>
      </c>
      <c r="L653" s="210">
        <f>+SITHE_GL!N82</f>
        <v>0</v>
      </c>
      <c r="M653" s="210">
        <f>+SITHE_GL!O82</f>
        <v>0</v>
      </c>
      <c r="N653" s="210">
        <f>+SITHE_GL!P82</f>
        <v>0</v>
      </c>
      <c r="O653" s="210">
        <f>+SITHE_GL!Q82</f>
        <v>0</v>
      </c>
      <c r="P653" s="210">
        <f>+SITHE_GL!R82</f>
        <v>0</v>
      </c>
      <c r="Q653" s="210">
        <f>+SITHE_GL!S82</f>
        <v>0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  <row r="654" spans="4:31" s="201" customFormat="1" x14ac:dyDescent="0.25">
      <c r="D654" s="208" t="s">
        <v>219</v>
      </c>
      <c r="E654" s="209"/>
      <c r="F654" s="210">
        <f>+'EAST-MKT-GL'!H82</f>
        <v>0</v>
      </c>
      <c r="G654" s="210">
        <f>+'EAST-MKT-GL'!I82</f>
        <v>2872718</v>
      </c>
      <c r="H654" s="210">
        <f>+'EAST-MKT-GL'!J82</f>
        <v>0</v>
      </c>
      <c r="I654" s="211">
        <f>+'EAST-MKT-GL'!K82</f>
        <v>-4503978.33</v>
      </c>
      <c r="J654" s="210">
        <f>+'EAST-MKT-GL'!L82</f>
        <v>0</v>
      </c>
      <c r="K654" s="210">
        <f>+'EAST-MKT-GL'!M82</f>
        <v>-9456468.2300000004</v>
      </c>
      <c r="L654" s="210">
        <f>+'EAST-MKT-GL'!N82</f>
        <v>0</v>
      </c>
      <c r="M654" s="210">
        <f>+'EAST-MKT-GL'!O82</f>
        <v>5731296.7599999988</v>
      </c>
      <c r="N654" s="210">
        <f>+'EAST-MKT-GL'!P82</f>
        <v>0</v>
      </c>
      <c r="O654" s="210">
        <f>+'EAST-MKT-GL'!Q82</f>
        <v>0</v>
      </c>
      <c r="P654" s="210">
        <f>+'EAST-MKT-GL'!R82</f>
        <v>0</v>
      </c>
      <c r="Q654" s="210">
        <f>+'EAST-MKT-GL'!S82</f>
        <v>0</v>
      </c>
      <c r="R654" s="210">
        <f>+'EAST-MKT-GL'!T82</f>
        <v>0</v>
      </c>
      <c r="S654" s="210">
        <f>+'EAST-MKT-GL'!U82</f>
        <v>0</v>
      </c>
      <c r="T654" s="210">
        <f>+'EAST-MKT-GL'!V82</f>
        <v>0</v>
      </c>
      <c r="U654" s="210">
        <f>+'EAST-MKT-GL'!W82</f>
        <v>0</v>
      </c>
      <c r="V654" s="210">
        <f>+'EAST-MKT-GL'!X82</f>
        <v>0</v>
      </c>
      <c r="W654" s="210">
        <f>+'EAST-MKT-GL'!Y82</f>
        <v>0</v>
      </c>
      <c r="X654" s="210">
        <f>+'EAST-MKT-GL'!Z82</f>
        <v>0</v>
      </c>
      <c r="Y654" s="210">
        <f>+'EAST-MKT-GL'!AA82</f>
        <v>0</v>
      </c>
      <c r="Z654" s="210">
        <f>+'EAST-MKT-GL'!AB82</f>
        <v>0</v>
      </c>
      <c r="AA654" s="210">
        <f>+'EAST-MKT-GL'!AC82</f>
        <v>0</v>
      </c>
      <c r="AB654" s="210">
        <f>+'EAST-MKT-GL'!AD82</f>
        <v>0</v>
      </c>
      <c r="AC654" s="210">
        <f>+'EAST-MKT-GL'!AE82</f>
        <v>0</v>
      </c>
      <c r="AD654" s="202"/>
      <c r="AE654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342900</xdr:colOff>
                    <xdr:row>0</xdr:row>
                    <xdr:rowOff>45720</xdr:rowOff>
                  </from>
                  <to>
                    <xdr:col>3</xdr:col>
                    <xdr:colOff>1524000</xdr:colOff>
                    <xdr:row>0</xdr:row>
                    <xdr:rowOff>274320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26</vt:i4>
      </vt:variant>
    </vt:vector>
  </HeadingPairs>
  <TitlesOfParts>
    <vt:vector size="86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MidMarket-FLSH</vt:lpstr>
      <vt:lpstr>EAST-EGM-FLSH</vt:lpstr>
      <vt:lpstr>EAST-MKT-FLSH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MidMarket_GL</vt:lpstr>
      <vt:lpstr>EAST-EGM-GL</vt:lpstr>
      <vt:lpstr>EAST-MKT-GL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MidMarket-VAR</vt:lpstr>
      <vt:lpstr>EAST-EGM-VAR</vt:lpstr>
      <vt:lpstr>EAST-MKT-VAR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Havlíček Jan</cp:lastModifiedBy>
  <cp:lastPrinted>2000-10-12T03:18:01Z</cp:lastPrinted>
  <dcterms:created xsi:type="dcterms:W3CDTF">1997-07-11T21:57:33Z</dcterms:created>
  <dcterms:modified xsi:type="dcterms:W3CDTF">2023-09-10T12:18:59Z</dcterms:modified>
</cp:coreProperties>
</file>