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288" yWindow="696" windowWidth="15180" windowHeight="8832"/>
  </bookViews>
  <sheets>
    <sheet name="OA Top Page" sheetId="1" r:id="rId1"/>
    <sheet name="3rd Party Expense" sheetId="2" r:id="rId2"/>
    <sheet name="3rd Party Revenue" sheetId="3" r:id="rId3"/>
  </sheets>
  <definedNames>
    <definedName name="_xlnm.Print_Area" localSheetId="0">'OA Top Page'!$A$1:$C$30</definedName>
  </definedNames>
  <calcPr calcId="0"/>
</workbook>
</file>

<file path=xl/calcChain.xml><?xml version="1.0" encoding="utf-8"?>
<calcChain xmlns="http://schemas.openxmlformats.org/spreadsheetml/2006/main">
  <c r="D6" i="2" l="1"/>
  <c r="D7" i="2"/>
  <c r="D8" i="2"/>
  <c r="D9" i="2"/>
  <c r="C10" i="2"/>
  <c r="D10" i="2"/>
  <c r="D11" i="2"/>
  <c r="D12" i="2"/>
  <c r="D13" i="2"/>
  <c r="D14" i="2"/>
  <c r="D15" i="2"/>
  <c r="D16" i="2"/>
  <c r="D17" i="2"/>
  <c r="B19" i="2"/>
  <c r="C19" i="2"/>
  <c r="D19" i="2"/>
  <c r="D23" i="2"/>
  <c r="E23" i="2"/>
  <c r="F23" i="2"/>
  <c r="E24" i="2"/>
  <c r="F24" i="2"/>
  <c r="E25" i="2"/>
  <c r="F25" i="2"/>
  <c r="B26" i="2"/>
  <c r="E26" i="2"/>
  <c r="F26" i="2"/>
  <c r="C29" i="2"/>
  <c r="D29" i="2"/>
  <c r="E29" i="2"/>
  <c r="D30" i="2"/>
  <c r="E30" i="2"/>
  <c r="D31" i="2"/>
  <c r="E31" i="2"/>
  <c r="E32" i="2"/>
  <c r="E33" i="2"/>
  <c r="E34" i="2"/>
  <c r="D35" i="2"/>
  <c r="E35" i="2"/>
  <c r="C36" i="2"/>
  <c r="D36" i="2"/>
  <c r="E36" i="2"/>
  <c r="E38" i="2"/>
  <c r="C6" i="3"/>
  <c r="D6" i="3"/>
  <c r="C7" i="3"/>
  <c r="D7" i="3"/>
  <c r="D8" i="3"/>
  <c r="D9" i="3"/>
  <c r="D10" i="3"/>
  <c r="C11" i="3"/>
  <c r="D11" i="3"/>
  <c r="C12" i="3"/>
  <c r="D12" i="3"/>
  <c r="D13" i="3"/>
  <c r="D14" i="3"/>
  <c r="C15" i="3"/>
  <c r="D15" i="3"/>
  <c r="D16" i="3"/>
  <c r="D17" i="3"/>
  <c r="D18" i="3"/>
  <c r="C19" i="3"/>
  <c r="D19" i="3"/>
  <c r="D20" i="3"/>
  <c r="D21" i="3"/>
  <c r="C22" i="3"/>
  <c r="D22" i="3"/>
  <c r="D23" i="3"/>
  <c r="C24" i="3"/>
  <c r="D24" i="3"/>
  <c r="C25" i="3"/>
  <c r="D25" i="3"/>
  <c r="D26" i="3"/>
  <c r="D27" i="3"/>
  <c r="D28" i="3"/>
  <c r="C29" i="3"/>
  <c r="D29" i="3"/>
  <c r="D30" i="3"/>
  <c r="D31" i="3"/>
  <c r="D32" i="3"/>
  <c r="D33" i="3"/>
  <c r="D34" i="3"/>
  <c r="D35" i="3"/>
  <c r="D36" i="3"/>
  <c r="D37" i="3"/>
  <c r="D38" i="3"/>
  <c r="D39" i="3"/>
  <c r="B41" i="3"/>
  <c r="C41" i="3"/>
  <c r="D41" i="3"/>
  <c r="D45" i="3"/>
  <c r="D46" i="3"/>
  <c r="D47" i="3"/>
  <c r="C48" i="3"/>
  <c r="D48" i="3"/>
  <c r="D49" i="3"/>
  <c r="D50" i="3"/>
  <c r="D52" i="3"/>
  <c r="D55" i="3"/>
  <c r="D61" i="3"/>
  <c r="C9" i="1"/>
  <c r="B14" i="1"/>
  <c r="B16" i="1"/>
  <c r="C18" i="1"/>
  <c r="C23" i="1"/>
  <c r="C27" i="1"/>
  <c r="C28" i="1"/>
  <c r="C30" i="1"/>
</calcChain>
</file>

<file path=xl/sharedStrings.xml><?xml version="1.0" encoding="utf-8"?>
<sst xmlns="http://schemas.openxmlformats.org/spreadsheetml/2006/main" count="125" uniqueCount="106">
  <si>
    <t>ENRON NORTH AMERICA</t>
  </si>
  <si>
    <t>Transport Region</t>
  </si>
  <si>
    <t xml:space="preserve">Restatement of NGP &amp; L </t>
  </si>
  <si>
    <t xml:space="preserve"> </t>
  </si>
  <si>
    <t>NGP &amp; L</t>
  </si>
  <si>
    <t>Transport</t>
  </si>
  <si>
    <t>Compressor Fuel True Up</t>
  </si>
  <si>
    <t>Unaccounted for Gas Loss True Up</t>
  </si>
  <si>
    <t>3rd Party Transport Revenue True Up</t>
  </si>
  <si>
    <t>3rd Party Transport Expense True Up</t>
  </si>
  <si>
    <t>Transport Sub-Total</t>
  </si>
  <si>
    <t xml:space="preserve">M-to-M Issues </t>
  </si>
  <si>
    <t>Originations</t>
  </si>
  <si>
    <t>Broker Fees</t>
  </si>
  <si>
    <t>M-T-M Sub-Total</t>
  </si>
  <si>
    <t>Miscellaneous</t>
  </si>
  <si>
    <t>Miscellaneous Sub-Total</t>
  </si>
  <si>
    <t>Change Last Day NGP&amp;L to Restated NGP&amp;L</t>
  </si>
  <si>
    <t xml:space="preserve">                                                          For the Production Month Ended February 29, 2000</t>
  </si>
  <si>
    <t xml:space="preserve">       Less: Adjustments for December 1999</t>
  </si>
  <si>
    <t>NGP &amp; L February 2000 only</t>
  </si>
  <si>
    <t>Restated NGP &amp; L (February 1999)</t>
  </si>
  <si>
    <t>3rd Party Transport Expense</t>
  </si>
  <si>
    <t>ED</t>
  </si>
  <si>
    <t>Counterparty</t>
  </si>
  <si>
    <t>Flash Amount</t>
  </si>
  <si>
    <t xml:space="preserve"> GL Amount</t>
  </si>
  <si>
    <t>Difference</t>
  </si>
  <si>
    <t>Channel Industries</t>
  </si>
  <si>
    <t>Dow Pipeline Company</t>
  </si>
  <si>
    <t>East Texas Gas Systems</t>
  </si>
  <si>
    <t>El Paso Offshore Gathering</t>
  </si>
  <si>
    <t>MidCon Texas Pipeline Operator</t>
  </si>
  <si>
    <t>Lavaca Pipeline Company</t>
  </si>
  <si>
    <t>Unit Gas Transmission Company</t>
  </si>
  <si>
    <t>Southland</t>
  </si>
  <si>
    <t>Tejas Ship Channel</t>
  </si>
  <si>
    <t>Reliant Entex Energy</t>
  </si>
  <si>
    <t>Total</t>
  </si>
  <si>
    <t>MARTIN - needs to be tsf to Texas</t>
  </si>
  <si>
    <t>0002 GL</t>
  </si>
  <si>
    <t>Black Marlin</t>
  </si>
  <si>
    <t>Unit</t>
  </si>
  <si>
    <t>SHARP - needs to be tsf to Asset Group</t>
  </si>
  <si>
    <t>Humble Gas Pipeline Co.</t>
  </si>
  <si>
    <t>Duke Energy Field Services</t>
  </si>
  <si>
    <t>Tejas Gas Operating, LLC</t>
  </si>
  <si>
    <t>King Ranch Gas Plant</t>
  </si>
  <si>
    <t>PG&amp;E Hydrocarbons, LP</t>
  </si>
  <si>
    <t>Gulf Plain Processing Plant</t>
  </si>
  <si>
    <t>Gulf Coast Pipeline Company</t>
  </si>
  <si>
    <t>Gulf Energy Pipeline, LLC</t>
  </si>
  <si>
    <t>3rd Party Transport Revenue</t>
  </si>
  <si>
    <t>Amoco Eenrgy Trading</t>
  </si>
  <si>
    <t>Anadarko Energy Services</t>
  </si>
  <si>
    <t>Aquila Southwest Mktg.</t>
  </si>
  <si>
    <t>Chevron USA</t>
  </si>
  <si>
    <t>Conoco Inc.</t>
  </si>
  <si>
    <t>Copano Energy Services</t>
  </si>
  <si>
    <t>Dow Hydrocarbons</t>
  </si>
  <si>
    <t>Duke Energy Field</t>
  </si>
  <si>
    <t>Duke Energy Trading</t>
  </si>
  <si>
    <t>Dynegy Marketing and Trade</t>
  </si>
  <si>
    <t>El Paso Merchant Energy</t>
  </si>
  <si>
    <t>Engage Energy US</t>
  </si>
  <si>
    <t>Entex Gas Marketing</t>
  </si>
  <si>
    <t>EOG Resources Mktg. Inc.</t>
  </si>
  <si>
    <t>Exxon Company USA</t>
  </si>
  <si>
    <t>Four Square Gas Company</t>
  </si>
  <si>
    <t>GulkMark Energy</t>
  </si>
  <si>
    <t>Helmerich &amp; Payne Inc.</t>
  </si>
  <si>
    <t>Mobil Natural Gas</t>
  </si>
  <si>
    <t>ONEOK Gas Mktg.</t>
  </si>
  <si>
    <t>PG&amp;E Texas Pipeline</t>
  </si>
  <si>
    <t>Reliant Energy Entex</t>
  </si>
  <si>
    <t>Reliant Energy Services</t>
  </si>
  <si>
    <t>Tejas Ship Channel, LLC</t>
  </si>
  <si>
    <t>Texaco Exploration &amp; Production</t>
  </si>
  <si>
    <t>Texaco Natural Gas</t>
  </si>
  <si>
    <t>Texas General Land Office</t>
  </si>
  <si>
    <t>TXU Lone Star</t>
  </si>
  <si>
    <t>Union Pacific Resources</t>
  </si>
  <si>
    <t>Vastar Resources</t>
  </si>
  <si>
    <t xml:space="preserve">4950 999 </t>
  </si>
  <si>
    <t>Calpine Fuels Texas</t>
  </si>
  <si>
    <t>Lamay</t>
  </si>
  <si>
    <t>Reliant Energy</t>
  </si>
  <si>
    <t>Temple Inland</t>
  </si>
  <si>
    <t>Zeneca</t>
  </si>
  <si>
    <t>Schneider</t>
  </si>
  <si>
    <t>4920 951 -Condensate Sales</t>
  </si>
  <si>
    <t>Riser HPL Drip</t>
  </si>
  <si>
    <t>4890 999 Tsf to Storage</t>
  </si>
  <si>
    <t>Sempra Energy</t>
  </si>
  <si>
    <t>Storage</t>
  </si>
  <si>
    <t>0003 GL</t>
  </si>
  <si>
    <t>8590 999</t>
  </si>
  <si>
    <t>Gas Loss</t>
  </si>
  <si>
    <t>Coral Energy Resources</t>
  </si>
  <si>
    <t>Esenjay Exploration</t>
  </si>
  <si>
    <t>Tejas Gas Pipeline</t>
  </si>
  <si>
    <t>CP&amp;L</t>
  </si>
  <si>
    <t>1999 HMS Income</t>
  </si>
  <si>
    <t>Transport Revenue - Tom Martin</t>
  </si>
  <si>
    <t>.797 to Ed</t>
  </si>
  <si>
    <t>4950 999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</si>
</sst>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1" applyNumberFormat="1" applyFont="1" applyAlignment="1">
      <alignment horizontal="centerContinuous"/>
    </xf>
    <xf numFmtId="0" fontId="2" fillId="0" borderId="0" xfId="0" applyFont="1" applyAlignment="1"/>
    <xf numFmtId="164" fontId="3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165" fontId="2" fillId="0" borderId="0" xfId="2" applyNumberFormat="1" applyFont="1"/>
    <xf numFmtId="165" fontId="3" fillId="0" borderId="0" xfId="2" applyNumberFormat="1" applyFont="1"/>
    <xf numFmtId="165" fontId="3" fillId="0" borderId="0" xfId="2" applyNumberFormat="1" applyFont="1" applyBorder="1"/>
    <xf numFmtId="165" fontId="3" fillId="0" borderId="1" xfId="2" applyNumberFormat="1" applyFont="1" applyBorder="1"/>
    <xf numFmtId="164" fontId="2" fillId="0" borderId="0" xfId="0" applyNumberFormat="1" applyFont="1" applyBorder="1"/>
    <xf numFmtId="165" fontId="2" fillId="0" borderId="1" xfId="2" applyNumberFormat="1" applyFont="1" applyBorder="1"/>
    <xf numFmtId="165" fontId="2" fillId="0" borderId="2" xfId="2" applyNumberFormat="1" applyFont="1" applyBorder="1"/>
    <xf numFmtId="164" fontId="2" fillId="0" borderId="0" xfId="1" applyNumberFormat="1" applyFont="1" applyBorder="1"/>
    <xf numFmtId="165" fontId="2" fillId="0" borderId="0" xfId="2" applyNumberFormat="1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165" fontId="0" fillId="0" borderId="0" xfId="2" applyNumberFormat="1" applyFont="1"/>
    <xf numFmtId="165" fontId="0" fillId="0" borderId="0" xfId="0" applyNumberFormat="1"/>
    <xf numFmtId="0" fontId="5" fillId="2" borderId="0" xfId="0" applyFont="1" applyFill="1"/>
    <xf numFmtId="0" fontId="0" fillId="2" borderId="0" xfId="0" applyFill="1"/>
    <xf numFmtId="0" fontId="0" fillId="0" borderId="0" xfId="0" applyFill="1"/>
    <xf numFmtId="0" fontId="2" fillId="2" borderId="0" xfId="0" applyFont="1" applyFill="1"/>
    <xf numFmtId="0" fontId="2" fillId="0" borderId="0" xfId="0" quotePrefix="1" applyFont="1"/>
    <xf numFmtId="165" fontId="0" fillId="2" borderId="0" xfId="2" applyNumberFormat="1" applyFont="1" applyFill="1"/>
    <xf numFmtId="0" fontId="3" fillId="2" borderId="0" xfId="0" applyFont="1" applyFill="1" applyAlignment="1">
      <alignment horizontal="left"/>
    </xf>
    <xf numFmtId="165" fontId="0" fillId="2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0"/>
  <sheetViews>
    <sheetView tabSelected="1" workbookViewId="0">
      <selection activeCell="B13" sqref="B13"/>
    </sheetView>
  </sheetViews>
  <sheetFormatPr defaultRowHeight="13.2" x14ac:dyDescent="0.25"/>
  <cols>
    <col min="1" max="1" width="50.88671875" customWidth="1"/>
    <col min="2" max="2" width="23.44140625" customWidth="1"/>
    <col min="3" max="3" width="20.33203125" customWidth="1"/>
  </cols>
  <sheetData>
    <row r="1" spans="1:3" x14ac:dyDescent="0.25">
      <c r="A1" s="1" t="s">
        <v>0</v>
      </c>
      <c r="B1" s="2"/>
      <c r="C1" s="3"/>
    </row>
    <row r="2" spans="1:3" x14ac:dyDescent="0.25">
      <c r="A2" s="1" t="s">
        <v>1</v>
      </c>
      <c r="B2" s="2"/>
      <c r="C2" s="3"/>
    </row>
    <row r="3" spans="1:3" x14ac:dyDescent="0.25">
      <c r="A3" s="1" t="s">
        <v>2</v>
      </c>
      <c r="B3" s="2"/>
      <c r="C3" s="3"/>
    </row>
    <row r="4" spans="1:3" x14ac:dyDescent="0.25">
      <c r="A4" s="4" t="s">
        <v>18</v>
      </c>
      <c r="B4" s="2"/>
      <c r="C4" s="5"/>
    </row>
    <row r="5" spans="1:3" x14ac:dyDescent="0.25">
      <c r="A5" s="6" t="s">
        <v>3</v>
      </c>
      <c r="B5" s="7"/>
      <c r="C5" s="7"/>
    </row>
    <row r="6" spans="1:3" x14ac:dyDescent="0.25">
      <c r="A6" s="7"/>
      <c r="B6" s="7"/>
      <c r="C6" s="5"/>
    </row>
    <row r="7" spans="1:3" x14ac:dyDescent="0.25">
      <c r="A7" s="8" t="s">
        <v>4</v>
      </c>
      <c r="B7" s="7"/>
      <c r="C7" s="9">
        <v>2338659</v>
      </c>
    </row>
    <row r="8" spans="1:3" x14ac:dyDescent="0.25">
      <c r="A8" s="7" t="s">
        <v>19</v>
      </c>
      <c r="B8" s="10"/>
      <c r="C8" s="11">
        <v>0</v>
      </c>
    </row>
    <row r="9" spans="1:3" x14ac:dyDescent="0.25">
      <c r="A9" s="8" t="s">
        <v>20</v>
      </c>
      <c r="B9" s="8"/>
      <c r="C9" s="9">
        <f>C7-C8</f>
        <v>2338659</v>
      </c>
    </row>
    <row r="10" spans="1:3" x14ac:dyDescent="0.25">
      <c r="A10" s="8"/>
      <c r="B10" s="8"/>
      <c r="C10" s="9"/>
    </row>
    <row r="11" spans="1:3" x14ac:dyDescent="0.25">
      <c r="A11" s="1"/>
      <c r="B11" s="5"/>
      <c r="C11" s="5"/>
    </row>
    <row r="12" spans="1:3" x14ac:dyDescent="0.25">
      <c r="A12" s="8" t="s">
        <v>5</v>
      </c>
      <c r="B12" s="7"/>
      <c r="C12" s="7"/>
    </row>
    <row r="13" spans="1:3" x14ac:dyDescent="0.25">
      <c r="A13" s="7" t="s">
        <v>6</v>
      </c>
      <c r="B13" s="10">
        <v>-80860</v>
      </c>
      <c r="C13" s="7"/>
    </row>
    <row r="14" spans="1:3" x14ac:dyDescent="0.25">
      <c r="A14" s="7" t="s">
        <v>7</v>
      </c>
      <c r="B14" s="10">
        <f>5100</f>
        <v>5100</v>
      </c>
      <c r="C14" s="7"/>
    </row>
    <row r="15" spans="1:3" x14ac:dyDescent="0.25">
      <c r="A15" s="7" t="s">
        <v>103</v>
      </c>
      <c r="B15" s="10">
        <v>-105064</v>
      </c>
      <c r="C15" s="7"/>
    </row>
    <row r="16" spans="1:3" x14ac:dyDescent="0.25">
      <c r="A16" s="7" t="s">
        <v>8</v>
      </c>
      <c r="B16" s="10">
        <f>-21099+7543</f>
        <v>-13556</v>
      </c>
      <c r="C16" s="7"/>
    </row>
    <row r="17" spans="1:3" x14ac:dyDescent="0.25">
      <c r="A17" s="7" t="s">
        <v>9</v>
      </c>
      <c r="B17" s="12">
        <v>-7700</v>
      </c>
      <c r="C17" s="7"/>
    </row>
    <row r="18" spans="1:3" x14ac:dyDescent="0.25">
      <c r="A18" s="1" t="s">
        <v>10</v>
      </c>
      <c r="B18" s="5"/>
      <c r="C18" s="9">
        <f>SUM(B13:B17)</f>
        <v>-202080</v>
      </c>
    </row>
    <row r="19" spans="1:3" x14ac:dyDescent="0.25">
      <c r="A19" s="7"/>
      <c r="B19" s="7"/>
      <c r="C19" s="7"/>
    </row>
    <row r="20" spans="1:3" x14ac:dyDescent="0.25">
      <c r="A20" s="8" t="s">
        <v>11</v>
      </c>
      <c r="B20" s="7"/>
      <c r="C20" s="7"/>
    </row>
    <row r="21" spans="1:3" x14ac:dyDescent="0.25">
      <c r="A21" s="7" t="s">
        <v>12</v>
      </c>
      <c r="B21" s="11">
        <v>0</v>
      </c>
      <c r="C21" s="7"/>
    </row>
    <row r="22" spans="1:3" x14ac:dyDescent="0.25">
      <c r="A22" s="7" t="s">
        <v>13</v>
      </c>
      <c r="B22" s="12">
        <v>0</v>
      </c>
      <c r="C22" s="7"/>
    </row>
    <row r="23" spans="1:3" x14ac:dyDescent="0.25">
      <c r="A23" s="1" t="s">
        <v>14</v>
      </c>
      <c r="B23" s="5"/>
      <c r="C23" s="9">
        <f>SUM(B21:B22)</f>
        <v>0</v>
      </c>
    </row>
    <row r="24" spans="1:3" x14ac:dyDescent="0.25">
      <c r="A24" s="1"/>
      <c r="B24" s="5"/>
      <c r="C24" s="7"/>
    </row>
    <row r="25" spans="1:3" x14ac:dyDescent="0.25">
      <c r="A25" s="8" t="s">
        <v>15</v>
      </c>
      <c r="B25" s="5"/>
      <c r="C25" s="7"/>
    </row>
    <row r="26" spans="1:3" x14ac:dyDescent="0.25">
      <c r="A26" s="7" t="s">
        <v>3</v>
      </c>
      <c r="B26" s="12">
        <v>0</v>
      </c>
      <c r="C26" s="13"/>
    </row>
    <row r="27" spans="1:3" x14ac:dyDescent="0.25">
      <c r="A27" s="1" t="s">
        <v>16</v>
      </c>
      <c r="B27" s="7"/>
      <c r="C27" s="14">
        <f>SUM(B26:B26)</f>
        <v>0</v>
      </c>
    </row>
    <row r="28" spans="1:3" ht="13.8" thickBot="1" x14ac:dyDescent="0.3">
      <c r="A28" s="8" t="s">
        <v>21</v>
      </c>
      <c r="B28" s="7"/>
      <c r="C28" s="15">
        <f>SUM(C9:C27)</f>
        <v>2136579</v>
      </c>
    </row>
    <row r="29" spans="1:3" ht="13.8" thickTop="1" x14ac:dyDescent="0.25">
      <c r="A29" s="7"/>
      <c r="B29" s="8"/>
      <c r="C29" s="16"/>
    </row>
    <row r="30" spans="1:3" x14ac:dyDescent="0.25">
      <c r="A30" s="8" t="s">
        <v>17</v>
      </c>
      <c r="B30" s="8"/>
      <c r="C30" s="17">
        <f>C28-C9</f>
        <v>-202080</v>
      </c>
    </row>
  </sheetData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1"/>
  <sheetViews>
    <sheetView topLeftCell="A13" workbookViewId="0">
      <selection activeCell="E42" sqref="E42"/>
    </sheetView>
  </sheetViews>
  <sheetFormatPr defaultRowHeight="13.2" x14ac:dyDescent="0.25"/>
  <cols>
    <col min="1" max="1" width="32.33203125" customWidth="1"/>
    <col min="2" max="2" width="15" customWidth="1"/>
    <col min="3" max="3" width="13" customWidth="1"/>
    <col min="4" max="4" width="10.33203125" customWidth="1"/>
    <col min="5" max="5" width="12.6640625" customWidth="1"/>
  </cols>
  <sheetData>
    <row r="2" spans="1:5" ht="15.6" x14ac:dyDescent="0.3">
      <c r="B2" s="18" t="s">
        <v>22</v>
      </c>
    </row>
    <row r="4" spans="1:5" ht="15.6" x14ac:dyDescent="0.3">
      <c r="A4" s="19" t="s">
        <v>23</v>
      </c>
    </row>
    <row r="5" spans="1:5" x14ac:dyDescent="0.25">
      <c r="A5" s="8" t="s">
        <v>24</v>
      </c>
      <c r="B5" s="8" t="s">
        <v>25</v>
      </c>
      <c r="C5" s="8" t="s">
        <v>26</v>
      </c>
      <c r="D5" s="8" t="s">
        <v>27</v>
      </c>
    </row>
    <row r="6" spans="1:5" x14ac:dyDescent="0.25">
      <c r="A6" s="20" t="s">
        <v>28</v>
      </c>
      <c r="B6" s="21">
        <v>-260.10000000000002</v>
      </c>
      <c r="C6" s="21">
        <v>-239.28</v>
      </c>
      <c r="D6" s="22">
        <f>-B6+C6</f>
        <v>20.820000000000022</v>
      </c>
    </row>
    <row r="7" spans="1:5" x14ac:dyDescent="0.25">
      <c r="A7" s="20" t="s">
        <v>28</v>
      </c>
      <c r="B7" s="21"/>
      <c r="C7" s="21"/>
      <c r="D7" s="22">
        <f t="shared" ref="D7:D17" si="0">-B7+C7</f>
        <v>0</v>
      </c>
    </row>
    <row r="8" spans="1:5" x14ac:dyDescent="0.25">
      <c r="A8" s="20" t="s">
        <v>29</v>
      </c>
      <c r="B8" s="21">
        <v>-579.57000000000005</v>
      </c>
      <c r="C8" s="21">
        <v>-477.64</v>
      </c>
      <c r="D8" s="22">
        <f t="shared" si="0"/>
        <v>101.93000000000006</v>
      </c>
    </row>
    <row r="9" spans="1:5" x14ac:dyDescent="0.25">
      <c r="A9" s="20" t="s">
        <v>30</v>
      </c>
      <c r="B9" s="21">
        <v>-250</v>
      </c>
      <c r="C9" s="21">
        <v>-250</v>
      </c>
      <c r="D9" s="22">
        <f t="shared" si="0"/>
        <v>0</v>
      </c>
    </row>
    <row r="10" spans="1:5" x14ac:dyDescent="0.25">
      <c r="A10" s="20" t="s">
        <v>31</v>
      </c>
      <c r="B10" s="21">
        <v>-1160</v>
      </c>
      <c r="C10" s="21">
        <f>-928-232</f>
        <v>-1160</v>
      </c>
      <c r="D10" s="22">
        <f t="shared" si="0"/>
        <v>0</v>
      </c>
    </row>
    <row r="11" spans="1:5" x14ac:dyDescent="0.25">
      <c r="A11" s="20" t="s">
        <v>31</v>
      </c>
      <c r="B11" s="21"/>
      <c r="C11" s="21"/>
      <c r="D11" s="22">
        <f t="shared" si="0"/>
        <v>0</v>
      </c>
    </row>
    <row r="12" spans="1:5" x14ac:dyDescent="0.25">
      <c r="A12" s="20" t="s">
        <v>32</v>
      </c>
      <c r="B12" s="21">
        <v>-364.39</v>
      </c>
      <c r="C12" s="21">
        <v>-350</v>
      </c>
      <c r="D12" s="22">
        <f t="shared" si="0"/>
        <v>14.389999999999986</v>
      </c>
    </row>
    <row r="13" spans="1:5" x14ac:dyDescent="0.25">
      <c r="A13" s="20" t="s">
        <v>33</v>
      </c>
      <c r="B13" s="21">
        <v>-50</v>
      </c>
      <c r="C13" s="21">
        <v>-50</v>
      </c>
      <c r="D13" s="22">
        <f t="shared" si="0"/>
        <v>0</v>
      </c>
    </row>
    <row r="14" spans="1:5" x14ac:dyDescent="0.25">
      <c r="A14" s="20" t="s">
        <v>34</v>
      </c>
      <c r="B14" s="21">
        <v>-11823.52</v>
      </c>
      <c r="C14" s="21">
        <v>-9788</v>
      </c>
      <c r="D14" s="22">
        <f t="shared" si="0"/>
        <v>2035.5200000000004</v>
      </c>
      <c r="E14" t="s">
        <v>104</v>
      </c>
    </row>
    <row r="15" spans="1:5" x14ac:dyDescent="0.25">
      <c r="A15" s="20" t="s">
        <v>35</v>
      </c>
      <c r="B15" s="21"/>
      <c r="C15" s="21">
        <v>-7050</v>
      </c>
      <c r="D15" s="22">
        <f t="shared" si="0"/>
        <v>-7050</v>
      </c>
    </row>
    <row r="16" spans="1:5" x14ac:dyDescent="0.25">
      <c r="A16" s="20" t="s">
        <v>36</v>
      </c>
      <c r="B16" s="21">
        <v>-3781.89</v>
      </c>
      <c r="C16" s="21">
        <v>-6852.06</v>
      </c>
      <c r="D16" s="22">
        <f t="shared" si="0"/>
        <v>-3070.1700000000005</v>
      </c>
    </row>
    <row r="17" spans="1:7" x14ac:dyDescent="0.25">
      <c r="A17" s="20" t="s">
        <v>37</v>
      </c>
      <c r="B17" s="21">
        <v>-580</v>
      </c>
      <c r="C17" s="21">
        <v>-332.35</v>
      </c>
      <c r="D17" s="22">
        <f t="shared" si="0"/>
        <v>247.64999999999998</v>
      </c>
    </row>
    <row r="19" spans="1:7" x14ac:dyDescent="0.25">
      <c r="A19" t="s">
        <v>38</v>
      </c>
      <c r="B19" s="22">
        <f>SUM(B6:B18)</f>
        <v>-18849.47</v>
      </c>
      <c r="C19" s="22">
        <f>SUM(C6:C18)</f>
        <v>-26549.329999999998</v>
      </c>
      <c r="D19" s="22">
        <f>SUM(D6:D18)</f>
        <v>-7699.8600000000006</v>
      </c>
    </row>
    <row r="21" spans="1:7" ht="15.6" x14ac:dyDescent="0.3">
      <c r="A21" s="23" t="s">
        <v>39</v>
      </c>
      <c r="B21" s="24"/>
      <c r="C21" s="25"/>
      <c r="D21" s="25"/>
    </row>
    <row r="22" spans="1:7" x14ac:dyDescent="0.25">
      <c r="A22" s="26" t="s">
        <v>24</v>
      </c>
      <c r="B22" s="8" t="s">
        <v>25</v>
      </c>
      <c r="C22" s="27" t="s">
        <v>40</v>
      </c>
      <c r="D22" s="27" t="s">
        <v>95</v>
      </c>
      <c r="E22" s="8" t="s">
        <v>26</v>
      </c>
      <c r="F22" s="8" t="s">
        <v>27</v>
      </c>
    </row>
    <row r="23" spans="1:7" x14ac:dyDescent="0.25">
      <c r="A23" s="24" t="s">
        <v>41</v>
      </c>
      <c r="B23" s="21"/>
      <c r="C23" s="28">
        <v>-44356.5</v>
      </c>
      <c r="D23" s="28">
        <f>-45838.98+44356.5</f>
        <v>-1482.4800000000032</v>
      </c>
      <c r="E23" s="28">
        <f>SUM(C23:D23)</f>
        <v>-45838.98</v>
      </c>
      <c r="F23" s="22">
        <f>-B23+E23</f>
        <v>-45838.98</v>
      </c>
    </row>
    <row r="24" spans="1:7" x14ac:dyDescent="0.25">
      <c r="A24" s="24" t="s">
        <v>35</v>
      </c>
      <c r="B24" s="21"/>
      <c r="C24" s="28">
        <v>0</v>
      </c>
      <c r="D24" s="28">
        <v>-3066</v>
      </c>
      <c r="E24" s="28">
        <f>SUM(C24:D24)</f>
        <v>-3066</v>
      </c>
      <c r="F24" s="22">
        <f>-B24+E24</f>
        <v>-3066</v>
      </c>
      <c r="G24" t="s">
        <v>104</v>
      </c>
    </row>
    <row r="25" spans="1:7" x14ac:dyDescent="0.25">
      <c r="A25" s="24" t="s">
        <v>42</v>
      </c>
      <c r="B25" s="21"/>
      <c r="C25" s="28">
        <v>0</v>
      </c>
      <c r="D25" s="28">
        <v>-2493</v>
      </c>
      <c r="E25" s="28">
        <f>SUM(C25:D25)</f>
        <v>-2493</v>
      </c>
      <c r="F25" s="22">
        <f>-B25+E25</f>
        <v>-2493</v>
      </c>
    </row>
    <row r="26" spans="1:7" x14ac:dyDescent="0.25">
      <c r="B26" s="21">
        <f>SUM(B23:B25)</f>
        <v>0</v>
      </c>
      <c r="C26" s="28"/>
      <c r="D26" s="28"/>
      <c r="E26" s="28">
        <f>SUM(E23:E25)</f>
        <v>-51397.98</v>
      </c>
      <c r="F26" s="22">
        <f>SUM(F23:F25)</f>
        <v>-51397.98</v>
      </c>
    </row>
    <row r="28" spans="1:7" ht="15.6" x14ac:dyDescent="0.3">
      <c r="A28" s="23" t="s">
        <v>43</v>
      </c>
      <c r="B28" s="24"/>
      <c r="C28" s="28"/>
      <c r="D28" s="28"/>
      <c r="E28" s="24"/>
    </row>
    <row r="29" spans="1:7" x14ac:dyDescent="0.25">
      <c r="A29" s="29" t="s">
        <v>44</v>
      </c>
      <c r="B29" s="24"/>
      <c r="C29" s="28">
        <f>-21200-87.5-4501.89-660.92-28917</f>
        <v>-55367.31</v>
      </c>
      <c r="D29" s="28">
        <f>-21200-28917-5186.85-87.5-660.93+21200+87.5+4501.89+660.92+28917</f>
        <v>-684.97000000000116</v>
      </c>
      <c r="E29" s="28">
        <f t="shared" ref="E29:E36" si="1">SUM(C29:D29)</f>
        <v>-56052.28</v>
      </c>
    </row>
    <row r="30" spans="1:7" x14ac:dyDescent="0.25">
      <c r="A30" s="29" t="s">
        <v>45</v>
      </c>
      <c r="B30" s="24"/>
      <c r="C30" s="28">
        <v>-180.25</v>
      </c>
      <c r="D30" s="28">
        <f>-16.3+180.25</f>
        <v>163.95</v>
      </c>
      <c r="E30" s="28">
        <f t="shared" si="1"/>
        <v>-16.300000000000011</v>
      </c>
    </row>
    <row r="31" spans="1:7" x14ac:dyDescent="0.25">
      <c r="A31" s="29" t="s">
        <v>46</v>
      </c>
      <c r="B31" s="24"/>
      <c r="C31" s="28">
        <v>-1626.24</v>
      </c>
      <c r="D31" s="28">
        <f>-438.89+1626.24</f>
        <v>1187.3499999999999</v>
      </c>
      <c r="E31" s="28">
        <f t="shared" si="1"/>
        <v>-438.8900000000001</v>
      </c>
    </row>
    <row r="32" spans="1:7" x14ac:dyDescent="0.25">
      <c r="A32" s="29" t="s">
        <v>47</v>
      </c>
      <c r="B32" s="24"/>
      <c r="C32" s="28"/>
      <c r="D32" s="28"/>
      <c r="E32" s="28">
        <f t="shared" si="1"/>
        <v>0</v>
      </c>
    </row>
    <row r="33" spans="1:5" x14ac:dyDescent="0.25">
      <c r="A33" s="29" t="s">
        <v>48</v>
      </c>
      <c r="B33" s="24"/>
      <c r="C33" s="28"/>
      <c r="D33" s="28">
        <v>-7240.25</v>
      </c>
      <c r="E33" s="28">
        <f t="shared" si="1"/>
        <v>-7240.25</v>
      </c>
    </row>
    <row r="34" spans="1:5" x14ac:dyDescent="0.25">
      <c r="A34" s="29" t="s">
        <v>49</v>
      </c>
      <c r="B34" s="24"/>
      <c r="C34" s="28"/>
      <c r="D34" s="28"/>
      <c r="E34" s="28">
        <f t="shared" si="1"/>
        <v>0</v>
      </c>
    </row>
    <row r="35" spans="1:5" x14ac:dyDescent="0.25">
      <c r="A35" s="29" t="s">
        <v>50</v>
      </c>
      <c r="B35" s="24"/>
      <c r="C35" s="28">
        <v>-7296</v>
      </c>
      <c r="D35" s="28">
        <f>-4714.1+7296</f>
        <v>2581.8999999999996</v>
      </c>
      <c r="E35" s="28">
        <f t="shared" si="1"/>
        <v>-4714.1000000000004</v>
      </c>
    </row>
    <row r="36" spans="1:5" x14ac:dyDescent="0.25">
      <c r="A36" s="29" t="s">
        <v>51</v>
      </c>
      <c r="B36" s="24"/>
      <c r="C36" s="28">
        <f>-1528.3-172.55-8017.92-232-97184.41</f>
        <v>-107135.18000000001</v>
      </c>
      <c r="D36" s="28">
        <f>-103167.92+-1744.45-8017.92-232-88.13-12.59+1528.3+172.55+8017.92+232+97184.41+28758.3</f>
        <v>22630.470000000012</v>
      </c>
      <c r="E36" s="28">
        <f t="shared" si="1"/>
        <v>-84504.709999999992</v>
      </c>
    </row>
    <row r="37" spans="1:5" x14ac:dyDescent="0.25">
      <c r="A37" s="24"/>
      <c r="B37" s="24"/>
      <c r="C37" s="28"/>
      <c r="D37" s="28"/>
      <c r="E37" s="24"/>
    </row>
    <row r="38" spans="1:5" x14ac:dyDescent="0.25">
      <c r="A38" s="24"/>
      <c r="B38" s="24"/>
      <c r="C38" s="28"/>
      <c r="D38" s="28"/>
      <c r="E38" s="30">
        <f>SUM(E29:E37)</f>
        <v>-152966.53</v>
      </c>
    </row>
    <row r="40" spans="1:5" x14ac:dyDescent="0.25">
      <c r="A40" t="s">
        <v>96</v>
      </c>
    </row>
    <row r="41" spans="1:5" x14ac:dyDescent="0.25">
      <c r="A41" t="s">
        <v>97</v>
      </c>
      <c r="D41" s="21">
        <v>-131961.84</v>
      </c>
      <c r="E41" t="s">
        <v>89</v>
      </c>
    </row>
  </sheetData>
  <pageMargins left="0.75" right="0.75" top="1" bottom="1" header="0.5" footer="0.5"/>
  <pageSetup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61"/>
  <sheetViews>
    <sheetView workbookViewId="0">
      <selection activeCell="A47" sqref="A47:IV47"/>
    </sheetView>
  </sheetViews>
  <sheetFormatPr defaultRowHeight="13.2" x14ac:dyDescent="0.25"/>
  <cols>
    <col min="1" max="1" width="27.6640625" customWidth="1"/>
    <col min="2" max="2" width="14.33203125" customWidth="1"/>
    <col min="3" max="3" width="15.6640625" customWidth="1"/>
    <col min="4" max="4" width="13" customWidth="1"/>
  </cols>
  <sheetData>
    <row r="2" spans="1:4" ht="15.6" x14ac:dyDescent="0.3">
      <c r="B2" s="18" t="s">
        <v>52</v>
      </c>
    </row>
    <row r="5" spans="1:4" x14ac:dyDescent="0.25">
      <c r="A5" s="8" t="s">
        <v>24</v>
      </c>
      <c r="B5" s="8" t="s">
        <v>25</v>
      </c>
      <c r="C5" s="8" t="s">
        <v>26</v>
      </c>
      <c r="D5" s="8" t="s">
        <v>27</v>
      </c>
    </row>
    <row r="6" spans="1:4" x14ac:dyDescent="0.25">
      <c r="A6" t="s">
        <v>53</v>
      </c>
      <c r="B6" s="21">
        <v>47029.8</v>
      </c>
      <c r="C6" s="21">
        <f>13322.13+175+5310.29+1725.5+26425+5425.84+4914.65+1380.82+26425-13322.13-175-5310.29-1725.5-26425</f>
        <v>38146.31</v>
      </c>
      <c r="D6" s="21">
        <f>-B6+C6</f>
        <v>-8883.4900000000052</v>
      </c>
    </row>
    <row r="7" spans="1:4" x14ac:dyDescent="0.25">
      <c r="A7" t="s">
        <v>54</v>
      </c>
      <c r="B7" s="21">
        <v>25307.4</v>
      </c>
      <c r="C7" s="21">
        <f>2562.63+22631.61+2526.6+22188.13-2562.63-22631.61</f>
        <v>24714.730000000003</v>
      </c>
      <c r="D7" s="21">
        <f t="shared" ref="D7:D39" si="0">-B7+C7</f>
        <v>-592.66999999999825</v>
      </c>
    </row>
    <row r="8" spans="1:4" x14ac:dyDescent="0.25">
      <c r="A8" t="s">
        <v>55</v>
      </c>
      <c r="B8" s="21">
        <v>504.07</v>
      </c>
      <c r="C8" s="21">
        <v>508.11</v>
      </c>
      <c r="D8" s="21">
        <f t="shared" si="0"/>
        <v>4.0400000000000205</v>
      </c>
    </row>
    <row r="9" spans="1:4" x14ac:dyDescent="0.25">
      <c r="A9" t="s">
        <v>56</v>
      </c>
      <c r="B9" s="21">
        <v>6429.32</v>
      </c>
      <c r="C9" s="21">
        <v>7505.46</v>
      </c>
      <c r="D9" s="21">
        <f t="shared" si="0"/>
        <v>1076.1400000000003</v>
      </c>
    </row>
    <row r="10" spans="1:4" x14ac:dyDescent="0.25">
      <c r="A10" t="s">
        <v>57</v>
      </c>
      <c r="B10" s="21">
        <v>44676.47</v>
      </c>
      <c r="C10" s="21">
        <v>44450.02</v>
      </c>
      <c r="D10" s="21">
        <f t="shared" si="0"/>
        <v>-226.45000000000437</v>
      </c>
    </row>
    <row r="11" spans="1:4" x14ac:dyDescent="0.25">
      <c r="A11" t="s">
        <v>58</v>
      </c>
      <c r="B11" s="21">
        <v>13105.21</v>
      </c>
      <c r="C11" s="21">
        <f>12440+603.01+12305.87+603.01-12440-603.01</f>
        <v>12908.88</v>
      </c>
      <c r="D11" s="21">
        <f t="shared" si="0"/>
        <v>-196.32999999999993</v>
      </c>
    </row>
    <row r="12" spans="1:4" x14ac:dyDescent="0.25">
      <c r="A12" t="s">
        <v>98</v>
      </c>
      <c r="B12" s="21">
        <v>2635.32</v>
      </c>
      <c r="C12" s="21">
        <f>2622.21+1621.31-673.24-2622.21</f>
        <v>948.07000000000062</v>
      </c>
      <c r="D12" s="21">
        <f t="shared" si="0"/>
        <v>-1687.2499999999995</v>
      </c>
    </row>
    <row r="13" spans="1:4" x14ac:dyDescent="0.25">
      <c r="A13" t="s">
        <v>59</v>
      </c>
      <c r="B13" s="21">
        <v>353.39</v>
      </c>
      <c r="C13" s="21">
        <v>315.58</v>
      </c>
      <c r="D13" s="21">
        <f t="shared" si="0"/>
        <v>-37.81</v>
      </c>
    </row>
    <row r="14" spans="1:4" x14ac:dyDescent="0.25">
      <c r="A14" t="s">
        <v>60</v>
      </c>
      <c r="B14" s="21">
        <v>4946.67</v>
      </c>
      <c r="C14" s="21">
        <v>4930.28</v>
      </c>
      <c r="D14" s="21">
        <f t="shared" si="0"/>
        <v>-16.390000000000327</v>
      </c>
    </row>
    <row r="15" spans="1:4" x14ac:dyDescent="0.25">
      <c r="A15" t="s">
        <v>61</v>
      </c>
      <c r="B15" s="21">
        <v>1632.48</v>
      </c>
      <c r="C15" s="21">
        <f>603+1026.46+1026.46+328.32-603-1026.46</f>
        <v>1354.7800000000002</v>
      </c>
      <c r="D15" s="21">
        <f t="shared" si="0"/>
        <v>-277.69999999999982</v>
      </c>
    </row>
    <row r="16" spans="1:4" x14ac:dyDescent="0.25">
      <c r="A16" t="s">
        <v>62</v>
      </c>
      <c r="B16" s="21">
        <v>111610.91</v>
      </c>
      <c r="C16" s="21">
        <v>105772.72</v>
      </c>
      <c r="D16" s="21">
        <f t="shared" si="0"/>
        <v>-5838.1900000000023</v>
      </c>
    </row>
    <row r="17" spans="1:4" x14ac:dyDescent="0.25">
      <c r="A17" t="s">
        <v>63</v>
      </c>
      <c r="B17" s="21">
        <v>1950.54</v>
      </c>
      <c r="C17" s="21">
        <v>1950.54</v>
      </c>
      <c r="D17" s="21">
        <f t="shared" si="0"/>
        <v>0</v>
      </c>
    </row>
    <row r="18" spans="1:4" x14ac:dyDescent="0.25">
      <c r="A18" t="s">
        <v>64</v>
      </c>
      <c r="B18" s="21">
        <v>15919.26</v>
      </c>
      <c r="C18" s="21">
        <v>13209.42</v>
      </c>
      <c r="D18" s="21">
        <f t="shared" si="0"/>
        <v>-2709.84</v>
      </c>
    </row>
    <row r="19" spans="1:4" x14ac:dyDescent="0.25">
      <c r="A19" t="s">
        <v>65</v>
      </c>
      <c r="B19" s="21">
        <v>46774.879999999997</v>
      </c>
      <c r="C19" s="21">
        <f>37909.66+7125+1515.04+37910.07+7125+1500.55-37909.66-7125-1515.04</f>
        <v>46535.62</v>
      </c>
      <c r="D19" s="21">
        <f t="shared" si="0"/>
        <v>-239.25999999999476</v>
      </c>
    </row>
    <row r="20" spans="1:4" x14ac:dyDescent="0.25">
      <c r="A20" t="s">
        <v>66</v>
      </c>
      <c r="B20" s="21">
        <v>38662.839999999997</v>
      </c>
      <c r="C20" s="21">
        <v>38624.74</v>
      </c>
      <c r="D20" s="21">
        <f t="shared" si="0"/>
        <v>-38.099999999998545</v>
      </c>
    </row>
    <row r="21" spans="1:4" x14ac:dyDescent="0.25">
      <c r="A21" t="s">
        <v>99</v>
      </c>
      <c r="B21" s="21">
        <v>802.82</v>
      </c>
      <c r="C21" s="21">
        <v>802.82</v>
      </c>
      <c r="D21" s="21">
        <f t="shared" si="0"/>
        <v>0</v>
      </c>
    </row>
    <row r="22" spans="1:4" ht="12" customHeight="1" x14ac:dyDescent="0.25">
      <c r="A22" t="s">
        <v>67</v>
      </c>
      <c r="B22" s="21">
        <v>81209.22</v>
      </c>
      <c r="C22" s="21">
        <f>1480.16+79332.4+82082.9+1380.4-1480.16-79332.4</f>
        <v>83463.299999999988</v>
      </c>
      <c r="D22" s="21">
        <f t="shared" si="0"/>
        <v>2254.0799999999872</v>
      </c>
    </row>
    <row r="23" spans="1:4" x14ac:dyDescent="0.25">
      <c r="A23" t="s">
        <v>68</v>
      </c>
      <c r="B23" s="21">
        <v>2076.33</v>
      </c>
      <c r="C23" s="21">
        <v>1790.6</v>
      </c>
      <c r="D23" s="21">
        <f t="shared" si="0"/>
        <v>-285.73</v>
      </c>
    </row>
    <row r="24" spans="1:4" x14ac:dyDescent="0.25">
      <c r="A24" t="s">
        <v>69</v>
      </c>
      <c r="B24" s="21">
        <v>1349.27</v>
      </c>
      <c r="C24" s="21">
        <f>1064.35+213.6+66+1201.48+66+213.6-1064.35-213.6+-66</f>
        <v>1481.08</v>
      </c>
      <c r="D24" s="21">
        <f t="shared" si="0"/>
        <v>131.80999999999995</v>
      </c>
    </row>
    <row r="25" spans="1:4" x14ac:dyDescent="0.25">
      <c r="A25" t="s">
        <v>70</v>
      </c>
      <c r="B25" s="21">
        <v>412.9</v>
      </c>
      <c r="C25" s="21">
        <f>412.9+412.9</f>
        <v>825.8</v>
      </c>
      <c r="D25" s="21">
        <f t="shared" si="0"/>
        <v>412.9</v>
      </c>
    </row>
    <row r="26" spans="1:4" x14ac:dyDescent="0.25">
      <c r="A26" t="s">
        <v>71</v>
      </c>
      <c r="B26" s="21">
        <v>539.47</v>
      </c>
      <c r="C26" s="21">
        <v>536.79</v>
      </c>
      <c r="D26" s="21">
        <f t="shared" si="0"/>
        <v>-2.6800000000000637</v>
      </c>
    </row>
    <row r="27" spans="1:4" x14ac:dyDescent="0.25">
      <c r="A27" t="s">
        <v>72</v>
      </c>
      <c r="B27" s="21">
        <v>1155.75</v>
      </c>
      <c r="C27" s="21">
        <v>1150</v>
      </c>
      <c r="D27" s="21">
        <f t="shared" si="0"/>
        <v>-5.75</v>
      </c>
    </row>
    <row r="28" spans="1:4" x14ac:dyDescent="0.25">
      <c r="A28" t="s">
        <v>73</v>
      </c>
      <c r="B28" s="21">
        <v>126.63</v>
      </c>
      <c r="C28" s="21">
        <v>30.9</v>
      </c>
      <c r="D28" s="21">
        <f t="shared" si="0"/>
        <v>-95.72999999999999</v>
      </c>
    </row>
    <row r="29" spans="1:4" x14ac:dyDescent="0.25">
      <c r="A29" t="s">
        <v>74</v>
      </c>
      <c r="B29" s="21">
        <v>103464.75</v>
      </c>
      <c r="C29" s="21">
        <f>24650+78300+78300+24650-24650-78300</f>
        <v>102950</v>
      </c>
      <c r="D29" s="21">
        <f t="shared" si="0"/>
        <v>-514.75</v>
      </c>
    </row>
    <row r="30" spans="1:4" x14ac:dyDescent="0.25">
      <c r="A30" t="s">
        <v>75</v>
      </c>
      <c r="B30" s="21">
        <v>42280.36</v>
      </c>
      <c r="C30" s="21">
        <v>42070</v>
      </c>
      <c r="D30" s="21">
        <f t="shared" si="0"/>
        <v>-210.36000000000058</v>
      </c>
    </row>
    <row r="31" spans="1:4" x14ac:dyDescent="0.25">
      <c r="A31" t="s">
        <v>93</v>
      </c>
      <c r="B31" s="21">
        <v>14572.5</v>
      </c>
      <c r="C31">
        <v>14500</v>
      </c>
      <c r="D31" s="21">
        <f t="shared" si="0"/>
        <v>-72.5</v>
      </c>
    </row>
    <row r="32" spans="1:4" x14ac:dyDescent="0.25">
      <c r="A32" t="s">
        <v>100</v>
      </c>
      <c r="B32" s="21">
        <v>180.9</v>
      </c>
      <c r="C32">
        <v>180</v>
      </c>
      <c r="D32" s="21">
        <f t="shared" si="0"/>
        <v>-0.90000000000000568</v>
      </c>
    </row>
    <row r="33" spans="1:4" x14ac:dyDescent="0.25">
      <c r="A33" t="s">
        <v>76</v>
      </c>
      <c r="B33" s="21">
        <v>2937.97</v>
      </c>
      <c r="C33" s="21">
        <v>2970.9</v>
      </c>
      <c r="D33" s="21">
        <f t="shared" si="0"/>
        <v>32.930000000000291</v>
      </c>
    </row>
    <row r="34" spans="1:4" x14ac:dyDescent="0.25">
      <c r="A34" t="s">
        <v>77</v>
      </c>
      <c r="B34" s="21">
        <v>14753.65</v>
      </c>
      <c r="C34" s="21">
        <v>14629.63</v>
      </c>
      <c r="D34" s="21">
        <f t="shared" si="0"/>
        <v>-124.02000000000044</v>
      </c>
    </row>
    <row r="35" spans="1:4" x14ac:dyDescent="0.25">
      <c r="A35" t="s">
        <v>78</v>
      </c>
      <c r="B35" s="21">
        <v>192.33</v>
      </c>
      <c r="C35" s="21">
        <v>192.33</v>
      </c>
      <c r="D35" s="21">
        <f t="shared" si="0"/>
        <v>0</v>
      </c>
    </row>
    <row r="36" spans="1:4" x14ac:dyDescent="0.25">
      <c r="A36" t="s">
        <v>79</v>
      </c>
      <c r="B36" s="21">
        <v>33047.53</v>
      </c>
      <c r="C36" s="21">
        <v>30898.78</v>
      </c>
      <c r="D36" s="21">
        <f t="shared" si="0"/>
        <v>-2148.75</v>
      </c>
    </row>
    <row r="37" spans="1:4" x14ac:dyDescent="0.25">
      <c r="A37" t="s">
        <v>80</v>
      </c>
      <c r="B37" s="21"/>
      <c r="C37" s="21"/>
      <c r="D37" s="21">
        <f t="shared" si="0"/>
        <v>0</v>
      </c>
    </row>
    <row r="38" spans="1:4" x14ac:dyDescent="0.25">
      <c r="A38" t="s">
        <v>81</v>
      </c>
      <c r="B38" s="21">
        <v>5149.1099999999997</v>
      </c>
      <c r="C38" s="21">
        <v>4750.9799999999996</v>
      </c>
      <c r="D38" s="21">
        <f t="shared" si="0"/>
        <v>-398.13000000000011</v>
      </c>
    </row>
    <row r="39" spans="1:4" x14ac:dyDescent="0.25">
      <c r="A39" t="s">
        <v>82</v>
      </c>
      <c r="B39" s="21">
        <v>2011.46</v>
      </c>
      <c r="C39" s="21">
        <v>1603.25</v>
      </c>
      <c r="D39" s="21">
        <f t="shared" si="0"/>
        <v>-408.21000000000004</v>
      </c>
    </row>
    <row r="40" spans="1:4" x14ac:dyDescent="0.25">
      <c r="B40" s="21"/>
      <c r="C40" s="21"/>
      <c r="D40" s="21"/>
    </row>
    <row r="41" spans="1:4" x14ac:dyDescent="0.25">
      <c r="A41" t="s">
        <v>38</v>
      </c>
      <c r="B41" s="21">
        <f>SUM(B6:B39)</f>
        <v>667801.51000000013</v>
      </c>
      <c r="C41" s="21">
        <f>SUM(C6:C39)</f>
        <v>646702.42000000004</v>
      </c>
      <c r="D41" s="21">
        <f>SUM(D6:D39)</f>
        <v>-21099.090000000015</v>
      </c>
    </row>
    <row r="44" spans="1:4" x14ac:dyDescent="0.25">
      <c r="A44" t="s">
        <v>83</v>
      </c>
    </row>
    <row r="45" spans="1:4" x14ac:dyDescent="0.25">
      <c r="A45" t="s">
        <v>84</v>
      </c>
      <c r="C45" s="21">
        <v>911.38</v>
      </c>
      <c r="D45" s="21">
        <f t="shared" ref="D45:D50" si="1">-B45+C45</f>
        <v>911.38</v>
      </c>
    </row>
    <row r="46" spans="1:4" x14ac:dyDescent="0.25">
      <c r="A46" t="s">
        <v>101</v>
      </c>
      <c r="C46" s="21">
        <v>387.9</v>
      </c>
      <c r="D46" s="21">
        <f t="shared" si="1"/>
        <v>387.9</v>
      </c>
    </row>
    <row r="47" spans="1:4" x14ac:dyDescent="0.25">
      <c r="A47" t="s">
        <v>85</v>
      </c>
      <c r="C47" s="21">
        <v>350</v>
      </c>
      <c r="D47" s="21">
        <f t="shared" si="1"/>
        <v>350</v>
      </c>
    </row>
    <row r="48" spans="1:4" x14ac:dyDescent="0.25">
      <c r="A48" t="s">
        <v>86</v>
      </c>
      <c r="C48" s="21">
        <f>50+42.6</f>
        <v>92.6</v>
      </c>
      <c r="D48" s="21">
        <f t="shared" si="1"/>
        <v>92.6</v>
      </c>
    </row>
    <row r="49" spans="1:5" x14ac:dyDescent="0.25">
      <c r="A49" t="s">
        <v>87</v>
      </c>
      <c r="C49" s="21">
        <v>5450.66</v>
      </c>
      <c r="D49" s="21">
        <f t="shared" si="1"/>
        <v>5450.66</v>
      </c>
    </row>
    <row r="50" spans="1:5" x14ac:dyDescent="0.25">
      <c r="A50" t="s">
        <v>88</v>
      </c>
      <c r="C50" s="21">
        <v>350</v>
      </c>
      <c r="D50" s="21">
        <f t="shared" si="1"/>
        <v>350</v>
      </c>
    </row>
    <row r="51" spans="1:5" x14ac:dyDescent="0.25">
      <c r="C51" s="21"/>
    </row>
    <row r="52" spans="1:5" x14ac:dyDescent="0.25">
      <c r="A52" t="s">
        <v>38</v>
      </c>
      <c r="C52" s="21"/>
      <c r="D52" s="21">
        <f>SUM(D45:D51)</f>
        <v>7542.54</v>
      </c>
      <c r="E52" t="s">
        <v>3</v>
      </c>
    </row>
    <row r="53" spans="1:5" x14ac:dyDescent="0.25">
      <c r="C53" s="21"/>
    </row>
    <row r="54" spans="1:5" x14ac:dyDescent="0.25">
      <c r="A54" t="s">
        <v>105</v>
      </c>
    </row>
    <row r="55" spans="1:5" x14ac:dyDescent="0.25">
      <c r="A55" t="s">
        <v>102</v>
      </c>
      <c r="C55" s="21">
        <v>-37634.75</v>
      </c>
      <c r="D55" s="21">
        <f>-B55+C55</f>
        <v>-37634.75</v>
      </c>
      <c r="E55" t="s">
        <v>89</v>
      </c>
    </row>
    <row r="57" spans="1:5" x14ac:dyDescent="0.25">
      <c r="A57" t="s">
        <v>90</v>
      </c>
    </row>
    <row r="58" spans="1:5" x14ac:dyDescent="0.25">
      <c r="A58" t="s">
        <v>91</v>
      </c>
      <c r="C58" s="21"/>
      <c r="D58" s="21">
        <v>0</v>
      </c>
      <c r="E58" t="s">
        <v>89</v>
      </c>
    </row>
    <row r="60" spans="1:5" x14ac:dyDescent="0.25">
      <c r="A60" t="s">
        <v>92</v>
      </c>
    </row>
    <row r="61" spans="1:5" x14ac:dyDescent="0.25">
      <c r="A61" t="s">
        <v>93</v>
      </c>
      <c r="B61" s="21"/>
      <c r="C61" s="21"/>
      <c r="D61" s="21">
        <f>-B61+C61</f>
        <v>0</v>
      </c>
      <c r="E61" t="s">
        <v>94</v>
      </c>
    </row>
  </sheetData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OA Top Page</vt:lpstr>
      <vt:lpstr>3rd Party Expense</vt:lpstr>
      <vt:lpstr>3rd Party Revenue</vt:lpstr>
      <vt:lpstr>'OA Top Page'!Print_Area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cp:lastPrinted>2000-05-08T14:31:17Z</cp:lastPrinted>
  <dcterms:created xsi:type="dcterms:W3CDTF">2000-04-24T17:30:57Z</dcterms:created>
  <dcterms:modified xsi:type="dcterms:W3CDTF">2023-09-10T12:19:02Z</dcterms:modified>
</cp:coreProperties>
</file>