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J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L8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L8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L8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L8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L8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L8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L8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L8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I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I71" i="7"/>
  <c r="AA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L8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L8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L8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K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K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L8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L8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I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<sst xmlns="http://schemas.openxmlformats.org/spreadsheetml/2006/main" count="6559" uniqueCount="221">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</sst>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-3203360.0999999959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477000</v>
          </cell>
          <cell r="I7">
            <v>0</v>
          </cell>
          <cell r="J7">
            <v>993000</v>
          </cell>
          <cell r="K7">
            <v>-8000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U7">
            <v>6190000</v>
          </cell>
        </row>
        <row r="24">
          <cell r="U24">
            <v>2196979</v>
          </cell>
        </row>
        <row r="41">
          <cell r="B41">
            <v>-395133</v>
          </cell>
          <cell r="C41">
            <v>-1926793</v>
          </cell>
          <cell r="D41">
            <v>0</v>
          </cell>
          <cell r="E41">
            <v>66000</v>
          </cell>
          <cell r="G41">
            <v>-268000</v>
          </cell>
          <cell r="H41">
            <v>374289</v>
          </cell>
          <cell r="I41">
            <v>0</v>
          </cell>
          <cell r="J41">
            <v>993000</v>
          </cell>
          <cell r="K41">
            <v>-8000</v>
          </cell>
          <cell r="L41">
            <v>6805322</v>
          </cell>
          <cell r="M41">
            <v>3488688</v>
          </cell>
          <cell r="N41">
            <v>-317925</v>
          </cell>
          <cell r="O41">
            <v>153412</v>
          </cell>
          <cell r="P41">
            <v>166000</v>
          </cell>
          <cell r="Q41">
            <v>-301249</v>
          </cell>
          <cell r="R41">
            <v>-275000</v>
          </cell>
          <cell r="S41">
            <v>-167632</v>
          </cell>
          <cell r="U41">
            <v>8386979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503520479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1312318934.3800001</v>
      </c>
      <c r="H11" s="60">
        <f>F11-D11</f>
        <v>4338764</v>
      </c>
      <c r="I11" s="38">
        <f>G11-E11</f>
        <v>-13490173.619999886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25403042.34</v>
      </c>
      <c r="H12" s="60">
        <f>F12-D12</f>
        <v>0</v>
      </c>
      <c r="I12" s="38">
        <f>G12-E12</f>
        <v>50370765.340000004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34267730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70168862</v>
      </c>
      <c r="H13" s="60">
        <f t="shared" ref="H13:I15" si="0">F13-D13</f>
        <v>-210082073</v>
      </c>
      <c r="I13" s="38">
        <f t="shared" si="0"/>
        <v>-614645114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27362283.140000001</v>
      </c>
      <c r="H15" s="60">
        <f t="shared" si="0"/>
        <v>0</v>
      </c>
      <c r="I15" s="38">
        <f t="shared" si="0"/>
        <v>13846568.140000001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537788209</v>
      </c>
      <c r="G16" s="39">
        <f t="shared" si="1"/>
        <v>1435253121.8600001</v>
      </c>
      <c r="H16" s="61">
        <f t="shared" si="1"/>
        <v>-205743309</v>
      </c>
      <c r="I16" s="39">
        <f t="shared" si="1"/>
        <v>-563928308.13999987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-510698119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-1335634302.3699999</v>
      </c>
      <c r="H19" s="60">
        <f>F19-D19</f>
        <v>-5235887</v>
      </c>
      <c r="I19" s="38">
        <f>G19-E19</f>
        <v>-6393512.3699998856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-11682554.340000002</v>
      </c>
      <c r="H20" s="60">
        <f>F20-D20</f>
        <v>0</v>
      </c>
      <c r="I20" s="38">
        <f>G20-E20</f>
        <v>-11682554.340000002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-34267730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-95665978</v>
      </c>
      <c r="H21" s="60">
        <f t="shared" ref="H21:I23" si="2">F21-D21</f>
        <v>211909583</v>
      </c>
      <c r="I21" s="38">
        <f t="shared" si="2"/>
        <v>594210822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2586165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6741547.063000001</v>
      </c>
      <c r="H23" s="60">
        <f t="shared" si="2"/>
        <v>556100</v>
      </c>
      <c r="I23" s="38">
        <f t="shared" si="2"/>
        <v>1152874.063000001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-542379684</v>
      </c>
      <c r="G24" s="39">
        <f t="shared" si="3"/>
        <v>-1436241287.6469998</v>
      </c>
      <c r="H24" s="61">
        <f t="shared" si="3"/>
        <v>207229796</v>
      </c>
      <c r="I24" s="39">
        <f t="shared" si="3"/>
        <v>577287629.35300004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32181739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89874169.629999995</v>
      </c>
      <c r="H27" s="60">
        <f>F27-D27</f>
        <v>-79366864</v>
      </c>
      <c r="I27" s="38">
        <f>G27-E27</f>
        <v>-215700630.37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-32323759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-90271883.370000005</v>
      </c>
      <c r="H28" s="60">
        <f>F28-D28</f>
        <v>77388187</v>
      </c>
      <c r="I28" s="38">
        <f>G28-E28</f>
        <v>210399524.63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-142020</v>
      </c>
      <c r="G29" s="70">
        <f t="shared" si="4"/>
        <v>-397713.74000000954</v>
      </c>
      <c r="H29" s="69">
        <f t="shared" si="4"/>
        <v>-1978677</v>
      </c>
      <c r="I29" s="70">
        <f t="shared" si="4"/>
        <v>-5301105.7400000095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389942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1335434.843000001</v>
      </c>
      <c r="H32" s="60">
        <f>F32-D32</f>
        <v>216858</v>
      </c>
      <c r="I32" s="38">
        <f>G32-E32</f>
        <v>817390.84300000104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-422039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-1091108.83</v>
      </c>
      <c r="H33" s="60">
        <f t="shared" ref="H33:I35" si="5">F33-D33</f>
        <v>-1001369</v>
      </c>
      <c r="I33" s="38">
        <f t="shared" si="5"/>
        <v>-2637365.83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164222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404408.61</v>
      </c>
      <c r="H34" s="60">
        <f t="shared" si="5"/>
        <v>885353</v>
      </c>
      <c r="I34" s="38">
        <f t="shared" si="5"/>
        <v>2371608.61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0</v>
      </c>
      <c r="H35" s="60">
        <f t="shared" si="5"/>
        <v>-1952346</v>
      </c>
      <c r="I35" s="38">
        <f t="shared" si="5"/>
        <v>-4438132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132125</v>
      </c>
      <c r="G36" s="39">
        <f t="shared" si="6"/>
        <v>648734.62300000095</v>
      </c>
      <c r="H36" s="61">
        <f t="shared" si="6"/>
        <v>-1851504</v>
      </c>
      <c r="I36" s="39">
        <f t="shared" si="6"/>
        <v>-3886498.3769999994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12320747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31781434.950000003</v>
      </c>
      <c r="H39" s="60">
        <f t="shared" ref="H39:I41" si="7">F39-D39</f>
        <v>878925</v>
      </c>
      <c r="I39" s="38">
        <f t="shared" si="7"/>
        <v>1435123.950000003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-7084709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-16755089.4</v>
      </c>
      <c r="H40" s="60">
        <f t="shared" si="7"/>
        <v>2003670</v>
      </c>
      <c r="I40" s="38">
        <f t="shared" si="7"/>
        <v>2896296.5999999996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433044</v>
      </c>
      <c r="H41" s="60">
        <f t="shared" si="7"/>
        <v>0</v>
      </c>
      <c r="I41" s="38">
        <f t="shared" si="7"/>
        <v>433044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-7084709</v>
      </c>
      <c r="G42" s="70">
        <f t="shared" si="8"/>
        <v>-16322045.4</v>
      </c>
      <c r="H42" s="69">
        <f t="shared" si="8"/>
        <v>2003670</v>
      </c>
      <c r="I42" s="70">
        <f t="shared" si="8"/>
        <v>3329340.5999999996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5236038</v>
      </c>
      <c r="G43" s="39">
        <f t="shared" si="9"/>
        <v>15459389.550000003</v>
      </c>
      <c r="H43" s="61">
        <f t="shared" si="9"/>
        <v>2882595</v>
      </c>
      <c r="I43" s="39">
        <f t="shared" si="9"/>
        <v>4764464.5500000026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-634668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-2077463.9564999985</v>
      </c>
      <c r="H49" s="60">
        <f>F49-D49</f>
        <v>-561869</v>
      </c>
      <c r="I49" s="38">
        <f>G49-E49</f>
        <v>-1890525.3800085918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-2586165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-6741547.063000001</v>
      </c>
      <c r="H51" s="60">
        <f>F51-D51</f>
        <v>-575393</v>
      </c>
      <c r="I51" s="38">
        <f>G51-E51</f>
        <v>-1205360.063000001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-293974327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-6414050.4199999999</v>
      </c>
      <c r="H54" s="60">
        <f>F54-D54</f>
        <v>-293974327</v>
      </c>
      <c r="I54" s="38">
        <f>G54-E54</f>
        <v>286750.53000000026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-18004354.249999996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-27485560.269999996</v>
      </c>
      <c r="H55" s="60">
        <f>F55-D55</f>
        <v>0</v>
      </c>
      <c r="I55" s="38">
        <f>G55-E55</f>
        <v>-9481206.0199999996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-24705155.199999996</v>
      </c>
      <c r="F56" s="61">
        <f t="shared" si="10"/>
        <v>-293974327</v>
      </c>
      <c r="G56" s="39">
        <f t="shared" si="10"/>
        <v>-33899610.689999998</v>
      </c>
      <c r="H56" s="61">
        <f t="shared" si="10"/>
        <v>-293974327</v>
      </c>
      <c r="I56" s="39">
        <f t="shared" si="10"/>
        <v>-9194455.4899999984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561474.37</v>
      </c>
      <c r="H61" s="69">
        <f t="shared" si="11"/>
        <v>0</v>
      </c>
      <c r="I61" s="70">
        <f t="shared" si="11"/>
        <v>111474.37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49453.27</v>
      </c>
      <c r="H64" s="60">
        <f>F64-D64</f>
        <v>0</v>
      </c>
      <c r="I64" s="38">
        <f>G64-E64</f>
        <v>49453.27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128278965.64999999</v>
      </c>
      <c r="H70" s="60">
        <f>F70-D70</f>
        <v>0</v>
      </c>
      <c r="I70" s="38">
        <f>G70-E70</f>
        <v>29739753.963900894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-98764371.959999979</v>
      </c>
      <c r="H71" s="60">
        <f>F71-D71</f>
        <v>0</v>
      </c>
      <c r="I71" s="38">
        <f>G71-E71</f>
        <v>-16383366.959999979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29514593.690000013</v>
      </c>
      <c r="H72" s="69">
        <f t="shared" si="13"/>
        <v>0</v>
      </c>
      <c r="I72" s="70">
        <f t="shared" si="13"/>
        <v>13356387.003900915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3538791.2499999991</v>
      </c>
      <c r="H74" s="60">
        <f t="shared" ref="H74:I79" si="14">F74-D74</f>
        <v>0</v>
      </c>
      <c r="I74" s="38">
        <f t="shared" si="14"/>
        <v>-15966043.7018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-3060.0499999999956</v>
      </c>
      <c r="H76" s="60">
        <f t="shared" si="14"/>
        <v>0</v>
      </c>
      <c r="I76" s="38">
        <f t="shared" si="14"/>
        <v>33838.950000000004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-105000</v>
      </c>
      <c r="H77" s="60">
        <f t="shared" si="14"/>
        <v>0</v>
      </c>
      <c r="I77" s="38">
        <f t="shared" si="14"/>
        <v>1011414.5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0</v>
      </c>
      <c r="H79" s="60">
        <f t="shared" si="14"/>
        <v>0</v>
      </c>
      <c r="I79" s="38">
        <f t="shared" si="14"/>
        <v>103047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541070.17999999993</v>
      </c>
      <c r="H81" s="60">
        <f>F81-D81</f>
        <v>0</v>
      </c>
      <c r="I81" s="38">
        <f>G81-E81</f>
        <v>3845464.29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0</v>
      </c>
      <c r="G82" s="92">
        <f>SUM(G72:G81)+G16+G24+G29+G36+G43+G45+G47+G49+G51+G56+G61+G66</f>
        <v>5033554.6465002215</v>
      </c>
      <c r="H82" s="91">
        <f>H16+H24+H29+H36+H43+H45+H47+H49</f>
        <v>-22968</v>
      </c>
      <c r="I82" s="92">
        <f>SUM(I72:I81)+I16+I24+I29+I36+I43+I45+I47+I49+I51+I56+I61+I66</f>
        <v>-1412226.3599075065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1642835.73</v>
      </c>
      <c r="H86" s="145">
        <f t="shared" ref="H86:I88" si="15">F86-D86</f>
        <v>0</v>
      </c>
      <c r="I86" s="145">
        <f t="shared" si="15"/>
        <v>399289.73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150000.72999999998</v>
      </c>
      <c r="H89" s="160">
        <f t="shared" si="16"/>
        <v>0</v>
      </c>
      <c r="I89" s="160">
        <f t="shared" si="16"/>
        <v>-1093545.27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7689327.0064077377</v>
      </c>
      <c r="F91" s="160">
        <f t="shared" si="17"/>
        <v>0</v>
      </c>
      <c r="G91" s="160">
        <f t="shared" si="17"/>
        <v>5183555.376500221</v>
      </c>
      <c r="H91" s="160">
        <f t="shared" si="17"/>
        <v>-22968</v>
      </c>
      <c r="I91" s="160">
        <f t="shared" si="17"/>
        <v>-2505771.6299075065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C12" activePane="bottomRight" state="frozen"/>
      <selection activeCell="D10" sqref="D10"/>
      <selection pane="topRight" activeCell="D10" sqref="D10"/>
      <selection pane="bottomLeft" activeCell="D10" sqref="D10"/>
      <selection pane="bottomRight" activeCell="D6" sqref="D6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219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-88133</v>
      </c>
      <c r="F11" s="124">
        <f>+'[2]ST Warroom 99'!$B$41</f>
        <v>-395133</v>
      </c>
      <c r="G11" s="231">
        <f>CE_GL!$E$82</f>
        <v>1148924.81400003</v>
      </c>
      <c r="H11" s="107">
        <f t="shared" ref="H11:H28" si="1">G11-F11</f>
        <v>1544057.81400003</v>
      </c>
      <c r="I11" s="31"/>
      <c r="J11" s="31"/>
    </row>
    <row r="12" spans="1:10" x14ac:dyDescent="0.25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-292925</v>
      </c>
      <c r="F12" s="124">
        <f>+'[2]ST Warroom 99'!$N$41</f>
        <v>-317925</v>
      </c>
      <c r="G12" s="168">
        <f>SITHE_GL!$E$82</f>
        <v>-246303.33000000101</v>
      </c>
      <c r="H12" s="107">
        <f>G12-F12</f>
        <v>71621.669999998994</v>
      </c>
      <c r="I12" s="31"/>
      <c r="J12" s="31"/>
    </row>
    <row r="13" spans="1:10" x14ac:dyDescent="0.25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-13249</v>
      </c>
      <c r="F13" s="124">
        <f>+'[2]ST Warroom 99'!$Q$41</f>
        <v>-301249</v>
      </c>
      <c r="G13" s="168">
        <f>ARUBA_GL!$E$82</f>
        <v>1388451.4575000075</v>
      </c>
      <c r="H13" s="107">
        <f>G13-F13</f>
        <v>1689700.4575000075</v>
      </c>
      <c r="I13" s="31"/>
      <c r="J13" s="31"/>
    </row>
    <row r="14" spans="1:10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72207</v>
      </c>
      <c r="F15" s="123">
        <f>+'[2]ST Warroom 99'!$C$41</f>
        <v>-1926793</v>
      </c>
      <c r="G15" s="168">
        <f>'BGC-EGM-GL'!$E$82+'EAST-EGM-GL'!E82</f>
        <v>-2927672.5569999879</v>
      </c>
      <c r="H15" s="107">
        <f t="shared" si="1"/>
        <v>-1000879.5569999879</v>
      </c>
      <c r="I15" s="31"/>
      <c r="J15" s="31"/>
    </row>
    <row r="16" spans="1:10" x14ac:dyDescent="0.25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5">
      <c r="A17" s="101" t="s">
        <v>164</v>
      </c>
      <c r="B17" s="123">
        <f>+'EAST-EGM-FLSH'!M89</f>
        <v>344137</v>
      </c>
      <c r="C17" s="65">
        <f t="shared" si="0"/>
        <v>-278137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5">
      <c r="A18" s="101" t="s">
        <v>16</v>
      </c>
      <c r="B18" s="123">
        <f>'TX-EGM-FLSH'!$M$82</f>
        <v>635861.39739185944</v>
      </c>
      <c r="C18" s="65">
        <f t="shared" si="0"/>
        <v>-158861.39739185944</v>
      </c>
      <c r="D18" s="123">
        <f>+'[2]ST Warroom 99'!$H$7</f>
        <v>477000</v>
      </c>
      <c r="E18" s="124">
        <f t="shared" si="2"/>
        <v>-102711</v>
      </c>
      <c r="F18" s="123">
        <f>+'[2]ST Warroom 99'!$H$41</f>
        <v>374289</v>
      </c>
      <c r="G18" s="168">
        <f>'TX-EGM-GL'!$E$91</f>
        <v>-1213673.3599999971</v>
      </c>
      <c r="H18" s="107">
        <f t="shared" si="1"/>
        <v>-1587962.3599999971</v>
      </c>
      <c r="I18" s="31"/>
      <c r="J18" s="31"/>
    </row>
    <row r="19" spans="1:10" x14ac:dyDescent="0.25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-248834.00000000006</v>
      </c>
      <c r="H19" s="107">
        <f t="shared" si="1"/>
        <v>-248834.00000000006</v>
      </c>
      <c r="I19" s="31"/>
      <c r="J19" s="31"/>
    </row>
    <row r="20" spans="1:10" x14ac:dyDescent="0.25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1824921.0399999917</v>
      </c>
      <c r="H20" s="107">
        <f t="shared" si="1"/>
        <v>831921.03999999166</v>
      </c>
      <c r="I20" s="31"/>
      <c r="J20" s="31"/>
    </row>
    <row r="21" spans="1:10" x14ac:dyDescent="0.25">
      <c r="A21" s="101" t="s">
        <v>176</v>
      </c>
      <c r="B21" s="123">
        <f>'TX-EGM-FLSH'!$M$89</f>
        <v>70072</v>
      </c>
      <c r="C21" s="65">
        <f t="shared" si="0"/>
        <v>-78072</v>
      </c>
      <c r="D21" s="60">
        <f>+'[2]ST Warroom 99'!$K$7</f>
        <v>-8000</v>
      </c>
      <c r="E21" s="124">
        <f t="shared" si="2"/>
        <v>0</v>
      </c>
      <c r="F21" s="60">
        <f>+'[2]ST Warroom 99'!$K$41</f>
        <v>-8000</v>
      </c>
      <c r="G21" s="168">
        <f>'TX-HPLC-GL'!$E$89</f>
        <v>242579.30000000005</v>
      </c>
      <c r="H21" s="107">
        <f t="shared" si="1"/>
        <v>250579.30000000005</v>
      </c>
      <c r="I21" s="31"/>
      <c r="J21" s="31"/>
    </row>
    <row r="22" spans="1:10" x14ac:dyDescent="0.25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3023322</v>
      </c>
      <c r="F22" s="123">
        <f>+'[2]ST Warroom 99'!$L$41</f>
        <v>6805322</v>
      </c>
      <c r="G22" s="168">
        <f>'WE-GL '!$E$82</f>
        <v>11327724.879999982</v>
      </c>
      <c r="H22" s="107">
        <f t="shared" si="1"/>
        <v>4522402.8799999822</v>
      </c>
      <c r="I22" s="31"/>
      <c r="J22" s="31"/>
    </row>
    <row r="23" spans="1:10" x14ac:dyDescent="0.25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-78632</v>
      </c>
      <c r="F23" s="123">
        <f>+'[2]ST Warroom 99'!$S$41</f>
        <v>-167632</v>
      </c>
      <c r="G23" s="168">
        <f>'DEN-GL'!$E$82</f>
        <v>46272.220000000321</v>
      </c>
      <c r="H23" s="107">
        <f>G23-F23</f>
        <v>213904.22000000032</v>
      </c>
      <c r="I23" s="31"/>
      <c r="J23" s="31"/>
    </row>
    <row r="24" spans="1:10" x14ac:dyDescent="0.25">
      <c r="A24" s="101" t="s">
        <v>211</v>
      </c>
      <c r="B24" s="123">
        <f>'DEN-FLSH'!$M$89</f>
        <v>405697</v>
      </c>
      <c r="C24" s="65">
        <f>+D24-B24</f>
        <v>-680697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-324577.77</v>
      </c>
      <c r="H24" s="107">
        <f>G24-F24</f>
        <v>-49577.770000000019</v>
      </c>
      <c r="I24" s="31"/>
      <c r="J24" s="31"/>
    </row>
    <row r="25" spans="1:10" x14ac:dyDescent="0.25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-326312</v>
      </c>
      <c r="F25" s="123">
        <f>+'[2]ST Warroom 99'!$M$41</f>
        <v>3488688</v>
      </c>
      <c r="G25" s="168">
        <f>STG_GL!$E$82</f>
        <v>2765806.950000003</v>
      </c>
      <c r="H25" s="107">
        <f t="shared" si="1"/>
        <v>-722881.04999999702</v>
      </c>
      <c r="I25" s="31"/>
      <c r="J25" s="31"/>
    </row>
    <row r="26" spans="1:10" x14ac:dyDescent="0.25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3412</v>
      </c>
      <c r="F26" s="123">
        <f>+'[2]ST Warroom 99'!$O$41</f>
        <v>153412</v>
      </c>
      <c r="G26" s="168">
        <f>'ONT_GL '!$E$82</f>
        <v>-5198577.9999999749</v>
      </c>
      <c r="H26" s="107">
        <f t="shared" si="1"/>
        <v>-5351989.9999999749</v>
      </c>
      <c r="I26" s="31"/>
      <c r="J26" s="31"/>
    </row>
    <row r="27" spans="1:10" x14ac:dyDescent="0.25">
      <c r="A27" s="101" t="s">
        <v>163</v>
      </c>
      <c r="B27" s="123">
        <f>ONT_FLSH!$M$89</f>
        <v>423640</v>
      </c>
      <c r="C27" s="65">
        <f t="shared" si="0"/>
        <v>-257640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5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0</v>
      </c>
      <c r="F28" s="123">
        <f>+'[2]ST Warroom 99'!$G$41</f>
        <v>-268000</v>
      </c>
      <c r="G28" s="168">
        <f>+BUG_GL!E82</f>
        <v>-3400931.9179999977</v>
      </c>
      <c r="H28" s="107">
        <f t="shared" si="1"/>
        <v>-3132931.9179999977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7689327.006407639</v>
      </c>
      <c r="C29" s="61">
        <f t="shared" si="3"/>
        <v>-1499327.0064076385</v>
      </c>
      <c r="D29" s="61">
        <f t="shared" si="3"/>
        <v>6190000</v>
      </c>
      <c r="E29" s="61">
        <f t="shared" si="3"/>
        <v>2196979</v>
      </c>
      <c r="F29" s="61">
        <f t="shared" si="3"/>
        <v>8386979</v>
      </c>
      <c r="G29" s="61">
        <f t="shared" si="3"/>
        <v>5183555.3765000571</v>
      </c>
      <c r="H29" s="108">
        <f t="shared" si="3"/>
        <v>-3203423.6234999439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7689327.0064077377</v>
      </c>
      <c r="C30" s="103">
        <f>+C29</f>
        <v>-1499327.0064076385</v>
      </c>
      <c r="D30" s="103">
        <f>+'[2]ST Warroom 99'!$U$7</f>
        <v>6190000</v>
      </c>
      <c r="E30" s="103">
        <f>+'[2]ST Warroom 99'!$U$24</f>
        <v>2196979</v>
      </c>
      <c r="F30" s="103">
        <f>+'[2]ST Warroom 99'!$U$41</f>
        <v>8386979</v>
      </c>
      <c r="G30" s="103">
        <f>TOTAL!$G$91</f>
        <v>5183555.376500221</v>
      </c>
      <c r="H30" s="179">
        <f>+[1]OAvsACT!$G$59</f>
        <v>-3203360.0999999959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63.523499947972596</v>
      </c>
      <c r="I31" s="45"/>
      <c r="J31" s="45"/>
    </row>
    <row r="32" spans="1:10" x14ac:dyDescent="0.25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-1.6391277313232422E-7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N75" activePane="bottomRight" state="frozen"/>
      <selection activeCell="D10" sqref="D10"/>
      <selection pane="topRight" activeCell="D10" sqref="D10"/>
      <selection pane="bottomLeft" activeCell="D10" sqref="D10"/>
      <selection pane="bottomRight" activeCell="R89" sqref="R89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V75" activePane="bottomRight" state="frozen"/>
      <selection activeCell="D10" sqref="D10"/>
      <selection pane="topRight" activeCell="D10" sqref="D10"/>
      <selection pane="bottomLeft" activeCell="D10" sqref="D10"/>
      <selection pane="bottomRight" activeCell="V81" sqref="V81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5">
      <c r="A95" s="4"/>
      <c r="B95" s="3"/>
      <c r="E95" s="171">
        <v>20412000</v>
      </c>
    </row>
    <row r="96" spans="1:34" x14ac:dyDescent="0.25">
      <c r="A96" s="4"/>
      <c r="B96" s="3"/>
      <c r="E96" s="171">
        <f>+E94-E95</f>
        <v>-0.10999999940395355</v>
      </c>
    </row>
    <row r="97" spans="1:5" x14ac:dyDescent="0.25">
      <c r="A97" s="4"/>
      <c r="B97" s="3"/>
      <c r="E97" s="171">
        <v>369377</v>
      </c>
    </row>
    <row r="98" spans="1:5" x14ac:dyDescent="0.25">
      <c r="A98" s="4"/>
      <c r="B98" s="3"/>
      <c r="E98" s="171">
        <f>+E97-E96</f>
        <v>369377.1099999994</v>
      </c>
    </row>
    <row r="99" spans="1:5" x14ac:dyDescent="0.25">
      <c r="A99" s="4"/>
      <c r="B99" s="3"/>
      <c r="E99" s="171">
        <v>-72845</v>
      </c>
    </row>
    <row r="100" spans="1:5" x14ac:dyDescent="0.25">
      <c r="A100" s="4"/>
      <c r="B100" s="3"/>
      <c r="E100" s="171">
        <f>+E98+E99</f>
        <v>296532.1099999994</v>
      </c>
    </row>
    <row r="101" spans="1:5" x14ac:dyDescent="0.25">
      <c r="A101" s="4"/>
      <c r="B101" s="3"/>
    </row>
    <row r="102" spans="1:5" x14ac:dyDescent="0.25">
      <c r="A102" s="4"/>
      <c r="B102" s="3"/>
    </row>
    <row r="103" spans="1:5" x14ac:dyDescent="0.25">
      <c r="A103" s="4"/>
      <c r="B103" s="3"/>
    </row>
    <row r="104" spans="1:5" x14ac:dyDescent="0.25">
      <c r="A104" s="4"/>
      <c r="B104" s="3"/>
    </row>
    <row r="105" spans="1:5" x14ac:dyDescent="0.25">
      <c r="A105" s="4"/>
      <c r="B105" s="3"/>
    </row>
    <row r="106" spans="1:5" x14ac:dyDescent="0.25">
      <c r="A106" s="4"/>
      <c r="B106" s="3"/>
    </row>
    <row r="107" spans="1:5" x14ac:dyDescent="0.25">
      <c r="A107" s="4"/>
      <c r="B107" s="3"/>
    </row>
    <row r="108" spans="1:5" x14ac:dyDescent="0.25">
      <c r="A108" s="4"/>
      <c r="B108" s="3"/>
    </row>
    <row r="109" spans="1:5" x14ac:dyDescent="0.25">
      <c r="A109" s="4"/>
      <c r="B109" s="3"/>
    </row>
    <row r="110" spans="1:5" x14ac:dyDescent="0.25">
      <c r="A110" s="4"/>
      <c r="B110" s="3"/>
    </row>
    <row r="111" spans="1:5" x14ac:dyDescent="0.25">
      <c r="A111" s="4"/>
      <c r="B111" s="3"/>
    </row>
    <row r="112" spans="1:5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5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5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5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5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5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5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C14" sqref="C1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5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5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5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5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5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5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5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5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5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v>-1736161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-1736161</v>
      </c>
      <c r="J55" s="60"/>
      <c r="K55" s="38"/>
      <c r="L55" s="60">
        <f>H55+J55</f>
        <v>0</v>
      </c>
      <c r="M55" s="38">
        <f>I55+K55</f>
        <v>-1736161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-3932753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-3932753</v>
      </c>
    </row>
    <row r="57" spans="1:15" x14ac:dyDescent="0.25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-1652488.3689000462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-1652488.3689000462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5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5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-1736161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-1736161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-1736161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-3932753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-3932753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-3932753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-1996625.3689000462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-1652488.3689000462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-1652488.3689000462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J75" activePane="bottomRight" state="frozen"/>
      <selection activeCell="D10" sqref="D10"/>
      <selection pane="topRight" activeCell="D10" sqref="D10"/>
      <selection pane="bottomLeft" activeCell="D10" sqref="D10"/>
      <selection pane="bottomRight" activeCell="L86" sqref="L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5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5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5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5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635790.05739185808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705933.39739186317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705933.39739185944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705933.39739185944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5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5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5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5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5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5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5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5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5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5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1699043.0431630723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1699043.0431630723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1699043.0431630723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5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5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5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5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5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A77" sqref="A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5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212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405697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316549.1299391354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316549.1299391354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316549.1299391354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5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5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I62" zoomScale="75" workbookViewId="0">
      <selection activeCell="Q83" sqref="Q8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573509.00289828656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573509.00289828656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573509.00289828656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5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5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5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I10" activePane="bottomRight" state="frozen"/>
      <selection activeCell="D10" sqref="D10"/>
      <selection pane="topRight" activeCell="D10" sqref="D10"/>
      <selection pane="bottomLeft" activeCell="D10" sqref="D10"/>
      <selection pane="bottomRight" activeCell="K12" sqref="K1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115914309</v>
      </c>
      <c r="E11" s="38">
        <f>SUM(G11,I11,K11,M11,O11,Q11,S11,U11,W11,Y11,AA11,AC11,AE11)</f>
        <v>304782688.54000002</v>
      </c>
      <c r="F11" s="60">
        <f>'TIE-OUT'!F11+RECLASS!F11</f>
        <v>0</v>
      </c>
      <c r="G11" s="38">
        <f>'TIE-OUT'!G11+RECLASS!G11</f>
        <v>0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3064902.5199999996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5275675</v>
      </c>
      <c r="E13" s="38">
        <f t="shared" si="0"/>
        <v>14120034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2835640.51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121189984</v>
      </c>
      <c r="E16" s="39">
        <f t="shared" si="1"/>
        <v>324803265.56999999</v>
      </c>
      <c r="F16" s="61">
        <f t="shared" si="1"/>
        <v>0</v>
      </c>
      <c r="G16" s="39">
        <f t="shared" si="1"/>
        <v>-5370359.4800000004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-129460410</v>
      </c>
      <c r="E19" s="38">
        <f t="shared" si="3"/>
        <v>-339222137.13999999</v>
      </c>
      <c r="F19" s="64">
        <f>'TIE-OUT'!F19+RECLASS!F19</f>
        <v>0</v>
      </c>
      <c r="G19" s="68">
        <f>'TIE-OUT'!G19+RECLASS!G19</f>
        <v>0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-12154.06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-3152509</v>
      </c>
      <c r="E21" s="38">
        <f t="shared" si="3"/>
        <v>-8512491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785293</v>
      </c>
      <c r="E23" s="38">
        <f t="shared" si="3"/>
        <v>2051970.6089999999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-131827626</v>
      </c>
      <c r="E24" s="39">
        <f t="shared" si="4"/>
        <v>-345694811.59099996</v>
      </c>
      <c r="F24" s="61">
        <f t="shared" si="4"/>
        <v>0</v>
      </c>
      <c r="G24" s="39">
        <f t="shared" si="4"/>
        <v>-12154.06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701344</v>
      </c>
      <c r="E27" s="38">
        <f>SUM(G27,I27,K27,M27,O27,Q27,S27,U27,W27,Y27,AA27,AC27,AE27)</f>
        <v>1914308.6099999999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701344</v>
      </c>
      <c r="E29" s="39">
        <f t="shared" si="6"/>
        <v>1914308.6099999999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-145316</v>
      </c>
      <c r="E32" s="38">
        <f t="shared" si="8"/>
        <v>-379710.70799999987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-22553</v>
      </c>
      <c r="E33" s="38">
        <f t="shared" si="8"/>
        <v>-195.82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690</v>
      </c>
      <c r="E34" s="38">
        <f t="shared" si="8"/>
        <v>0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-167179</v>
      </c>
      <c r="E36" s="39">
        <f t="shared" si="9"/>
        <v>-379906.52799999987</v>
      </c>
      <c r="F36" s="61">
        <f t="shared" si="9"/>
        <v>0</v>
      </c>
      <c r="G36" s="39">
        <f t="shared" si="9"/>
        <v>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612458</v>
      </c>
      <c r="E39" s="38">
        <f t="shared" si="11"/>
        <v>1600352.7599999998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-386875</v>
      </c>
      <c r="E40" s="38">
        <f t="shared" si="11"/>
        <v>-841937.26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-386875</v>
      </c>
      <c r="E42" s="39">
        <f t="shared" si="12"/>
        <v>-841937.26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225583</v>
      </c>
      <c r="E43" s="39">
        <f t="shared" si="14"/>
        <v>758415.49999999977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9877894</v>
      </c>
      <c r="E49" s="38">
        <f>SUM(G49,I49,K49,M49,O49,Q49,S49,U49,W49,Y49,AA49,AC49,AE49)</f>
        <v>25810937.022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-785293</v>
      </c>
      <c r="E51" s="38">
        <f>SUM(G51,I51,K51,M51,O51,Q51,S51,U51,W51,Y51,AA51,AC51,AE51)</f>
        <v>-2051970.6089999999</v>
      </c>
      <c r="F51" s="60">
        <f>'TIE-OUT'!F51+RECLASS!F51</f>
        <v>0</v>
      </c>
      <c r="G51" s="38">
        <f>'TIE-OUT'!G51+RECLASS!G51</f>
        <v>0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-78713620</v>
      </c>
      <c r="E54" s="38">
        <f>SUM(G54,I54,K54,M54,O54,Q54,S54,U54,W54,Y54,AA54,AC54,AE54)</f>
        <v>-508166.51</v>
      </c>
      <c r="F54" s="64">
        <f>'TIE-OUT'!F54+RECLASS!F54</f>
        <v>0</v>
      </c>
      <c r="G54" s="68">
        <f>'TIE-OUT'!G54+RECLASS!G54</f>
        <v>0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-2141051.4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-78713620</v>
      </c>
      <c r="E56" s="39">
        <f t="shared" si="16"/>
        <v>-2649217.91</v>
      </c>
      <c r="F56" s="61">
        <f t="shared" si="16"/>
        <v>0</v>
      </c>
      <c r="G56" s="39">
        <f t="shared" si="16"/>
        <v>0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-2688636.37</v>
      </c>
      <c r="F74" s="60">
        <f>'TIE-OUT'!F74+RECLASS!F74</f>
        <v>0</v>
      </c>
      <c r="G74" s="60">
        <f>'TIE-OUT'!G74+RECLASS!G74</f>
        <v>-2688636.37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-10031.790000000001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1148924.81400003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15995973.51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304676</v>
      </c>
      <c r="E13" s="38">
        <f t="shared" si="0"/>
        <v>873663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6040864</v>
      </c>
      <c r="E16" s="39">
        <f t="shared" si="1"/>
        <v>16179343.699999999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-2772444.27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-2220571</v>
      </c>
      <c r="E21" s="38">
        <f t="shared" si="2"/>
        <v>-5918480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-3121396</v>
      </c>
      <c r="E24" s="39">
        <f t="shared" si="3"/>
        <v>-8757407.9600000009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-2919468</v>
      </c>
      <c r="E49" s="38">
        <f>SUM(G49,I49,K49,M49,O49,Q49,S49,U49,W49,Y49,AA49,AC49,AE49)</f>
        <v>-7430046.0599999996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-550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-246303.33000000101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>H16+H24+H29+H36+H43+H45+H47+H49</f>
        <v>0</v>
      </c>
      <c r="I82" s="91">
        <f>I16+I24+I29+I36+I43+I45+I47+I49</f>
        <v>4894400.4249999989</v>
      </c>
      <c r="J82" s="91">
        <f>J16+J24+J29+J36+J43+J45+J47+J49</f>
        <v>0</v>
      </c>
      <c r="K82" s="137">
        <f>K16+K24+K29+K36+K43+K45+K47+K49</f>
        <v>-4145734.2450000001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A52" zoomScale="75" workbookViewId="0">
      <selection activeCell="A70" sqref="A7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2" width="15.44140625" hidden="1" customWidth="1"/>
    <col min="43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15592377</v>
      </c>
      <c r="E11" s="38">
        <f>SUM(G11,I11,K11,M11,O11,Q11,S11,U11,W11,Y11,AA11,AC11,AE11)</f>
        <v>41484047.440000005</v>
      </c>
      <c r="F11" s="60">
        <f>'TIE-OUT'!H11+RECLASS!H11</f>
        <v>0</v>
      </c>
      <c r="G11" s="38">
        <f>'TIE-OUT'!I11+RECLASS!I11</f>
        <v>0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'TIE-OUT'!H12+RECLASS!H12</f>
        <v>0</v>
      </c>
      <c r="G12" s="38">
        <f>'TIE-OUT'!I12+RECLASS!I12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691622</v>
      </c>
      <c r="E13" s="38">
        <f t="shared" si="0"/>
        <v>1971907</v>
      </c>
      <c r="F13" s="60">
        <f>'TIE-OUT'!H13+RECLASS!H13</f>
        <v>0</v>
      </c>
      <c r="G13" s="38">
        <f>'TIE-OUT'!I13+RECLASS!I13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16283999</v>
      </c>
      <c r="E16" s="39">
        <f t="shared" si="1"/>
        <v>47229387.400000006</v>
      </c>
      <c r="F16" s="61">
        <f t="shared" si="1"/>
        <v>0</v>
      </c>
      <c r="G16" s="39">
        <f t="shared" si="1"/>
        <v>715209.96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-25985875.800000001</v>
      </c>
      <c r="F19" s="64">
        <f>'TIE-OUT'!H19+RECLASS!H19</f>
        <v>0</v>
      </c>
      <c r="G19" s="68">
        <f>'TIE-OUT'!I19+RECLASS!I19</f>
        <v>0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'TIE-OUT'!H20+RECLASS!H20</f>
        <v>0</v>
      </c>
      <c r="G20" s="38">
        <f>'TIE-OUT'!I20+RECLASS!I20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-55556</v>
      </c>
      <c r="E21" s="38">
        <f t="shared" si="3"/>
        <v>-155961</v>
      </c>
      <c r="F21" s="60">
        <f>'TIE-OUT'!H21+RECLASS!H21</f>
        <v>0</v>
      </c>
      <c r="G21" s="38">
        <f>'TIE-OUT'!I21+RECLASS!I21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-9961544</v>
      </c>
      <c r="E24" s="39">
        <f t="shared" si="4"/>
        <v>-26477562.800000001</v>
      </c>
      <c r="F24" s="61">
        <f t="shared" si="4"/>
        <v>0</v>
      </c>
      <c r="G24" s="39">
        <f t="shared" si="4"/>
        <v>-335726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-6322455</v>
      </c>
      <c r="E49" s="38">
        <f>SUM(G49,I49,K49,M49,O49,Q49,S49,U49,W49,Y49,AA49,AC49,AE49)</f>
        <v>-16485801.4125</v>
      </c>
      <c r="F49" s="60">
        <f>'TIE-OUT'!H49+RECLASS!H49</f>
        <v>0</v>
      </c>
      <c r="G49" s="38">
        <f>'TIE-OUT'!I49+RECLASS!I49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'TIE-OUT'!H54+RECLASS!H54</f>
        <v>0</v>
      </c>
      <c r="G54" s="68">
        <f>'TIE-OUT'!I54+RECLASS!I54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-3576676.54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-3705754.47</v>
      </c>
      <c r="F56" s="61">
        <f t="shared" si="16"/>
        <v>0</v>
      </c>
      <c r="G56" s="39">
        <f t="shared" si="16"/>
        <v>0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9155983</v>
      </c>
      <c r="F70" s="64">
        <f>'TIE-OUT'!H70+RECLASS!H70</f>
        <v>0</v>
      </c>
      <c r="G70" s="68">
        <f>'TIE-OUT'!I70+RECLASS!I70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'TIE-OUT'!H71+RECLASS!H71</f>
        <v>0</v>
      </c>
      <c r="G71" s="82">
        <f>'TIE-OUT'!I71+RECLASS!I71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642664.06000000052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185518.68</v>
      </c>
      <c r="F74" s="60">
        <f>'TIE-OUT'!H74+RECLASS!H74</f>
        <v>0</v>
      </c>
      <c r="G74" s="60">
        <f>'TIE-OUT'!I74+RECLASS!I74</f>
        <v>185518.68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1388451.4575000075</v>
      </c>
      <c r="F82" s="91">
        <f>F16+F24+F29+F36+F43+F45+F47+F49</f>
        <v>0</v>
      </c>
      <c r="G82" s="92">
        <f>SUM(G72:G81)+G16+G24+G29+G36+G43+G45+G47+G49+G51+G56+G61+G66</f>
        <v>-9896370.3000000007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I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554687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200010649</v>
      </c>
      <c r="E11" s="38">
        <f>SUM(G11,I11,K11,M11,O11,Q11,S11,U11,W11,Y11,AA11,AC11,AE11)</f>
        <v>544325654.31999993</v>
      </c>
      <c r="F11" s="60">
        <f>'TIE-OUT'!J11+RECLASS!H11</f>
        <v>0</v>
      </c>
      <c r="G11" s="38">
        <f>'TIE-OUT'!K11+RECLASS!I11</f>
        <v>0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3306029.27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214560801</v>
      </c>
      <c r="E16" s="39">
        <f t="shared" si="1"/>
        <v>591367902.91999996</v>
      </c>
      <c r="F16" s="61">
        <f t="shared" si="1"/>
        <v>0</v>
      </c>
      <c r="G16" s="39">
        <f t="shared" si="1"/>
        <v>3306029.27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-199561466</v>
      </c>
      <c r="E19" s="38">
        <f t="shared" si="3"/>
        <v>-532477646.12</v>
      </c>
      <c r="F19" s="64">
        <f>'TIE-OUT'!J19+RECLASS!H19</f>
        <v>0</v>
      </c>
      <c r="G19" s="68">
        <f>'TIE-OUT'!K19+RECLASS!I19</f>
        <v>0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-5577675.8399999999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-14312104</v>
      </c>
      <c r="E21" s="38">
        <f t="shared" si="3"/>
        <v>-41309129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1368078</v>
      </c>
      <c r="E23" s="38">
        <f t="shared" si="3"/>
        <v>3596677.0620000004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-212505492</v>
      </c>
      <c r="E24" s="39">
        <f t="shared" si="4"/>
        <v>-575767773.898</v>
      </c>
      <c r="F24" s="61">
        <f t="shared" si="4"/>
        <v>0</v>
      </c>
      <c r="G24" s="39">
        <f t="shared" si="4"/>
        <v>-5577675.8399999999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-491982</v>
      </c>
      <c r="E28" s="38">
        <f>SUM(G28,I28,K28,M28,O28,Q28,S28,U28,W28,Y28,AA28,AC28,AE28)</f>
        <v>-1308762.77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289519</v>
      </c>
      <c r="E29" s="39">
        <f t="shared" si="6"/>
        <v>816949.25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-486645</v>
      </c>
      <c r="E32" s="38">
        <f t="shared" si="8"/>
        <v>-1279389.7049999998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-397497</v>
      </c>
      <c r="E33" s="38">
        <f t="shared" si="8"/>
        <v>-1085638.6100000001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162357</v>
      </c>
      <c r="E34" s="38">
        <f t="shared" si="8"/>
        <v>401370.06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-721785</v>
      </c>
      <c r="E36" s="39">
        <f t="shared" si="9"/>
        <v>-1963658.2549999999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39</v>
      </c>
      <c r="E39" s="38">
        <f t="shared" si="11"/>
        <v>102.52999999999884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-1643354</v>
      </c>
      <c r="E40" s="38">
        <f t="shared" si="11"/>
        <v>-3130997.37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-1643354</v>
      </c>
      <c r="E42" s="39">
        <f t="shared" si="12"/>
        <v>-3130997.37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-1643315</v>
      </c>
      <c r="E43" s="39">
        <f t="shared" si="14"/>
        <v>-3130894.8400000003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'TIE-OUT'!J54+RECLASS!H54</f>
        <v>0</v>
      </c>
      <c r="G54" s="68">
        <f>'TIE-OUT'!K54+RECLASS!I54</f>
        <v>0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-134719668</v>
      </c>
      <c r="E56" s="39">
        <f t="shared" si="16"/>
        <v>-10373024.57</v>
      </c>
      <c r="F56" s="61">
        <f t="shared" si="16"/>
        <v>0</v>
      </c>
      <c r="G56" s="39">
        <f t="shared" si="16"/>
        <v>0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64641.369999999995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-1187463.9100000001</v>
      </c>
      <c r="F74" s="60">
        <f>'TIE-OUT'!J74+RECLASS!H74</f>
        <v>0</v>
      </c>
      <c r="G74" s="60">
        <f>'TIE-OUT'!K74+RECLASS!I74</f>
        <v>-1122366.8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76730.420000000013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451805.31999999995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-2927672.5569999879</v>
      </c>
      <c r="F82" s="91">
        <f>F16+F24+F29+F36+F43+F45+F47+F49</f>
        <v>0</v>
      </c>
      <c r="G82" s="92">
        <f>SUM(G72:G81)+G16+G24+G29+G36+G43+G45+G47+G49+G51+G56+G61+G66</f>
        <v>-2931017.76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-2861672.866999988</v>
      </c>
      <c r="F91" s="160">
        <f t="shared" si="29"/>
        <v>0</v>
      </c>
      <c r="G91" s="160">
        <f t="shared" si="29"/>
        <v>-2600405.0699999998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G7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41" width="15.44140625" hidden="1" customWidth="1"/>
    <col min="42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5562</v>
      </c>
      <c r="E11" s="15">
        <f>G11+I11+K11+M11+O11</f>
        <v>-4773.9199999999983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5562</v>
      </c>
      <c r="E16" s="23">
        <f t="shared" si="1"/>
        <v>-151828.59000000003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3835</v>
      </c>
      <c r="E27" s="15">
        <f>G27+I27+K27+M27+O27</f>
        <v>10440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-9397</v>
      </c>
      <c r="E28" s="15">
        <f>G28+I28+K28+M28+O28</f>
        <v>-25445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-5562</v>
      </c>
      <c r="E29" s="23">
        <f t="shared" si="6"/>
        <v>-15005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200016211</v>
      </c>
      <c r="E11" s="38">
        <f>SUM(G11,I11,K11,M11,O11,Q11,S11,U11,W11,Y11,AA11,AC11,AE11)</f>
        <v>544320880.39999998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3158974.6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214566363</v>
      </c>
      <c r="E16" s="39">
        <f t="shared" si="1"/>
        <v>591216074.33000004</v>
      </c>
      <c r="F16" s="61">
        <f t="shared" si="1"/>
        <v>0</v>
      </c>
      <c r="G16" s="39">
        <f t="shared" si="1"/>
        <v>3158974.6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-199561466</v>
      </c>
      <c r="E19" s="38">
        <f t="shared" si="2"/>
        <v>-532477646.12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-5643395.7999999998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-14312104</v>
      </c>
      <c r="E21" s="38">
        <f t="shared" si="2"/>
        <v>-41309129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1368078</v>
      </c>
      <c r="E23" s="38">
        <f t="shared" si="2"/>
        <v>3596677.0620000004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-212505492</v>
      </c>
      <c r="E24" s="39">
        <f t="shared" si="3"/>
        <v>-575833493.85799992</v>
      </c>
      <c r="F24" s="61">
        <f t="shared" si="3"/>
        <v>0</v>
      </c>
      <c r="G24" s="39">
        <f t="shared" si="3"/>
        <v>-5643395.7999999998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785336</v>
      </c>
      <c r="E27" s="38">
        <f>SUM(G27,I27,K27,M27,O27,Q27,S27,U27,W27,Y27,AA27,AC27,AE27)</f>
        <v>2136152.02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-501379</v>
      </c>
      <c r="E28" s="38">
        <f>SUM(G28,I28,K28,M28,O28,Q28,S28,U28,W28,Y28,AA28,AC28,AE28)</f>
        <v>-1334207.77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283957</v>
      </c>
      <c r="E29" s="39">
        <f t="shared" si="4"/>
        <v>801944.25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-486645</v>
      </c>
      <c r="E32" s="38">
        <f t="shared" si="5"/>
        <v>-1279389.7049999998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-397497</v>
      </c>
      <c r="E33" s="38">
        <f t="shared" si="5"/>
        <v>-1085638.6100000001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162357</v>
      </c>
      <c r="E34" s="38">
        <f t="shared" si="5"/>
        <v>401370.06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-721785</v>
      </c>
      <c r="E36" s="39">
        <f t="shared" si="6"/>
        <v>-1963658.2549999999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</v>
      </c>
      <c r="E39" s="38">
        <f t="shared" si="7"/>
        <v>102.52999999999884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-1643354</v>
      </c>
      <c r="E40" s="38">
        <f t="shared" si="7"/>
        <v>-3130997.37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-1643354</v>
      </c>
      <c r="E42" s="39">
        <f t="shared" si="8"/>
        <v>-3130997.37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-1643315</v>
      </c>
      <c r="E43" s="39">
        <f t="shared" si="9"/>
        <v>-3130894.8400000003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-134719668</v>
      </c>
      <c r="E56" s="39">
        <f t="shared" si="10"/>
        <v>-10373024.57</v>
      </c>
      <c r="F56" s="61">
        <f t="shared" si="10"/>
        <v>0</v>
      </c>
      <c r="G56" s="39">
        <f t="shared" si="10"/>
        <v>0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64641.369999999995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-1187463.9100000001</v>
      </c>
      <c r="F74" s="60">
        <f>('TIE-OUT'!L74+'TIE-OUT'!J74)+(RECLASS!J74+RECLASS!H74)</f>
        <v>0</v>
      </c>
      <c r="G74" s="60">
        <f>('TIE-OUT'!M74+'TIE-OUT'!K74)+(RECLASS!K74+RECLASS!I74)</f>
        <v>-1122366.8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76730.420000000013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451805.31999999995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-3160226.106999821</v>
      </c>
      <c r="F82" s="91">
        <f>F16+F24+F29+F36+F43+F45+F47+F49</f>
        <v>0</v>
      </c>
      <c r="G82" s="92">
        <f>SUM(G72:G81)+G16+G24+G29+G36+G43+G45+G47+G49+G51+G56+G61+G66</f>
        <v>-3143792.3899999997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-3160226.1069999877</v>
      </c>
      <c r="G84" s="14">
        <f>+'EAST-LRC-GL'!G82+'EAST-EGM-GL'!G82</f>
        <v>-3143792.3899999997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-3094226.4169998211</v>
      </c>
      <c r="F91" s="160">
        <f t="shared" si="19"/>
        <v>0</v>
      </c>
      <c r="G91" s="160">
        <f t="shared" si="19"/>
        <v>-2813179.6999999997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AQ86" sqref="AQ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13854441</v>
      </c>
      <c r="E11" s="38">
        <f>SUM(G11,I11,K11,M11,O11,Q11,S11,U11,W11,Y11,AA11,AC11,AE11)</f>
        <v>37795452.32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14283673</v>
      </c>
      <c r="E16" s="39">
        <f t="shared" si="1"/>
        <v>37642121.259999998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-4695131</v>
      </c>
      <c r="E19" s="38">
        <f t="shared" si="3"/>
        <v>-11979028.949999999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-21000</v>
      </c>
      <c r="E21" s="38">
        <f t="shared" si="3"/>
        <v>-55982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-4696739</v>
      </c>
      <c r="E24" s="39">
        <f t="shared" si="4"/>
        <v>-10244295.899999999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9811423</v>
      </c>
      <c r="E27" s="38">
        <f>SUM(G27,I27,K27,M27,O27,Q27,S27,U27,W27,Y27,AA27,AC27,AE27)</f>
        <v>27513588.5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-19127789</v>
      </c>
      <c r="E28" s="38">
        <f>SUM(G28,I28,K28,M28,O28,Q28,S28,U28,W28,Y28,AA28,AC28,AE28)</f>
        <v>-53611488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-9316366</v>
      </c>
      <c r="E29" s="39">
        <f t="shared" si="6"/>
        <v>-26097899.5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-234896</v>
      </c>
      <c r="E32" s="38">
        <f t="shared" si="8"/>
        <v>-596635.83999999985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-234896</v>
      </c>
      <c r="E36" s="39">
        <f t="shared" si="9"/>
        <v>-596635.83999999985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171553</v>
      </c>
      <c r="E43" s="39">
        <f t="shared" si="14"/>
        <v>435744.62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-207225</v>
      </c>
      <c r="E49" s="38">
        <f>SUM(G49,I49,K49,M49,O49,Q49,S49,U49,W49,Y49,AA49,AC49,AE49)</f>
        <v>-526351.5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-336775.86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-18605488</v>
      </c>
      <c r="E56" s="39">
        <f t="shared" si="16"/>
        <v>-511075.86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-546.73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-546.73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-1213673.3599999971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-1213673.3599999971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-2537269.9900000007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-248769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-248769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-248834.00000000006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G74" activePane="bottomRight" state="frozen"/>
      <selection activeCell="J9" sqref="J9"/>
      <selection pane="topRight" activeCell="J9" sqref="J9"/>
      <selection pane="bottomLeft" activeCell="J9" sqref="J9"/>
      <selection pane="bottomRight" activeCell="I80" sqref="I80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3320312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44563002</v>
      </c>
      <c r="E11" s="38">
        <f>SUM(G11,I11,K11,M11,O11,Q11,S11,U11,W11,Y11,AA11,AC11,AE11)</f>
        <v>115067617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-289230.28000000003</v>
      </c>
      <c r="F12" s="60">
        <f>'TIE-OUT'!X12+RECLASS!V12</f>
        <v>0</v>
      </c>
      <c r="G12" s="38">
        <f>'TIE-OUT'!Y12+RECLASS!W12</f>
        <v>-289230.28000000003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44563002</v>
      </c>
      <c r="E16" s="39">
        <f t="shared" si="1"/>
        <v>114778386.72</v>
      </c>
      <c r="F16" s="61">
        <f t="shared" si="1"/>
        <v>0</v>
      </c>
      <c r="G16" s="39">
        <f t="shared" si="1"/>
        <v>-289230.28000000003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-61360160</v>
      </c>
      <c r="E19" s="38">
        <f t="shared" si="2"/>
        <v>-155163168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-714575.09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-61360160</v>
      </c>
      <c r="E24" s="39">
        <f t="shared" si="3"/>
        <v>-155877743.09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19678389</v>
      </c>
      <c r="E27" s="38">
        <f>SUM(G27,I27,K27,M27,O27,Q27,S27,U27,W27,Y27,AA27,AC27,AE27)</f>
        <v>55045940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-12499515</v>
      </c>
      <c r="E28" s="38">
        <f>SUM(G28,I28,K28,M28,O28,Q28,S28,U28,W28,Y28,AA28,AC28,AE28)</f>
        <v>-34817790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7178874</v>
      </c>
      <c r="E29" s="39">
        <f t="shared" si="4"/>
        <v>20228150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448185</v>
      </c>
      <c r="E32" s="38">
        <f t="shared" si="5"/>
        <v>1138390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448185</v>
      </c>
      <c r="E36" s="39">
        <f t="shared" si="6"/>
        <v>1138390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24743820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24743820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-327759</v>
      </c>
      <c r="E49" s="38">
        <f>SUM(G49,I49,K49,M49,O49,Q49,S49,U49,W49,Y49,AA49,AC49,AE49)</f>
        <v>-832507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-1465893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-1465893</v>
      </c>
      <c r="F56" s="61">
        <f t="shared" si="10"/>
        <v>0</v>
      </c>
      <c r="G56" s="39">
        <f t="shared" si="10"/>
        <v>-1293893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-937682.58999999985</v>
      </c>
      <c r="F74" s="60">
        <f>'TIE-OUT'!X74+RECLASS!V74</f>
        <v>0</v>
      </c>
      <c r="G74" s="60">
        <f>'TIE-OUT'!Y74+RECLASS!W74</f>
        <v>6332577.4100000001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1824921.0399999917</v>
      </c>
      <c r="F82" s="91">
        <f>F16+F24+F29+F36+F43+F45+F47+F49</f>
        <v>0</v>
      </c>
      <c r="G82" s="92">
        <f>SUM(G72:G81)+G16+G24+G29+G36+G43+G45+G47+G49+G51+G56+G61+G66</f>
        <v>4034879.04</v>
      </c>
      <c r="H82" s="91">
        <f>H16+H24+H29+H36+H43+H45+H47+H49</f>
        <v>0</v>
      </c>
      <c r="I82" s="92">
        <f>SUM(I72:I81)+I16+I24+I29+I36+I43+I45+I47+I49+I51+I56+I61+I66</f>
        <v>-2477299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170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1697579.3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216">
        <v>-158829</v>
      </c>
      <c r="J86" s="145">
        <v>0</v>
      </c>
      <c r="K86" s="145">
        <f>1340862+409408.67</f>
        <v>1750270.67</v>
      </c>
      <c r="L86" s="145">
        <v>0</v>
      </c>
      <c r="M86" s="145">
        <v>0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 t="shared" si="16"/>
        <v>0</v>
      </c>
      <c r="K89" s="155">
        <f t="shared" si="16"/>
        <v>1750270.67</v>
      </c>
      <c r="L89" s="155">
        <f>SUM(L86:L88)</f>
        <v>0</v>
      </c>
      <c r="M89" s="155">
        <f>SUM(M86:M88)</f>
        <v>0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2067500.3399999917</v>
      </c>
      <c r="F91" s="155">
        <f t="shared" si="17"/>
        <v>0</v>
      </c>
      <c r="G91" s="155">
        <f t="shared" si="17"/>
        <v>2686016.67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2017611.67</v>
      </c>
      <c r="L91" s="155">
        <f>+L82+L89</f>
        <v>0</v>
      </c>
      <c r="M91" s="155">
        <f>+M82+M89</f>
        <v>0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D77" activePane="bottomRight" state="frozen"/>
      <selection activeCell="J9" sqref="J9"/>
      <selection pane="topRight" activeCell="J9" sqref="J9"/>
      <selection pane="bottomLeft" activeCell="J9" sqref="J9"/>
      <selection pane="bottomRight" activeCell="E92" sqref="E9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58552519</v>
      </c>
      <c r="E11" s="38">
        <f>SUM(G11,I11,K11,M11,O11,Q11,S11,U11,W11,Y11,AA11,AC11,AE11)</f>
        <v>153217103.52000001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-3479004.9400000004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-3479004.9400000004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58981751</v>
      </c>
      <c r="E16" s="39">
        <f t="shared" si="1"/>
        <v>152771640.58000001</v>
      </c>
      <c r="F16" s="61">
        <f t="shared" si="1"/>
        <v>0</v>
      </c>
      <c r="G16" s="39">
        <f t="shared" si="1"/>
        <v>-3479004.9400000004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-66055291</v>
      </c>
      <c r="E19" s="38">
        <f t="shared" si="2"/>
        <v>-167390965.94999999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1026884.2800000001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-21000</v>
      </c>
      <c r="E21" s="38">
        <f t="shared" si="2"/>
        <v>-55982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-66056899</v>
      </c>
      <c r="E24" s="39">
        <f t="shared" si="3"/>
        <v>-166370807.98999998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29489812</v>
      </c>
      <c r="E27" s="38">
        <f>SUM(G27,I27,K27,M27,O27,Q27,S27,U27,W27,Y27,AA27,AC27,AE27)</f>
        <v>82559528.5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-31762380</v>
      </c>
      <c r="E28" s="38">
        <f>SUM(G28,I28,K28,M28,O28,Q28,S28,U28,W28,Y28,AA28,AC28,AE28)</f>
        <v>-88780475.599999994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-2272568</v>
      </c>
      <c r="E29" s="39">
        <f t="shared" si="4"/>
        <v>-6220947.099999994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213289</v>
      </c>
      <c r="E32" s="38">
        <f t="shared" si="5"/>
        <v>541754.16000000015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213289</v>
      </c>
      <c r="E36" s="39">
        <f t="shared" si="6"/>
        <v>541754.16000000015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25179564.620000001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9669411</v>
      </c>
      <c r="E43" s="39">
        <f t="shared" si="9"/>
        <v>25179564.620000001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-534984</v>
      </c>
      <c r="E49" s="38">
        <f>SUM(G49,I49,K49,M49,O49,Q49,S49,U49,W49,Y49,AA49,AC49,AE49)</f>
        <v>-1358858.5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-1802668.8599999999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-18605488</v>
      </c>
      <c r="E56" s="39">
        <f t="shared" si="10"/>
        <v>-1976968.8599999999</v>
      </c>
      <c r="F56" s="61">
        <f t="shared" si="10"/>
        <v>0</v>
      </c>
      <c r="G56" s="39">
        <f t="shared" si="10"/>
        <v>-1293893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49453.27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49453.27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-1001151.2400000002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6269108.7599999998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362413.68000004767</v>
      </c>
      <c r="F82" s="91">
        <f>F16+F24+F29+F36+F43+F45+F47+F49</f>
        <v>0</v>
      </c>
      <c r="G82" s="92">
        <f>SUM(G72:G81)+G16+G24+G29+G36+G43+G45+G47+G49+G51+G56+G61+G66</f>
        <v>1323811.5300000003</v>
      </c>
      <c r="H82" s="91">
        <f>H16+H24+H29+H36+H43+H45+H47+H49</f>
        <v>0</v>
      </c>
      <c r="I82" s="92">
        <f>SUM(I72:I81)+I16+I24+I29+I36+I43+I45+I47+I49+I51+I56+I61+I66</f>
        <v>1308516.560000008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1697579.3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-158829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604992.98000004771</v>
      </c>
      <c r="F91" s="155">
        <f t="shared" si="19"/>
        <v>0</v>
      </c>
      <c r="G91" s="155">
        <f t="shared" si="19"/>
        <v>-25050.839999999618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G72" activePane="bottomRight" state="frozen"/>
      <selection activeCell="J9" sqref="J9"/>
      <selection pane="topRight" activeCell="J9" sqref="J9"/>
      <selection pane="bottomLeft" activeCell="J9" sqref="J9"/>
      <selection pane="bottomRight" activeCell="K74" sqref="K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41709641</v>
      </c>
      <c r="E11" s="38">
        <f>SUM(G11,I11,K11,M11,O11,Q11,S11,U11,W11,Y11,AA11,AC11,AE11)</f>
        <v>102647484.3</v>
      </c>
      <c r="F11" s="60">
        <f>'TIE-OUT'!P11+RECLASS!R11</f>
        <v>0</v>
      </c>
      <c r="G11" s="38">
        <f>'TIE-OUT'!Q11+RECLASS!S11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11346039.58</v>
      </c>
      <c r="F12" s="60">
        <f>'TIE-OUT'!P12+RECLASS!R12</f>
        <v>0</v>
      </c>
      <c r="G12" s="38">
        <f>'TIE-OUT'!Q12+RECLASS!S12</f>
        <v>11346039.58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83100</v>
      </c>
      <c r="F13" s="60">
        <f>'TIE-OUT'!P13+RECLASS!R13</f>
        <v>0</v>
      </c>
      <c r="G13" s="38">
        <f>'TIE-OUT'!Q13+RECLASS!S13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'TIE-OUT'!Q14+RECLASS!S14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1128693.02</v>
      </c>
      <c r="F15" s="81">
        <f>'TIE-OUT'!P15+RECLASS!R15</f>
        <v>0</v>
      </c>
      <c r="G15" s="82">
        <f>'TIE-OUT'!Q15+RECLASS!S15</f>
        <v>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41739641</v>
      </c>
      <c r="E16" s="39">
        <f t="shared" si="1"/>
        <v>115205316.89999999</v>
      </c>
      <c r="F16" s="61">
        <f t="shared" si="1"/>
        <v>0</v>
      </c>
      <c r="G16" s="39">
        <f t="shared" si="1"/>
        <v>11346039.58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-44702195</v>
      </c>
      <c r="E19" s="38">
        <f t="shared" si="3"/>
        <v>-113701035.76000001</v>
      </c>
      <c r="F19" s="64">
        <f>'TIE-OUT'!P19+RECLASS!R19</f>
        <v>0</v>
      </c>
      <c r="G19" s="68">
        <f>'TIE-OUT'!Q19+RECLASS!S19</f>
        <v>0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-2403190.42</v>
      </c>
      <c r="F20" s="60">
        <f>'TIE-OUT'!P20+RECLASS!R20</f>
        <v>0</v>
      </c>
      <c r="G20" s="38">
        <f>'TIE-OUT'!Q20+RECLASS!S20</f>
        <v>-2403190.42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-82500</v>
      </c>
      <c r="F21" s="60">
        <f>'TIE-OUT'!P21+RECLASS!R21</f>
        <v>0</v>
      </c>
      <c r="G21" s="38">
        <f>'TIE-OUT'!Q21+RECLASS!S21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'TIE-OUT'!Q22+RECLASS!S22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336956</v>
      </c>
      <c r="E23" s="38">
        <f t="shared" si="3"/>
        <v>816107.43199999991</v>
      </c>
      <c r="F23" s="81">
        <f>'TIE-OUT'!P23+RECLASS!R23</f>
        <v>0</v>
      </c>
      <c r="G23" s="82">
        <f>'TIE-OUT'!Q23+RECLASS!S23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-44395239</v>
      </c>
      <c r="E24" s="39">
        <f t="shared" si="4"/>
        <v>-115370618.74800001</v>
      </c>
      <c r="F24" s="61">
        <f t="shared" si="4"/>
        <v>0</v>
      </c>
      <c r="G24" s="39">
        <f t="shared" si="4"/>
        <v>-2403190.42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'TIE-OUT'!P27+RECLASS!R27</f>
        <v>0</v>
      </c>
      <c r="G27" s="68">
        <f>'TIE-OUT'!Q27+RECLASS!S27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'TIE-OUT'!P28+RECLASS!R28</f>
        <v>0</v>
      </c>
      <c r="G28" s="82">
        <f>'TIE-OUT'!Q28+RECLASS!S28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-44552</v>
      </c>
      <c r="E32" s="38">
        <f t="shared" si="8"/>
        <v>-107904.944</v>
      </c>
      <c r="F32" s="64">
        <f>'TIE-OUT'!P32+RECLASS!R32</f>
        <v>0</v>
      </c>
      <c r="G32" s="68">
        <f>'TIE-OUT'!Q32+RECLASS!S32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-1989</v>
      </c>
      <c r="E33" s="38">
        <f t="shared" si="8"/>
        <v>-5274.4</v>
      </c>
      <c r="F33" s="60">
        <f>'TIE-OUT'!P33+RECLASS!R33</f>
        <v>0</v>
      </c>
      <c r="G33" s="38">
        <f>'TIE-OUT'!Q33+RECLASS!S33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'TIE-OUT'!P34+RECLASS!R34</f>
        <v>0</v>
      </c>
      <c r="G34" s="38">
        <f>'TIE-OUT'!Q34+RECLASS!S34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'TIE-OUT'!Q35+RECLASS!S35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-45366</v>
      </c>
      <c r="E36" s="39">
        <f t="shared" si="9"/>
        <v>-110140.79399999999</v>
      </c>
      <c r="F36" s="61">
        <f t="shared" si="9"/>
        <v>0</v>
      </c>
      <c r="G36" s="39">
        <f t="shared" si="9"/>
        <v>0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1797976</v>
      </c>
      <c r="E39" s="38">
        <f t="shared" si="11"/>
        <v>4354697.8800000008</v>
      </c>
      <c r="F39" s="64">
        <f>'TIE-OUT'!P39+RECLASS!R39</f>
        <v>0</v>
      </c>
      <c r="G39" s="68">
        <f>'TIE-OUT'!Q39+RECLASS!S39</f>
        <v>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'TIE-OUT'!P40+RECLASS!R40</f>
        <v>0</v>
      </c>
      <c r="G40" s="38">
        <f>'TIE-OUT'!Q40+RECLASS!S40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'TIE-OUT'!Q41+RECLASS!S41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1720430</v>
      </c>
      <c r="E43" s="39">
        <f t="shared" si="14"/>
        <v>4166322.1100000008</v>
      </c>
      <c r="F43" s="61">
        <f t="shared" si="14"/>
        <v>0</v>
      </c>
      <c r="G43" s="39">
        <f t="shared" si="14"/>
        <v>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'TIE-OUT'!Q45+RECLASS!S45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'TIE-OUT'!Q47+RECLASS!S47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-164713</v>
      </c>
      <c r="E49" s="38">
        <f>SUM(G49,I49,K49,M49,O49,Q49,S49,U49,W49,Y49,AA49,AC49,AE49)</f>
        <v>-398934.886</v>
      </c>
      <c r="F49" s="60">
        <f>'TIE-OUT'!P49+RECLASS!R49</f>
        <v>0</v>
      </c>
      <c r="G49" s="38">
        <f>'TIE-OUT'!Q49+RECLASS!S49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-336956</v>
      </c>
      <c r="E51" s="38">
        <f>SUM(G51,I51,K51,M51,O51,Q51,S51,U51,W51,Y51,AA51,AC51,AE51)</f>
        <v>-816107.43199999991</v>
      </c>
      <c r="F51" s="60">
        <f>'TIE-OUT'!P51+RECLASS!R51</f>
        <v>0</v>
      </c>
      <c r="G51" s="38">
        <f>'TIE-OUT'!Q51+RECLASS!S51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-20464952</v>
      </c>
      <c r="E54" s="38">
        <f>SUM(G54,I54,K54,M54,O54,Q54,S54,U54,W54,Y54,AA54,AC54,AE54)</f>
        <v>-529893.05000000005</v>
      </c>
      <c r="F54" s="64">
        <f>'TIE-OUT'!P54+RECLASS!R54</f>
        <v>0</v>
      </c>
      <c r="G54" s="68">
        <f>'TIE-OUT'!Q54+RECLASS!S54</f>
        <v>0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-2314183.86</v>
      </c>
      <c r="F55" s="81">
        <f>'TIE-OUT'!P55+RECLASS!R55</f>
        <v>0</v>
      </c>
      <c r="G55" s="82">
        <f>'TIE-OUT'!Q55+RECLASS!S55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-20464952</v>
      </c>
      <c r="E56" s="39">
        <f t="shared" si="16"/>
        <v>-2844076.91</v>
      </c>
      <c r="F56" s="61">
        <f t="shared" si="16"/>
        <v>0</v>
      </c>
      <c r="G56" s="39">
        <f t="shared" si="16"/>
        <v>0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'TIE-OUT'!Q59+RECLASS!S59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'TIE-OUT'!Q60+RECLASS!S60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'TIE-OUT'!Q64+RECLASS!S64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'TIE-OUT'!Q65+RECLASS!S65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'TIE-OUT'!P70+RECLASS!R70</f>
        <v>0</v>
      </c>
      <c r="G70" s="68">
        <f>'TIE-OUT'!Q70+RECLASS!S70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'TIE-OUT'!P71+RECLASS!R71</f>
        <v>0</v>
      </c>
      <c r="G71" s="82">
        <f>'TIE-OUT'!Q71+RECLASS!S71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'TIE-OUT'!Q73+RECLASS!S73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6295309.4400000004</v>
      </c>
      <c r="F74" s="60">
        <f>'TIE-OUT'!P74+RECLASS!R74</f>
        <v>0</v>
      </c>
      <c r="G74" s="60">
        <f>'TIE-OUT'!Q74+RECLASS!S74</f>
        <v>6011074.54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'TIE-OUT'!P75+RECLASS!R75</f>
        <v>0</v>
      </c>
      <c r="G75" s="60">
        <f>'TIE-OUT'!Q75+RECLASS!S75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-64399.880000000005</v>
      </c>
      <c r="F76" s="60">
        <f>'TIE-OUT'!P76+RECLASS!R76</f>
        <v>0</v>
      </c>
      <c r="G76" s="60">
        <f>'TIE-OUT'!Q76+RECLASS!S76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'TIE-OUT'!Q77+RECLASS!S77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'TIE-OUT'!Q78+RECLASS!S78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'TIE-OUT'!Q79+RECLASS!S79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'TIE-OUT'!Q80+RECLASS!S80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'TIE-OUT'!P81+RECLASS!R81</f>
        <v>0</v>
      </c>
      <c r="G81" s="60">
        <f>'TIE-OUT'!Q81+RECLASS!S81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11327724.879999982</v>
      </c>
      <c r="F82" s="91">
        <f>F16+F24+F29+F36+F43+F45+F47+F49</f>
        <v>0</v>
      </c>
      <c r="G82" s="92">
        <f>SUM(G72:G81)+G16+G24+G29+G36+G43+G45+G47+G49+G51+G56+G61+G66</f>
        <v>17113673.420000002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76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3819633</v>
      </c>
      <c r="E11" s="38">
        <f>SUM(G11,I11,K11,M11,O11,Q11,S11,U11,W11,Y11,AA11,AC11,AE11)</f>
        <v>8930257.1799999997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459648</v>
      </c>
      <c r="E13" s="38">
        <f t="shared" si="0"/>
        <v>1178559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4279281</v>
      </c>
      <c r="E16" s="39">
        <f t="shared" si="1"/>
        <v>10143064.77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-5070845</v>
      </c>
      <c r="E19" s="38">
        <f t="shared" si="3"/>
        <v>-11126900.789999999</v>
      </c>
      <c r="F19" s="64">
        <f>'TIE-OUT'!R19+RECLASS!P19</f>
        <v>0</v>
      </c>
      <c r="G19" s="68">
        <f>'TIE-OUT'!S19+RECLASS!Q19</f>
        <v>0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-241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-5066040</v>
      </c>
      <c r="E24" s="39">
        <f t="shared" si="4"/>
        <v>-11304296.649999999</v>
      </c>
      <c r="F24" s="61">
        <f t="shared" si="4"/>
        <v>0</v>
      </c>
      <c r="G24" s="39">
        <f t="shared" si="4"/>
        <v>-188616.18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763413</v>
      </c>
      <c r="E49" s="38">
        <f>SUM(G49,I49,K49,M49,O49,Q49,S49,U49,W49,Y49,AA49,AC49,AE49)</f>
        <v>1786386.42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-11546229</v>
      </c>
      <c r="E54" s="38">
        <f>SUM(G54,I54,K54,M54,O54,Q54,S54,U54,W54,Y54,AA54,AC54,AE54)</f>
        <v>-240657.88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-748525.54</v>
      </c>
      <c r="F55" s="81">
        <f>'TIE-OUT'!R55+RECLASS!P55</f>
        <v>0</v>
      </c>
      <c r="G55" s="82">
        <f>'TIE-OUT'!S55+RECLASS!Q55</f>
        <v>0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-11546229</v>
      </c>
      <c r="E56" s="39">
        <f t="shared" si="15"/>
        <v>-989183.42</v>
      </c>
      <c r="F56" s="61">
        <f t="shared" si="15"/>
        <v>0</v>
      </c>
      <c r="G56" s="39">
        <f t="shared" si="15"/>
        <v>0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311714</v>
      </c>
      <c r="F81" s="60">
        <f>'TIE-OUT'!R81+RECLASS!P81</f>
        <v>0</v>
      </c>
      <c r="G81" s="60">
        <f>'TIE-OUT'!S81+RECLASS!Q81</f>
        <v>311714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46272.220000000321</v>
      </c>
      <c r="F82" s="91">
        <f>F16+F24+F29+F36+F43+F45+F47+F49</f>
        <v>0</v>
      </c>
      <c r="G82" s="92">
        <f>SUM(G72:G81)+G16+G24+G29+G36+G43+G45+G47+G49+G51+G56+G61+G66</f>
        <v>206632.77000000002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-324309.77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-324577.77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-278305.5499999997</v>
      </c>
      <c r="F91" s="155">
        <f t="shared" si="23"/>
        <v>0</v>
      </c>
      <c r="G91" s="155">
        <f t="shared" si="23"/>
        <v>-117945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14330584</v>
      </c>
      <c r="E11" s="38">
        <f>SUM(G11,I11,K11,M11,O11,Q11,S11,U11,W11,Y11,AA11,AC11,AE11)</f>
        <v>21731792.859999999</v>
      </c>
      <c r="F11" s="60">
        <f>'TIE-OUT'!AF11+RECLASS!AF11</f>
        <v>0</v>
      </c>
      <c r="G11" s="38">
        <f>'TIE-OUT'!AG11+RECLASS!AG11</f>
        <v>0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12274443</v>
      </c>
      <c r="E13" s="38">
        <f t="shared" si="0"/>
        <v>35784381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14525301.859999999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26605027</v>
      </c>
      <c r="E16" s="39">
        <f t="shared" si="1"/>
        <v>72041475.719999999</v>
      </c>
      <c r="F16" s="61">
        <f t="shared" si="1"/>
        <v>0</v>
      </c>
      <c r="G16" s="39">
        <f t="shared" si="1"/>
        <v>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-8012439</v>
      </c>
      <c r="E19" s="38">
        <f t="shared" si="3"/>
        <v>-24361711.219999999</v>
      </c>
      <c r="F19" s="64">
        <f>'TIE-OUT'!AF19+RECLASS!AF19</f>
        <v>0</v>
      </c>
      <c r="G19" s="68">
        <f>'TIE-OUT'!AG19+RECLASS!AG19</f>
        <v>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-13763085</v>
      </c>
      <c r="E21" s="38">
        <f t="shared" si="3"/>
        <v>-37529180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-21775524</v>
      </c>
      <c r="E24" s="39">
        <f t="shared" si="4"/>
        <v>-50000150.719999999</v>
      </c>
      <c r="F24" s="61">
        <f t="shared" si="4"/>
        <v>0</v>
      </c>
      <c r="G24" s="39">
        <f t="shared" si="4"/>
        <v>11890740.5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-4976934</v>
      </c>
      <c r="E40" s="38">
        <f t="shared" si="11"/>
        <v>-12593779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-4976934</v>
      </c>
      <c r="E42" s="39">
        <f t="shared" si="12"/>
        <v>-12593779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-4736071</v>
      </c>
      <c r="E43" s="39">
        <f t="shared" si="14"/>
        <v>-11947061.84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-93432</v>
      </c>
      <c r="E49" s="38">
        <f>SUM(G49,I49,K49,M49,O49,Q49,S49,U49,W49,Y49,AA49,AC49,AE49)</f>
        <v>-245632.72800000012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-22435426</v>
      </c>
      <c r="E54" s="38">
        <f>SUM(G54,I54,K54,M54,O54,Q54,S54,U54,W54,Y54,AA54,AC54,AE54)</f>
        <v>-792569.74</v>
      </c>
      <c r="F54" s="64">
        <f>'TIE-OUT'!AF54+RECLASS!AF54</f>
        <v>0</v>
      </c>
      <c r="G54" s="68">
        <f>'TIE-OUT'!AG54+RECLASS!AG54</f>
        <v>0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-10468191.139999999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-22435426</v>
      </c>
      <c r="E56" s="39">
        <f t="shared" si="16"/>
        <v>-11260760.879999999</v>
      </c>
      <c r="F56" s="61">
        <f t="shared" si="16"/>
        <v>0</v>
      </c>
      <c r="G56" s="39">
        <f t="shared" si="16"/>
        <v>0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-3400931.9179999977</v>
      </c>
      <c r="F82" s="91">
        <f>F16+F24+F29+F36+F43+F45+F47+F49</f>
        <v>0</v>
      </c>
      <c r="G82" s="92">
        <f>SUM(G72:G81)+G16+G24+G29+G36+G43+G45+G47+G49+G51+G56+G61+G66</f>
        <v>9901939.0299999993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38" activePane="bottomRight" state="frozen"/>
      <selection activeCell="J9" sqref="J9"/>
      <selection pane="topRight" activeCell="J9" sqref="J9"/>
      <selection pane="bottomLeft" activeCell="J9" sqref="J9"/>
      <selection pane="bottomRight" activeCell="I41" sqref="I4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-25497116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-25497116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433044</v>
      </c>
      <c r="F41" s="81">
        <f>'TIE-OUT'!Z41+RECLASS!X41</f>
        <v>0</v>
      </c>
      <c r="G41" s="82">
        <f>'TIE-OUT'!AA41+RECLASS!Y41</f>
        <v>0</v>
      </c>
      <c r="H41" s="60"/>
      <c r="I41" s="38">
        <f>561186+433044</f>
        <v>994230</v>
      </c>
      <c r="J41" s="60"/>
      <c r="K41" s="213">
        <v>-561186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433044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994230</v>
      </c>
      <c r="J42" s="61">
        <f t="shared" si="8"/>
        <v>0</v>
      </c>
      <c r="K42" s="214">
        <f t="shared" si="8"/>
        <v>-561186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433044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994230</v>
      </c>
      <c r="J43" s="61">
        <f t="shared" si="9"/>
        <v>0</v>
      </c>
      <c r="K43" s="214">
        <f t="shared" si="9"/>
        <v>-561186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117015719</v>
      </c>
      <c r="F70" s="64">
        <f>'TIE-OUT'!Z70+RECLASS!X70</f>
        <v>0</v>
      </c>
      <c r="G70" s="68">
        <f>'TIE-OUT'!AA70+RECLASS!Y70</f>
        <v>98380002</v>
      </c>
      <c r="H70" s="60"/>
      <c r="I70" s="38">
        <v>19545008</v>
      </c>
      <c r="J70" s="60"/>
      <c r="K70" s="215">
        <v>-909291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25680478.950000003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19545008</v>
      </c>
      <c r="J72" s="61">
        <f t="shared" si="13"/>
        <v>0</v>
      </c>
      <c r="K72" s="214">
        <f t="shared" si="13"/>
        <v>-909291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2564016</v>
      </c>
      <c r="F74" s="60">
        <f>'TIE-OUT'!Z74+RECLASS!X74</f>
        <v>0</v>
      </c>
      <c r="G74" s="60">
        <f>'TIE-OUT'!AA74+RECLASS!Y74</f>
        <v>2564016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2765806.950000003</v>
      </c>
      <c r="F82" s="91">
        <f>F16+F24+F29+F36+F43+F45+F47+F49</f>
        <v>0</v>
      </c>
      <c r="G82" s="92">
        <f>SUM(G72:G81)+G16+G24+G29+G36+G43+G45+G47+G49+G51+G56+G61+G66</f>
        <v>8697328.950000003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25680478.950000003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J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47849017</v>
      </c>
      <c r="E11" s="38">
        <f>SUM(G11,I11,K11,M11,O11,Q11,S11,U11,W11,Y11,AA11,AC11,AE11)</f>
        <v>119208706.63000001</v>
      </c>
      <c r="F11" s="60">
        <f>'TIE-OUT'!AB11+RECLASS!Z11</f>
        <v>0</v>
      </c>
      <c r="G11" s="38">
        <f>'TIE-OUT'!AC11+RECLASS!AA11</f>
        <v>0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252282</v>
      </c>
      <c r="E13" s="38">
        <f t="shared" si="0"/>
        <v>757640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-64775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48101299</v>
      </c>
      <c r="E16" s="39">
        <f t="shared" si="1"/>
        <v>131160668.89000002</v>
      </c>
      <c r="F16" s="61">
        <f t="shared" si="1"/>
        <v>0</v>
      </c>
      <c r="G16" s="39">
        <f t="shared" si="1"/>
        <v>11259097.26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-47028660</v>
      </c>
      <c r="E19" s="38">
        <f t="shared" si="2"/>
        <v>-118595585.31999999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-712812</v>
      </c>
      <c r="E21" s="38">
        <f t="shared" si="2"/>
        <v>-2102014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71548</v>
      </c>
      <c r="E23" s="38">
        <f t="shared" si="2"/>
        <v>216074.96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-47669924</v>
      </c>
      <c r="E24" s="39">
        <f t="shared" si="3"/>
        <v>-136432137.32999998</v>
      </c>
      <c r="F24" s="61">
        <f t="shared" si="3"/>
        <v>0</v>
      </c>
      <c r="G24" s="39">
        <f t="shared" si="3"/>
        <v>-15950612.970000001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829820</v>
      </c>
      <c r="E32" s="38">
        <f t="shared" si="5"/>
        <v>2506056.4000000004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829820</v>
      </c>
      <c r="E36" s="39">
        <f t="shared" si="6"/>
        <v>2506056.4000000004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-1261195</v>
      </c>
      <c r="E49" s="38">
        <f>SUM(G49,I49,K49,M49,O49,Q49,S49,U49,W49,Y49,AA49,AC49,AE49)</f>
        <v>-3808808.9000000004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-71548</v>
      </c>
      <c r="E51" s="38">
        <f>SUM(G51,I51,K51,M51,O51,Q51,S51,U51,W51,Y51,AA51,AC51,AE51)</f>
        <v>-216074.96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115486.02</v>
      </c>
      <c r="F70" s="64">
        <f>'TIE-OUT'!AB70+RECLASS!Z70</f>
        <v>0</v>
      </c>
      <c r="G70" s="68">
        <f>'TIE-OUT'!AC70+RECLASS!AA70</f>
        <v>115486.02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-1556139.52</v>
      </c>
      <c r="F71" s="81">
        <f>'TIE-OUT'!AB71+RECLASS!Z71</f>
        <v>0</v>
      </c>
      <c r="G71" s="82">
        <f>'TIE-OUT'!AC71+RECLASS!AA71</f>
        <v>-1556139.52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3133469.86</v>
      </c>
      <c r="F74" s="60">
        <f>'TIE-OUT'!AB74+RECLASS!Z74</f>
        <v>0</v>
      </c>
      <c r="G74" s="60">
        <f>'TIE-OUT'!AC74+RECLASS!AA74</f>
        <v>7670330.29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-5198577.9999999749</v>
      </c>
      <c r="F82" s="91">
        <f>F16+F24+F29+F36+F43+F45+F47+F49</f>
        <v>0</v>
      </c>
      <c r="G82" s="92">
        <f>SUM(G72:G81)+G16+G24+G29+G36+G43+G45+G47+G49+G51+G56+G61+G66</f>
        <v>1538161.08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-5032578.4899999751</v>
      </c>
      <c r="F91" s="155">
        <f t="shared" si="19"/>
        <v>0</v>
      </c>
      <c r="G91" s="155">
        <f t="shared" si="19"/>
        <v>1673050.59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115914309</v>
      </c>
      <c r="G11" s="38">
        <f>CE_GL!E11</f>
        <v>304782688.54000002</v>
      </c>
      <c r="H11" s="60">
        <f>F11-D11</f>
        <v>-593779</v>
      </c>
      <c r="I11" s="38">
        <f>G11-E11</f>
        <v>-3756123.4599999785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3064902.5199999996</v>
      </c>
      <c r="H12" s="60">
        <f>F12-D12</f>
        <v>0</v>
      </c>
      <c r="I12" s="38">
        <f>G12-E12</f>
        <v>3064902.5199999996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5275675</v>
      </c>
      <c r="G13" s="38">
        <f>CE_GL!E13</f>
        <v>14120034</v>
      </c>
      <c r="H13" s="60">
        <f t="shared" ref="H13:I15" si="0">F13-D13</f>
        <v>-56270935</v>
      </c>
      <c r="I13" s="38">
        <f t="shared" si="0"/>
        <v>-152651027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2835640.51</v>
      </c>
      <c r="H15" s="60">
        <f t="shared" si="0"/>
        <v>0</v>
      </c>
      <c r="I15" s="38">
        <f t="shared" si="0"/>
        <v>2835640.51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121189984</v>
      </c>
      <c r="G16" s="39">
        <f t="shared" si="1"/>
        <v>324803265.56999999</v>
      </c>
      <c r="H16" s="61">
        <f t="shared" si="1"/>
        <v>-56864714</v>
      </c>
      <c r="I16" s="39">
        <f t="shared" si="1"/>
        <v>-150506607.42999998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-129460410</v>
      </c>
      <c r="G19" s="38">
        <f>CE_GL!E19</f>
        <v>-339222137.13999999</v>
      </c>
      <c r="H19" s="60">
        <f>F19-D19</f>
        <v>-906324</v>
      </c>
      <c r="I19" s="38">
        <f>G19-E19</f>
        <v>-3016478.1399999857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-12154.06</v>
      </c>
      <c r="H20" s="60">
        <f>F20-D20</f>
        <v>0</v>
      </c>
      <c r="I20" s="38">
        <f>G20-E20</f>
        <v>-12154.06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-3152509</v>
      </c>
      <c r="G21" s="38">
        <f>CE_GL!E21</f>
        <v>-8512491</v>
      </c>
      <c r="H21" s="60">
        <f t="shared" ref="H21:I23" si="2">F21-D21</f>
        <v>46765621</v>
      </c>
      <c r="I21" s="38">
        <f t="shared" si="2"/>
        <v>128411851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785293</v>
      </c>
      <c r="G23" s="38">
        <f>CE_GL!E23</f>
        <v>2051970.6089999999</v>
      </c>
      <c r="H23" s="60">
        <f t="shared" si="2"/>
        <v>495666</v>
      </c>
      <c r="I23" s="38">
        <f t="shared" si="2"/>
        <v>1272491.6089999999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-131827626</v>
      </c>
      <c r="G24" s="39">
        <f t="shared" si="3"/>
        <v>-345694811.59099996</v>
      </c>
      <c r="H24" s="61">
        <f t="shared" si="3"/>
        <v>46354963</v>
      </c>
      <c r="I24" s="39">
        <f t="shared" si="3"/>
        <v>126655710.40900001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701344</v>
      </c>
      <c r="G27" s="38">
        <f>CE_GL!E27</f>
        <v>1914308.6099999999</v>
      </c>
      <c r="H27" s="60">
        <f>F27-D27</f>
        <v>701344</v>
      </c>
      <c r="I27" s="38">
        <f>G27-E27</f>
        <v>1914308.6099999999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701344</v>
      </c>
      <c r="G29" s="70">
        <f t="shared" si="4"/>
        <v>1914308.6099999999</v>
      </c>
      <c r="H29" s="69">
        <f t="shared" si="4"/>
        <v>701344</v>
      </c>
      <c r="I29" s="70">
        <f t="shared" si="4"/>
        <v>1914308.6099999999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-145316</v>
      </c>
      <c r="G32" s="38">
        <f>CE_GL!E32</f>
        <v>-379710.70799999987</v>
      </c>
      <c r="H32" s="60">
        <f>F32-D32</f>
        <v>-185595</v>
      </c>
      <c r="I32" s="38">
        <f>G32-E32</f>
        <v>-494427.70799999987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-22553</v>
      </c>
      <c r="G33" s="38">
        <f>CE_GL!E33</f>
        <v>-195.82</v>
      </c>
      <c r="H33" s="60">
        <f t="shared" ref="H33:I35" si="5">F33-D33</f>
        <v>-22553</v>
      </c>
      <c r="I33" s="38">
        <f t="shared" si="5"/>
        <v>-195.82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690</v>
      </c>
      <c r="G34" s="38">
        <f>CE_GL!E34</f>
        <v>0</v>
      </c>
      <c r="H34" s="60">
        <f t="shared" si="5"/>
        <v>690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0</v>
      </c>
      <c r="G35" s="38">
        <f>CE_GL!E35</f>
        <v>0</v>
      </c>
      <c r="H35" s="60">
        <f t="shared" si="5"/>
        <v>-293838</v>
      </c>
      <c r="I35" s="38">
        <f t="shared" si="5"/>
        <v>-753822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-167179</v>
      </c>
      <c r="G36" s="39">
        <f t="shared" si="6"/>
        <v>-379906.52799999987</v>
      </c>
      <c r="H36" s="61">
        <f t="shared" si="6"/>
        <v>-501296</v>
      </c>
      <c r="I36" s="39">
        <f t="shared" si="6"/>
        <v>-1248445.5279999999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612458</v>
      </c>
      <c r="G39" s="38">
        <f>CE_GL!E39</f>
        <v>1600352.7599999998</v>
      </c>
      <c r="H39" s="60">
        <f t="shared" ref="H39:I41" si="7">F39-D39</f>
        <v>604603</v>
      </c>
      <c r="I39" s="38">
        <f t="shared" si="7"/>
        <v>1579929.7599999998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-386875</v>
      </c>
      <c r="G40" s="38">
        <f>CE_GL!E40</f>
        <v>-841937.26</v>
      </c>
      <c r="H40" s="60">
        <f t="shared" si="7"/>
        <v>-308926</v>
      </c>
      <c r="I40" s="38">
        <f t="shared" si="7"/>
        <v>-628067.26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-386875</v>
      </c>
      <c r="G42" s="70">
        <f t="shared" si="8"/>
        <v>-841937.26</v>
      </c>
      <c r="H42" s="69">
        <f t="shared" si="8"/>
        <v>-308926</v>
      </c>
      <c r="I42" s="70">
        <f t="shared" si="8"/>
        <v>-628067.26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225583</v>
      </c>
      <c r="G43" s="39">
        <f t="shared" si="9"/>
        <v>758415.49999999977</v>
      </c>
      <c r="H43" s="61">
        <f t="shared" si="9"/>
        <v>295677</v>
      </c>
      <c r="I43" s="39">
        <f t="shared" si="9"/>
        <v>951862.49999999977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9877894</v>
      </c>
      <c r="G49" s="38">
        <f>CE_GL!E49</f>
        <v>25810937.022</v>
      </c>
      <c r="H49" s="60">
        <f>F49-D49</f>
        <v>10014026</v>
      </c>
      <c r="I49" s="38">
        <f>G49-E49</f>
        <v>26159679.979600001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-785293</v>
      </c>
      <c r="G51" s="38">
        <f>CE_GL!E51</f>
        <v>-2051970.6089999999</v>
      </c>
      <c r="H51" s="60">
        <f>F51-D51</f>
        <v>-495666</v>
      </c>
      <c r="I51" s="38">
        <f>G51-E51</f>
        <v>-1272491.6089999999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-78713620</v>
      </c>
      <c r="G54" s="38">
        <f>CE_GL!E54</f>
        <v>-508166.51</v>
      </c>
      <c r="H54" s="60">
        <f>F54-D54</f>
        <v>-78713620</v>
      </c>
      <c r="I54" s="38">
        <f>G54-E54</f>
        <v>111132.48999999999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-2141051.4</v>
      </c>
      <c r="H55" s="60">
        <f>F55-D55</f>
        <v>0</v>
      </c>
      <c r="I55" s="38">
        <f>G55-E55</f>
        <v>-572936.5299999998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-78713620</v>
      </c>
      <c r="G56" s="39">
        <f t="shared" si="10"/>
        <v>-2649217.91</v>
      </c>
      <c r="H56" s="61">
        <f t="shared" si="10"/>
        <v>-78713620</v>
      </c>
      <c r="I56" s="39">
        <f t="shared" si="10"/>
        <v>-461804.0399999998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-2688636.37</v>
      </c>
      <c r="H74" s="60">
        <f t="shared" ref="H74:I79" si="14">F74-D74</f>
        <v>0</v>
      </c>
      <c r="I74" s="38">
        <f t="shared" si="14"/>
        <v>-472726.37000000011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-10031.790000000001</v>
      </c>
      <c r="H76" s="60">
        <f t="shared" si="14"/>
        <v>0</v>
      </c>
      <c r="I76" s="38">
        <f t="shared" si="14"/>
        <v>-10031.790000000001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1148924.81400003</v>
      </c>
      <c r="H82" s="71">
        <f>H16+H24+H29+H36+H43+H45+H47+H49</f>
        <v>0</v>
      </c>
      <c r="I82" s="72">
        <f>SUM(I72:I81)+I16+I24+I29+I36+I43+I45+I47+I49+I51+I56+I61+I66</f>
        <v>1411762.7332000327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15995973.51</v>
      </c>
      <c r="H11" s="60">
        <f>F11-D11</f>
        <v>1611</v>
      </c>
      <c r="I11" s="38">
        <f>G11-E11</f>
        <v>1388754.5099999998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304676</v>
      </c>
      <c r="G13" s="38">
        <f>SITHE_GL!E13</f>
        <v>873663</v>
      </c>
      <c r="H13" s="60">
        <f t="shared" ref="H13:I15" si="0">F13-D13</f>
        <v>-4928500</v>
      </c>
      <c r="I13" s="38">
        <f t="shared" si="0"/>
        <v>-14002504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6040864</v>
      </c>
      <c r="G16" s="39">
        <f t="shared" si="1"/>
        <v>16179343.699999999</v>
      </c>
      <c r="H16" s="61">
        <f t="shared" si="1"/>
        <v>-4926889</v>
      </c>
      <c r="I16" s="39">
        <f t="shared" si="1"/>
        <v>-13304042.300000001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-2772444.27</v>
      </c>
      <c r="H19" s="60">
        <f>F19-D19</f>
        <v>247713</v>
      </c>
      <c r="I19" s="38">
        <f>G19-E19</f>
        <v>419437.73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-2220571</v>
      </c>
      <c r="G21" s="38">
        <f>SITHE_GL!E21</f>
        <v>-5918480</v>
      </c>
      <c r="H21" s="60">
        <f t="shared" ref="H21:I23" si="2">F21-D21</f>
        <v>7679754</v>
      </c>
      <c r="I21" s="38">
        <f t="shared" si="2"/>
        <v>20740170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-3121396</v>
      </c>
      <c r="G24" s="39">
        <f t="shared" si="3"/>
        <v>-8757407.9600000009</v>
      </c>
      <c r="H24" s="61">
        <f t="shared" si="3"/>
        <v>7923963</v>
      </c>
      <c r="I24" s="39">
        <f t="shared" si="3"/>
        <v>21083441.039999999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-2919468</v>
      </c>
      <c r="G49" s="38">
        <f>SITHE_GL!E49</f>
        <v>-7430046.0599999996</v>
      </c>
      <c r="H49" s="60">
        <f>F49-D49</f>
        <v>-2874645</v>
      </c>
      <c r="I49" s="38">
        <f>G49-E49</f>
        <v>-7315969.9484930402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11440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18810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-550</v>
      </c>
      <c r="H74" s="60">
        <f t="shared" ref="H74:I79" si="14">F74-D74</f>
        <v>0</v>
      </c>
      <c r="I74" s="38">
        <f t="shared" si="14"/>
        <v>140027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-153274</v>
      </c>
      <c r="H81" s="60">
        <f>F81-D81</f>
        <v>0</v>
      </c>
      <c r="I81" s="38">
        <f>G81-E81</f>
        <v>-483458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-246303.33000000101</v>
      </c>
      <c r="H82" s="71">
        <f>H16+H24+H29+H36+H43+H45+H47+H49</f>
        <v>0</v>
      </c>
      <c r="I82" s="72">
        <f>SUM(I72:I81)+I16+I24+I29+I36+I43+I45+I47+I49+I51+I56+I61+I66</f>
        <v>-221077.78489304241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0" sqref="G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15592377</v>
      </c>
      <c r="G11" s="38">
        <f>ARUBA_GL!E11</f>
        <v>41484047.440000005</v>
      </c>
      <c r="H11" s="60">
        <f>F11-D11</f>
        <v>14056</v>
      </c>
      <c r="I11" s="38">
        <f>G11-E11</f>
        <v>-256947.55999999493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691622</v>
      </c>
      <c r="G13" s="38">
        <f>ARUBA_GL!E13</f>
        <v>1971907</v>
      </c>
      <c r="H13" s="60">
        <f t="shared" ref="H13:I15" si="0">F13-D13</f>
        <v>-24902933</v>
      </c>
      <c r="I13" s="38">
        <f t="shared" si="0"/>
        <v>-69562826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16283999</v>
      </c>
      <c r="G16" s="39">
        <f t="shared" si="1"/>
        <v>47229387.400000006</v>
      </c>
      <c r="H16" s="61">
        <f t="shared" si="1"/>
        <v>-24888877</v>
      </c>
      <c r="I16" s="39">
        <f t="shared" si="1"/>
        <v>-68962627.599999994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-25985875.800000001</v>
      </c>
      <c r="H19" s="60">
        <f>F19-D19</f>
        <v>-21</v>
      </c>
      <c r="I19" s="38">
        <f>G19-E19</f>
        <v>-168570.80000000075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-55556</v>
      </c>
      <c r="G21" s="38">
        <f>ARUBA_GL!E21</f>
        <v>-155961</v>
      </c>
      <c r="H21" s="60">
        <f t="shared" ref="H21:I23" si="2">F21-D21</f>
        <v>31487425</v>
      </c>
      <c r="I21" s="38">
        <f t="shared" si="2"/>
        <v>86532421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0</v>
      </c>
      <c r="G23" s="38">
        <f>ARUBA_GL!E23</f>
        <v>0</v>
      </c>
      <c r="H23" s="60">
        <f t="shared" si="2"/>
        <v>-277862</v>
      </c>
      <c r="I23" s="38">
        <f t="shared" si="2"/>
        <v>-758375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-9961544</v>
      </c>
      <c r="G24" s="39">
        <f t="shared" si="3"/>
        <v>-26477562.800000001</v>
      </c>
      <c r="H24" s="61">
        <f t="shared" si="3"/>
        <v>31209542</v>
      </c>
      <c r="I24" s="39">
        <f t="shared" si="3"/>
        <v>85269749.200000003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-6322455</v>
      </c>
      <c r="G49" s="38">
        <f>ARUBA_GL!E49</f>
        <v>-16485801.4125</v>
      </c>
      <c r="H49" s="60">
        <f>F49-D49</f>
        <v>-6320665</v>
      </c>
      <c r="I49" s="38">
        <f>G49-E49</f>
        <v>-16481133.987499999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0</v>
      </c>
      <c r="G51" s="38">
        <f>ARUBA_GL!E51</f>
        <v>0</v>
      </c>
      <c r="H51" s="60">
        <f>F51-D51</f>
        <v>277862</v>
      </c>
      <c r="I51" s="38">
        <f>G51-E51</f>
        <v>758375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-3576676.54</v>
      </c>
      <c r="H55" s="60">
        <f>F55-D55</f>
        <v>0</v>
      </c>
      <c r="I55" s="38">
        <f>G55-E55</f>
        <v>-660389.54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-3705754.47</v>
      </c>
      <c r="H56" s="61">
        <f t="shared" si="10"/>
        <v>-7488944</v>
      </c>
      <c r="I56" s="39">
        <f t="shared" si="10"/>
        <v>-655389.47000000009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9155983</v>
      </c>
      <c r="H70" s="60">
        <f>F70-D70</f>
        <v>0</v>
      </c>
      <c r="I70" s="38">
        <f>G70-E70</f>
        <v>11104037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642664.06000000052</v>
      </c>
      <c r="H72" s="69">
        <f t="shared" si="13"/>
        <v>0</v>
      </c>
      <c r="I72" s="70">
        <f t="shared" si="13"/>
        <v>13333620.060000001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185518.68</v>
      </c>
      <c r="H74" s="60">
        <f t="shared" ref="H74:I79" si="14">F74-D74</f>
        <v>0</v>
      </c>
      <c r="I74" s="38">
        <f t="shared" si="14"/>
        <v>-11572805.32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1388451.4575000075</v>
      </c>
      <c r="H82" s="71">
        <f>H16+H24+H29+H36+H43+H45+H47+H49</f>
        <v>0</v>
      </c>
      <c r="I82" s="72">
        <f>SUM(I72:I81)+I16+I24+I29+I36+I43+I45+I47+I49+I51+I56+I61+I66</f>
        <v>1676538.8825000045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200010649</v>
      </c>
      <c r="G11" s="38">
        <f>'EAST-EGM-GL'!E11</f>
        <v>544325654.31999993</v>
      </c>
      <c r="H11" s="60">
        <f>F11-D11</f>
        <v>3645123</v>
      </c>
      <c r="I11" s="38">
        <f>G11-E11</f>
        <v>11261288.319999933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3306029.27</v>
      </c>
      <c r="H12" s="60">
        <f>F12-D12</f>
        <v>0</v>
      </c>
      <c r="I12" s="38">
        <f>G12-E12</f>
        <v>3306029.27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14550152</v>
      </c>
      <c r="G13" s="38">
        <f>'EAST-EGM-GL'!E13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214560801</v>
      </c>
      <c r="G16" s="39">
        <f t="shared" si="1"/>
        <v>591367902.91999996</v>
      </c>
      <c r="H16" s="61">
        <f t="shared" si="1"/>
        <v>-77833201</v>
      </c>
      <c r="I16" s="39">
        <f t="shared" si="1"/>
        <v>-210990289.08000004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-199561466</v>
      </c>
      <c r="G19" s="38">
        <f>'EAST-EGM-GL'!E19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-5577675.8399999999</v>
      </c>
      <c r="H20" s="60">
        <f>F20-D20</f>
        <v>0</v>
      </c>
      <c r="I20" s="38">
        <f>G20-E20</f>
        <v>-5577675.8399999999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-14312104</v>
      </c>
      <c r="G21" s="38">
        <f>'EAST-EGM-GL'!E21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1368078</v>
      </c>
      <c r="G23" s="38">
        <f>'EAST-EGM-GL'!E23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-575767773.898</v>
      </c>
      <c r="H24" s="61">
        <f t="shared" si="3"/>
        <v>78124665</v>
      </c>
      <c r="I24" s="39">
        <f t="shared" si="3"/>
        <v>217994669.102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-491982</v>
      </c>
      <c r="G28" s="38">
        <f>'EAST-EGM-GL'!E28</f>
        <v>-1308762.77</v>
      </c>
      <c r="H28" s="60">
        <f>F28-D28</f>
        <v>-491982</v>
      </c>
      <c r="I28" s="38">
        <f>G28-E28</f>
        <v>-1308762.77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289519</v>
      </c>
      <c r="G29" s="70">
        <f t="shared" si="4"/>
        <v>816949.25</v>
      </c>
      <c r="H29" s="69">
        <f t="shared" si="4"/>
        <v>289519</v>
      </c>
      <c r="I29" s="70">
        <f t="shared" si="4"/>
        <v>816949.25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-486645</v>
      </c>
      <c r="G32" s="38">
        <f>'EAST-EGM-GL'!E32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-397497</v>
      </c>
      <c r="G33" s="38">
        <f>'EAST-EGM-GL'!E33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162357</v>
      </c>
      <c r="G34" s="38">
        <f>'EAST-EGM-GL'!E34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39</v>
      </c>
      <c r="G39" s="38">
        <f>'EAST-EGM-GL'!E39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-1643354</v>
      </c>
      <c r="G40" s="38">
        <f>'EAST-EGM-GL'!E40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20272</v>
      </c>
      <c r="G49" s="38">
        <f>'EAST-EGM-GL'!E49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-1368078</v>
      </c>
      <c r="G51" s="38">
        <f>'EAST-EGM-GL'!E51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-134719668</v>
      </c>
      <c r="G54" s="38">
        <f>'EAST-EGM-GL'!E54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-1736161</v>
      </c>
      <c r="F55" s="60">
        <f>'EAST-EGM-GL'!D55</f>
        <v>0</v>
      </c>
      <c r="G55" s="38">
        <f>'EAST-EGM-GL'!E55</f>
        <v>-8062631.79</v>
      </c>
      <c r="H55" s="60">
        <f>F55-D55</f>
        <v>0</v>
      </c>
      <c r="I55" s="38">
        <f>G55-E55</f>
        <v>-6326470.79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451805.31999999995</v>
      </c>
      <c r="H81" s="60">
        <f>F81-D81</f>
        <v>0</v>
      </c>
      <c r="I81" s="38">
        <f>G81-E81</f>
        <v>524011.31999999995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-2927672.5569999879</v>
      </c>
      <c r="H82" s="71">
        <f>H16+H24+H29+H36+H43+H45+H47+H49</f>
        <v>-22968</v>
      </c>
      <c r="I82" s="72">
        <f>SUM(I72:I81)+I16+I24+I29+I36+I43+I45+I47+I49+I51+I56+I61+I66</f>
        <v>-931047.18810003169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-278137.31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-2861672.866999988</v>
      </c>
      <c r="H91" s="160">
        <f t="shared" si="17"/>
        <v>-22968</v>
      </c>
      <c r="I91" s="160">
        <f t="shared" si="17"/>
        <v>-1209184.4981000316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5562</v>
      </c>
      <c r="G11" s="38">
        <f>'EAST-LRC-GL'!E11</f>
        <v>-4773.9199999999983</v>
      </c>
      <c r="H11" s="60">
        <f>F11-D11</f>
        <v>5562</v>
      </c>
      <c r="I11" s="38">
        <f>G11-E11</f>
        <v>-4773.9199999999983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5562</v>
      </c>
      <c r="G16" s="39">
        <f t="shared" si="1"/>
        <v>-151828.59000000003</v>
      </c>
      <c r="H16" s="61">
        <f t="shared" si="1"/>
        <v>5562</v>
      </c>
      <c r="I16" s="39">
        <f t="shared" si="1"/>
        <v>-151828.59000000003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3835</v>
      </c>
      <c r="G27" s="38">
        <f>'EAST-LRC-GL'!E27</f>
        <v>10440</v>
      </c>
      <c r="H27" s="60">
        <f>F27-D27</f>
        <v>3835</v>
      </c>
      <c r="I27" s="38">
        <f>G27-E27</f>
        <v>10440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-9397</v>
      </c>
      <c r="G28" s="38">
        <f>'EAST-LRC-GL'!E28</f>
        <v>-25445</v>
      </c>
      <c r="H28" s="60">
        <f>F28-D28</f>
        <v>-9397</v>
      </c>
      <c r="I28" s="38">
        <f>G28-E28</f>
        <v>-25445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-5562</v>
      </c>
      <c r="G29" s="70">
        <f t="shared" si="4"/>
        <v>-15005</v>
      </c>
      <c r="H29" s="69">
        <f t="shared" si="4"/>
        <v>-5562</v>
      </c>
      <c r="I29" s="70">
        <f t="shared" si="4"/>
        <v>-15005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200016211</v>
      </c>
      <c r="G11" s="38">
        <f>'EAST-CON-GL '!E11</f>
        <v>544320880.39999998</v>
      </c>
      <c r="H11" s="60">
        <f>F11-D11</f>
        <v>3650685</v>
      </c>
      <c r="I11" s="38">
        <f>G11-E11</f>
        <v>11256514.399999976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3158974.6</v>
      </c>
      <c r="H12" s="60">
        <f>F12-D12</f>
        <v>0</v>
      </c>
      <c r="I12" s="38">
        <f>G12-E12</f>
        <v>3158974.6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14550152</v>
      </c>
      <c r="G13" s="38">
        <f>'EAST-CON-GL 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214566363</v>
      </c>
      <c r="G16" s="39">
        <f t="shared" si="1"/>
        <v>591216074.33000004</v>
      </c>
      <c r="H16" s="61">
        <f t="shared" si="1"/>
        <v>-77827639</v>
      </c>
      <c r="I16" s="39">
        <f t="shared" si="1"/>
        <v>-211142117.67000002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-199561466</v>
      </c>
      <c r="G19" s="38">
        <f>'EAST-CON-GL 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-5643395.7999999998</v>
      </c>
      <c r="H20" s="60">
        <f>F20-D20</f>
        <v>0</v>
      </c>
      <c r="I20" s="38">
        <f>G20-E20</f>
        <v>-5643395.7999999998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-14312104</v>
      </c>
      <c r="G21" s="38">
        <f>'EAST-CON-GL 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1368078</v>
      </c>
      <c r="G23" s="38">
        <f>'EAST-CON-GL 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-575833493.85799992</v>
      </c>
      <c r="H24" s="61">
        <f t="shared" si="3"/>
        <v>78124665</v>
      </c>
      <c r="I24" s="39">
        <f t="shared" si="3"/>
        <v>217928949.14199999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785336</v>
      </c>
      <c r="G27" s="38">
        <f>'EAST-CON-GL '!E27</f>
        <v>2136152.02</v>
      </c>
      <c r="H27" s="60">
        <f>F27-D27</f>
        <v>785336</v>
      </c>
      <c r="I27" s="38">
        <f>G27-E27</f>
        <v>2136152.02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-501379</v>
      </c>
      <c r="G28" s="38">
        <f>'EAST-CON-GL '!E28</f>
        <v>-1334207.77</v>
      </c>
      <c r="H28" s="60">
        <f>F28-D28</f>
        <v>-501379</v>
      </c>
      <c r="I28" s="38">
        <f>G28-E28</f>
        <v>-1334207.77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283957</v>
      </c>
      <c r="G29" s="70">
        <f t="shared" si="4"/>
        <v>801944.25</v>
      </c>
      <c r="H29" s="69">
        <f t="shared" si="4"/>
        <v>283957</v>
      </c>
      <c r="I29" s="70">
        <f t="shared" si="4"/>
        <v>801944.25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-486645</v>
      </c>
      <c r="G32" s="38">
        <f>'EAST-CON-GL 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-397497</v>
      </c>
      <c r="G33" s="38">
        <f>'EAST-CON-GL 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162357</v>
      </c>
      <c r="G34" s="38">
        <f>'EAST-CON-GL 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0</v>
      </c>
      <c r="H35" s="60">
        <f t="shared" si="5"/>
        <v>136134</v>
      </c>
      <c r="I35" s="38">
        <f t="shared" si="5"/>
        <v>1121629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39</v>
      </c>
      <c r="G39" s="38">
        <f>'EAST-CON-GL 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-1643354</v>
      </c>
      <c r="G40" s="38">
        <f>'EAST-CON-GL 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20272</v>
      </c>
      <c r="G49" s="38">
        <f>'EAST-CON-GL 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-1368078</v>
      </c>
      <c r="G51" s="38">
        <f>'EAST-CON-GL 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-134719668</v>
      </c>
      <c r="G54" s="38">
        <f>'EAST-CON-GL 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-1736161</v>
      </c>
      <c r="F55" s="60">
        <f>'EAST-CON-GL '!D55</f>
        <v>0</v>
      </c>
      <c r="G55" s="38">
        <f>'EAST-CON-GL '!E55</f>
        <v>-8062631.79</v>
      </c>
      <c r="H55" s="60">
        <f>F55-D55</f>
        <v>0</v>
      </c>
      <c r="I55" s="38">
        <f>G55-E55</f>
        <v>-6326470.79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451805.31999999995</v>
      </c>
      <c r="H81" s="60">
        <f>F81-D81</f>
        <v>0</v>
      </c>
      <c r="I81" s="38">
        <f>G81-E81</f>
        <v>524011.31999999995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-3160226.106999821</v>
      </c>
      <c r="H82" s="109">
        <f>H16+H24+H29+H36+H43+H45+H47+H49</f>
        <v>-22968</v>
      </c>
      <c r="I82" s="110">
        <f>SUM(I72:I81)+I16+I24+I29+I36+I43+I45+I47+I49+I51+I56+I61+I66</f>
        <v>-1163600.7381000137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-278137.31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-3094226.4169998211</v>
      </c>
      <c r="H91" s="160">
        <f t="shared" si="17"/>
        <v>-22968</v>
      </c>
      <c r="I91" s="160">
        <f t="shared" si="17"/>
        <v>-1441738.0481000138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-1652488.3689000462</v>
      </c>
      <c r="G94" s="14">
        <f>+'EAST-EGM-VAR'!G91+'EAST-LRC-VAR'!G82</f>
        <v>-3094226.4169999883</v>
      </c>
      <c r="I94" s="14">
        <f>+'EAST-EGM-VAR'!I91+'EAST-LRC-VAR'!I82</f>
        <v>-1441738.0481000317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13854441</v>
      </c>
      <c r="G11" s="38">
        <f>'TX-EGM-GL'!E11</f>
        <v>37795452.32</v>
      </c>
      <c r="H11" s="60">
        <f>F11-D11</f>
        <v>-479562</v>
      </c>
      <c r="I11" s="38">
        <f>G11-E11</f>
        <v>171950.25000000745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429232</v>
      </c>
      <c r="G13" s="38">
        <f>'TX-EGM-GL'!E13</f>
        <v>1157267</v>
      </c>
      <c r="H13" s="60">
        <f t="shared" ref="H13:I15" si="0">F13-D13</f>
        <v>198000</v>
      </c>
      <c r="I13" s="38">
        <f t="shared" si="0"/>
        <v>533891.61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14283673</v>
      </c>
      <c r="G16" s="39">
        <f t="shared" si="1"/>
        <v>37642121.259999998</v>
      </c>
      <c r="H16" s="61">
        <f t="shared" si="1"/>
        <v>-281562</v>
      </c>
      <c r="I16" s="39">
        <f t="shared" si="1"/>
        <v>-724756.19999999274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-4695131</v>
      </c>
      <c r="G19" s="38">
        <f>'TX-EGM-GL'!E19</f>
        <v>-11979028.949999999</v>
      </c>
      <c r="H19" s="60">
        <f>F19-D19</f>
        <v>79224</v>
      </c>
      <c r="I19" s="38">
        <f>G19-E19</f>
        <v>248570.27999999002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-21000</v>
      </c>
      <c r="G21" s="38">
        <f>'TX-EGM-GL'!E21</f>
        <v>-55982</v>
      </c>
      <c r="H21" s="60">
        <f t="shared" ref="H21:I23" si="2">F21-D21</f>
        <v>-2000</v>
      </c>
      <c r="I21" s="38">
        <f t="shared" si="2"/>
        <v>-5332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-4696739</v>
      </c>
      <c r="G24" s="39">
        <f t="shared" si="3"/>
        <v>-10244295.899999999</v>
      </c>
      <c r="H24" s="61">
        <f t="shared" si="3"/>
        <v>80930</v>
      </c>
      <c r="I24" s="39">
        <f t="shared" si="3"/>
        <v>1991368.2099999902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9811423</v>
      </c>
      <c r="G27" s="38">
        <f>'TX-EGM-GL'!E27</f>
        <v>27513588.5</v>
      </c>
      <c r="H27" s="60">
        <f>F27-D27</f>
        <v>-14500141</v>
      </c>
      <c r="I27" s="38">
        <f>G27-E27</f>
        <v>-40292287.579999998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-19127789</v>
      </c>
      <c r="G28" s="38">
        <f>'TX-EGM-GL'!E28</f>
        <v>-53611488</v>
      </c>
      <c r="H28" s="60">
        <f>F28-D28</f>
        <v>6152891</v>
      </c>
      <c r="I28" s="38">
        <f>G28-E28</f>
        <v>16899329.640000001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-9316366</v>
      </c>
      <c r="G29" s="70">
        <f t="shared" si="4"/>
        <v>-26097899.5</v>
      </c>
      <c r="H29" s="69">
        <f t="shared" si="4"/>
        <v>-8347250</v>
      </c>
      <c r="I29" s="70">
        <f t="shared" si="4"/>
        <v>-23392957.939999998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-234896</v>
      </c>
      <c r="G32" s="38">
        <f>'TX-EGM-GL'!E32</f>
        <v>-596635.83999999985</v>
      </c>
      <c r="H32" s="60">
        <f>F32-D32</f>
        <v>-234896</v>
      </c>
      <c r="I32" s="38">
        <f>G32-E32</f>
        <v>-596635.83999999985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-234896</v>
      </c>
      <c r="G36" s="39">
        <f t="shared" si="6"/>
        <v>-596635.83999999985</v>
      </c>
      <c r="H36" s="61">
        <f t="shared" si="6"/>
        <v>-234896</v>
      </c>
      <c r="I36" s="39">
        <f t="shared" si="6"/>
        <v>-596635.83999999985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0</v>
      </c>
      <c r="G40" s="38">
        <f>'TX-EGM-GL'!E40</f>
        <v>0</v>
      </c>
      <c r="H40" s="60">
        <f t="shared" si="7"/>
        <v>231232</v>
      </c>
      <c r="I40" s="38">
        <f t="shared" si="7"/>
        <v>623375.44999999995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0</v>
      </c>
      <c r="G42" s="70">
        <f t="shared" si="8"/>
        <v>0</v>
      </c>
      <c r="H42" s="69">
        <f t="shared" si="8"/>
        <v>231232</v>
      </c>
      <c r="I42" s="70">
        <f t="shared" si="8"/>
        <v>623375.44999999995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171553</v>
      </c>
      <c r="G43" s="39">
        <f t="shared" si="9"/>
        <v>435744.62</v>
      </c>
      <c r="H43" s="61">
        <f t="shared" si="9"/>
        <v>402785</v>
      </c>
      <c r="I43" s="39">
        <f t="shared" si="9"/>
        <v>1059120.0699999998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-207225</v>
      </c>
      <c r="G49" s="38">
        <f>'TX-EGM-GL'!E49</f>
        <v>-526351.5</v>
      </c>
      <c r="H49" s="60">
        <f>F49-D49</f>
        <v>8379993</v>
      </c>
      <c r="I49" s="38">
        <f>G49-E49</f>
        <v>21287837.202608138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-18605488</v>
      </c>
      <c r="G54" s="38">
        <f>'TX-EGM-GL'!E54</f>
        <v>-336775.86</v>
      </c>
      <c r="H54" s="60">
        <f>F54-D54</f>
        <v>-18605488</v>
      </c>
      <c r="I54" s="38">
        <f>G54-E54</f>
        <v>214621.14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-174300</v>
      </c>
      <c r="H55" s="60">
        <f>F55-D55</f>
        <v>0</v>
      </c>
      <c r="I55" s="38">
        <f>G55-E55</f>
        <v>-174300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-18605488</v>
      </c>
      <c r="G56" s="39">
        <f t="shared" si="10"/>
        <v>-511075.86</v>
      </c>
      <c r="H56" s="61">
        <f t="shared" si="10"/>
        <v>-18605488</v>
      </c>
      <c r="I56" s="39">
        <f t="shared" si="10"/>
        <v>40321.140000000014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-546.73</v>
      </c>
      <c r="H64" s="60">
        <f>F64-D64</f>
        <v>0</v>
      </c>
      <c r="I64" s="38">
        <f>G64-E64</f>
        <v>-546.73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-546.73</v>
      </c>
      <c r="H66" s="61">
        <f t="shared" si="12"/>
        <v>0</v>
      </c>
      <c r="I66" s="39">
        <f t="shared" si="12"/>
        <v>-546.73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-1213673.3599999971</v>
      </c>
      <c r="H82" s="109">
        <f>H16+H24+H29+H36+H43+H45+H47+H49</f>
        <v>0</v>
      </c>
      <c r="I82" s="110">
        <f>SUM(I72:I81)+I16+I24+I29+I36+I43+I45+I47+I49+I51+I56+I61+I66</f>
        <v>-1849534.757391863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705933.39739185944</v>
      </c>
      <c r="F91" s="160">
        <f t="shared" si="17"/>
        <v>0</v>
      </c>
      <c r="G91" s="160">
        <f t="shared" si="17"/>
        <v>-1213673.3599999971</v>
      </c>
      <c r="H91" s="160">
        <f t="shared" si="17"/>
        <v>0</v>
      </c>
      <c r="I91" s="160">
        <f t="shared" si="17"/>
        <v>-1919606.757391863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-248769</v>
      </c>
      <c r="H19" s="60">
        <f>F19-D19</f>
        <v>0</v>
      </c>
      <c r="I19" s="38">
        <f>G19-E19</f>
        <v>-248758.22999998927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-248769</v>
      </c>
      <c r="H24" s="61">
        <f t="shared" si="3"/>
        <v>0</v>
      </c>
      <c r="I24" s="39">
        <f t="shared" si="3"/>
        <v>-248763.10999998928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-248834.00000000006</v>
      </c>
      <c r="H82" s="109">
        <f>H16+H24+H29+H36+H43+H45+H47+H49</f>
        <v>0</v>
      </c>
      <c r="I82" s="110">
        <f>SUM(I72:I81)+I16+I24+I29+I36+I43+I45+I47+I49+I51+I56+I61+I66</f>
        <v>-248762.65999999872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>
      <selection activeCell="I89" sqref="I8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44563002</v>
      </c>
      <c r="G11" s="38">
        <f>'TX-HPLC-GL'!E11</f>
        <v>115067617</v>
      </c>
      <c r="H11" s="60">
        <f>F11-D11</f>
        <v>953380</v>
      </c>
      <c r="I11" s="38">
        <f>G11-E11</f>
        <v>3825527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-289230.28000000003</v>
      </c>
      <c r="H12" s="60">
        <f>F12-D12</f>
        <v>0</v>
      </c>
      <c r="I12" s="38">
        <f>G12-E12</f>
        <v>-289230.28000000003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44563002</v>
      </c>
      <c r="G16" s="39">
        <f t="shared" si="1"/>
        <v>114778386.72</v>
      </c>
      <c r="H16" s="61">
        <f t="shared" si="1"/>
        <v>399957</v>
      </c>
      <c r="I16" s="39">
        <f t="shared" si="1"/>
        <v>2066391.7199999997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-61360160</v>
      </c>
      <c r="G19" s="38">
        <f>'TX-HPLC-GL'!E19</f>
        <v>-155163168</v>
      </c>
      <c r="H19" s="60">
        <f>F19-D19</f>
        <v>343616</v>
      </c>
      <c r="I19" s="38">
        <f>G19-E19</f>
        <v>141093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-714575.09</v>
      </c>
      <c r="H20" s="60">
        <f>F20-D20</f>
        <v>0</v>
      </c>
      <c r="I20" s="38">
        <f>G20-E20</f>
        <v>-714575.09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-61360160</v>
      </c>
      <c r="G24" s="39">
        <f t="shared" si="3"/>
        <v>-155877743.09</v>
      </c>
      <c r="H24" s="61">
        <f t="shared" si="3"/>
        <v>2944009</v>
      </c>
      <c r="I24" s="39">
        <f t="shared" si="3"/>
        <v>6485607.9100000001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19678389</v>
      </c>
      <c r="G27" s="38">
        <f>'TX-HPLC-GL'!E27</f>
        <v>55045940</v>
      </c>
      <c r="H27" s="60">
        <f>F27-D27</f>
        <v>-66353403</v>
      </c>
      <c r="I27" s="38">
        <f>G27-E27</f>
        <v>-179458791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-12499515</v>
      </c>
      <c r="G28" s="38">
        <f>'TX-HPLC-GL'!E28</f>
        <v>-34817790</v>
      </c>
      <c r="H28" s="60">
        <f>F28-D28</f>
        <v>71737369</v>
      </c>
      <c r="I28" s="38">
        <f>G28-E28</f>
        <v>194836204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7178874</v>
      </c>
      <c r="G29" s="70">
        <f t="shared" si="4"/>
        <v>20228150</v>
      </c>
      <c r="H29" s="69">
        <f t="shared" si="4"/>
        <v>5383966</v>
      </c>
      <c r="I29" s="70">
        <f t="shared" si="4"/>
        <v>15377413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448185</v>
      </c>
      <c r="G32" s="38">
        <f>'TX-HPLC-GL'!E32</f>
        <v>1138390</v>
      </c>
      <c r="H32" s="60">
        <f>F32-D32</f>
        <v>448185</v>
      </c>
      <c r="I32" s="38">
        <f>G32-E32</f>
        <v>1138390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448185</v>
      </c>
      <c r="G36" s="39">
        <f t="shared" si="6"/>
        <v>1138390</v>
      </c>
      <c r="H36" s="61">
        <f t="shared" si="6"/>
        <v>448185</v>
      </c>
      <c r="I36" s="39">
        <f t="shared" si="6"/>
        <v>1138390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24743820</v>
      </c>
      <c r="H39" s="60">
        <f t="shared" ref="H39:I41" si="7">F39-D39</f>
        <v>-417731</v>
      </c>
      <c r="I39" s="38">
        <f t="shared" si="7"/>
        <v>-1538467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24743820</v>
      </c>
      <c r="H43" s="61">
        <f t="shared" si="9"/>
        <v>-117394</v>
      </c>
      <c r="I43" s="39">
        <f t="shared" si="9"/>
        <v>-668991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-327759</v>
      </c>
      <c r="G49" s="38">
        <f>'TX-HPLC-GL'!E49</f>
        <v>-832507</v>
      </c>
      <c r="H49" s="60">
        <f>F49-D49</f>
        <v>-9058723</v>
      </c>
      <c r="I49" s="38">
        <f>G49-E49</f>
        <v>-23011854.98577122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0</v>
      </c>
      <c r="G54" s="38">
        <f>'TX-HPLC-GL'!E54</f>
        <v>-1465893</v>
      </c>
      <c r="H54" s="60">
        <f>F54-D54</f>
        <v>0</v>
      </c>
      <c r="I54" s="38">
        <f>G54-E54</f>
        <v>234166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0</v>
      </c>
      <c r="G56" s="39">
        <f t="shared" si="10"/>
        <v>-1465893</v>
      </c>
      <c r="H56" s="61">
        <f t="shared" si="10"/>
        <v>0</v>
      </c>
      <c r="I56" s="39">
        <f t="shared" si="10"/>
        <v>234166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-937682.58999999985</v>
      </c>
      <c r="H74" s="60">
        <f t="shared" ref="H74:I79" si="14">F74-D74</f>
        <v>0</v>
      </c>
      <c r="I74" s="38">
        <f t="shared" si="14"/>
        <v>-937682.58999999985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1824921.0399999917</v>
      </c>
      <c r="H82" s="109">
        <f>H16+H24+H29+H36+H43+H45+H47+H49</f>
        <v>0</v>
      </c>
      <c r="I82" s="110">
        <f>SUM(I72:I81)+I16+I24+I29+I36+I43+I45+I47+I49+I51+I56+I61+I66</f>
        <v>831740.05422877893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1697579.3</v>
      </c>
      <c r="H86" s="145">
        <f t="shared" ref="H86:I88" si="15">F86-D86</f>
        <v>0</v>
      </c>
      <c r="I86" s="145">
        <f t="shared" si="15"/>
        <v>1697579.3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242579.30000000005</v>
      </c>
      <c r="H89" s="160">
        <f t="shared" si="16"/>
        <v>0</v>
      </c>
      <c r="I89" s="160">
        <f t="shared" si="16"/>
        <v>242579.30000000005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2067500.3399999917</v>
      </c>
      <c r="H91" s="160">
        <f t="shared" si="17"/>
        <v>0</v>
      </c>
      <c r="I91" s="160">
        <f t="shared" si="17"/>
        <v>1074319.354228779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activeCell="D10" sqref="D10"/>
      <selection pane="topRight" activeCell="D10" sqref="D10"/>
      <selection pane="bottomLeft" activeCell="D10" sqref="D10"/>
      <selection pane="bottomRight" activeCell="G74" sqref="G7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58552519</v>
      </c>
      <c r="G11" s="38">
        <f>'TX-CON-GL '!E11</f>
        <v>153217103.52000001</v>
      </c>
      <c r="H11" s="60">
        <f>F11-D11</f>
        <v>474512</v>
      </c>
      <c r="I11" s="38">
        <f>G11-E11</f>
        <v>4002190.5200000107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-3479004.9400000004</v>
      </c>
      <c r="H12" s="60">
        <f>F12-D12</f>
        <v>0</v>
      </c>
      <c r="I12" s="38">
        <f>G12-E12</f>
        <v>-3479004.9400000004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429232</v>
      </c>
      <c r="G13" s="38">
        <f>'TX-CON-GL '!E13</f>
        <v>1157267</v>
      </c>
      <c r="H13" s="60">
        <f t="shared" ref="H13:I15" si="0">F13-D13</f>
        <v>-355423</v>
      </c>
      <c r="I13" s="38">
        <f t="shared" si="0"/>
        <v>-936014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1876275</v>
      </c>
      <c r="H15" s="60">
        <f t="shared" si="0"/>
        <v>0</v>
      </c>
      <c r="I15" s="38">
        <f t="shared" si="0"/>
        <v>1756275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58981751</v>
      </c>
      <c r="G16" s="39">
        <f t="shared" si="1"/>
        <v>152771640.58000001</v>
      </c>
      <c r="H16" s="61">
        <f t="shared" si="1"/>
        <v>119089</v>
      </c>
      <c r="I16" s="39">
        <f t="shared" si="1"/>
        <v>1343446.5800000103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-66055291</v>
      </c>
      <c r="G19" s="38">
        <f>'TX-CON-GL '!E19</f>
        <v>-167390965.94999999</v>
      </c>
      <c r="H19" s="60">
        <f>F19-D19</f>
        <v>422840</v>
      </c>
      <c r="I19" s="38">
        <f>G19-E19</f>
        <v>140905.05000001192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1026884.2800000001</v>
      </c>
      <c r="H20" s="60">
        <f>F20-D20</f>
        <v>0</v>
      </c>
      <c r="I20" s="38">
        <f>G20-E20</f>
        <v>1026884.2800000001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-21000</v>
      </c>
      <c r="G21" s="38">
        <f>'TX-CON-GL '!E21</f>
        <v>-55982</v>
      </c>
      <c r="H21" s="60">
        <f t="shared" ref="H21:I23" si="2">F21-D21</f>
        <v>2602000</v>
      </c>
      <c r="I21" s="38">
        <f t="shared" si="2"/>
        <v>7063654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-66056899</v>
      </c>
      <c r="G24" s="39">
        <f t="shared" si="3"/>
        <v>-166370807.98999998</v>
      </c>
      <c r="H24" s="61">
        <f t="shared" si="3"/>
        <v>3024939</v>
      </c>
      <c r="I24" s="39">
        <f t="shared" si="3"/>
        <v>8228213.0100000119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29489812</v>
      </c>
      <c r="G27" s="38">
        <f>'TX-CON-GL '!E27</f>
        <v>82559528.5</v>
      </c>
      <c r="H27" s="60">
        <f>F27-D27</f>
        <v>-80853544</v>
      </c>
      <c r="I27" s="38">
        <f>G27-E27</f>
        <v>-219751087.5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-31762380</v>
      </c>
      <c r="G28" s="38">
        <f>'TX-CON-GL '!E28</f>
        <v>-88780475.599999994</v>
      </c>
      <c r="H28" s="60">
        <f>F28-D28</f>
        <v>77889566</v>
      </c>
      <c r="I28" s="38">
        <f>G28-E28</f>
        <v>211733732.40000001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-2272568</v>
      </c>
      <c r="G29" s="70">
        <f t="shared" si="4"/>
        <v>-6220947.099999994</v>
      </c>
      <c r="H29" s="69">
        <f t="shared" si="4"/>
        <v>-2963978</v>
      </c>
      <c r="I29" s="70">
        <f t="shared" si="4"/>
        <v>-8017355.099999994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213289</v>
      </c>
      <c r="G32" s="38">
        <f>'TX-CON-GL '!E32</f>
        <v>541754.16000000015</v>
      </c>
      <c r="H32" s="60">
        <f>F32-D32</f>
        <v>213289</v>
      </c>
      <c r="I32" s="38">
        <f>G32-E32</f>
        <v>541754.16000000015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213289</v>
      </c>
      <c r="G36" s="39">
        <f t="shared" si="6"/>
        <v>541754.16000000015</v>
      </c>
      <c r="H36" s="61">
        <f t="shared" si="6"/>
        <v>213289</v>
      </c>
      <c r="I36" s="39">
        <f t="shared" si="6"/>
        <v>541754.16000000015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25179564.620000001</v>
      </c>
      <c r="H39" s="60">
        <f t="shared" ref="H39:I41" si="7">F39-D39</f>
        <v>-246178</v>
      </c>
      <c r="I39" s="38">
        <f t="shared" si="7"/>
        <v>-1102722.379999999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0</v>
      </c>
      <c r="G40" s="38">
        <f>'TX-CON-GL '!E40</f>
        <v>0</v>
      </c>
      <c r="H40" s="60">
        <f t="shared" si="7"/>
        <v>531569</v>
      </c>
      <c r="I40" s="38">
        <f t="shared" si="7"/>
        <v>1492851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0</v>
      </c>
      <c r="G42" s="70">
        <f t="shared" si="8"/>
        <v>0</v>
      </c>
      <c r="H42" s="69">
        <f t="shared" si="8"/>
        <v>531569</v>
      </c>
      <c r="I42" s="70">
        <f t="shared" si="8"/>
        <v>1492851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9669411</v>
      </c>
      <c r="G43" s="39">
        <f t="shared" si="9"/>
        <v>25179564.620000001</v>
      </c>
      <c r="H43" s="61">
        <f t="shared" si="9"/>
        <v>285391</v>
      </c>
      <c r="I43" s="39">
        <f t="shared" si="9"/>
        <v>390128.62000000104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-534984</v>
      </c>
      <c r="G49" s="38">
        <f>'TX-CON-GL '!E49</f>
        <v>-1358858.5</v>
      </c>
      <c r="H49" s="60">
        <f>F49-D49</f>
        <v>-678730</v>
      </c>
      <c r="I49" s="38">
        <f>G49-E49</f>
        <v>-1724017.7831630819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-18605488</v>
      </c>
      <c r="G54" s="38">
        <f>'TX-CON-GL '!E54</f>
        <v>-1802668.8599999999</v>
      </c>
      <c r="H54" s="60">
        <f>F54-D54</f>
        <v>-18605488</v>
      </c>
      <c r="I54" s="38">
        <f>G54-E54</f>
        <v>448787.14000000013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-174300</v>
      </c>
      <c r="H55" s="60">
        <f>F55-D55</f>
        <v>0</v>
      </c>
      <c r="I55" s="38">
        <f>G55-E55</f>
        <v>-174300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-18605488</v>
      </c>
      <c r="G56" s="39">
        <f t="shared" si="10"/>
        <v>-1976968.8599999999</v>
      </c>
      <c r="H56" s="61">
        <f t="shared" si="10"/>
        <v>-18605488</v>
      </c>
      <c r="I56" s="39">
        <f t="shared" si="10"/>
        <v>274487.14000000013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49453.27</v>
      </c>
      <c r="H64" s="60">
        <f>F64-D64</f>
        <v>0</v>
      </c>
      <c r="I64" s="38">
        <f>G64-E64</f>
        <v>49453.27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-1001151.2400000002</v>
      </c>
      <c r="H74" s="60">
        <f t="shared" ref="H74:I79" si="14">F74-D74</f>
        <v>0</v>
      </c>
      <c r="I74" s="38">
        <f t="shared" si="14"/>
        <v>-2297365.1900000004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362413.68000004767</v>
      </c>
      <c r="H82" s="109">
        <f>H16+H24+H29+H36+H43+H45+H47+H49</f>
        <v>0</v>
      </c>
      <c r="I82" s="110">
        <f>SUM(I72:I81)+I16+I24+I29+I36+I43+I45+I47+I49+I51+I56+I61+I66</f>
        <v>-1266557.3631630524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1697579.3</v>
      </c>
      <c r="H86" s="145">
        <f t="shared" ref="H86:I88" si="15">F86-D86</f>
        <v>0</v>
      </c>
      <c r="I86" s="145">
        <f t="shared" si="15"/>
        <v>1627507.3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242579.30000000005</v>
      </c>
      <c r="H89" s="155">
        <f t="shared" si="16"/>
        <v>0</v>
      </c>
      <c r="I89" s="155">
        <f t="shared" si="16"/>
        <v>172507.30000000005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1699043.0431630723</v>
      </c>
      <c r="F91" s="155">
        <f t="shared" si="17"/>
        <v>0</v>
      </c>
      <c r="G91" s="155">
        <f t="shared" si="17"/>
        <v>604992.98000004771</v>
      </c>
      <c r="H91" s="155">
        <f t="shared" si="17"/>
        <v>0</v>
      </c>
      <c r="I91" s="155">
        <f t="shared" si="17"/>
        <v>-1094050.0631630523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41709641</v>
      </c>
      <c r="G11" s="38">
        <f>'WE-GL '!E11</f>
        <v>102647484.3</v>
      </c>
      <c r="H11" s="60">
        <f>F11-D11</f>
        <v>-34342</v>
      </c>
      <c r="I11" s="38">
        <f>G11-E11</f>
        <v>-4252083.700000003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11346039.58</v>
      </c>
      <c r="H12" s="60">
        <f>F12-D12</f>
        <v>0</v>
      </c>
      <c r="I12" s="38">
        <f>G12-E12</f>
        <v>11346039.58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30000</v>
      </c>
      <c r="G13" s="38">
        <f>'WE-GL '!E13</f>
        <v>83100</v>
      </c>
      <c r="H13" s="60">
        <f t="shared" ref="H13:I15" si="0">F13-D13</f>
        <v>-12719483</v>
      </c>
      <c r="I13" s="38">
        <f t="shared" si="0"/>
        <v>-34965844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1128693.02</v>
      </c>
      <c r="H15" s="60">
        <f t="shared" si="0"/>
        <v>0</v>
      </c>
      <c r="I15" s="38">
        <f t="shared" si="0"/>
        <v>1128693.02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41739641</v>
      </c>
      <c r="G16" s="39">
        <f t="shared" si="1"/>
        <v>115205316.89999999</v>
      </c>
      <c r="H16" s="61">
        <f t="shared" si="1"/>
        <v>-12753825</v>
      </c>
      <c r="I16" s="39">
        <f t="shared" si="1"/>
        <v>-26743195.100000005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-44702195</v>
      </c>
      <c r="G19" s="38">
        <f>'WE-GL '!E19</f>
        <v>-113701035.76000001</v>
      </c>
      <c r="H19" s="60">
        <f>F19-D19</f>
        <v>-12771</v>
      </c>
      <c r="I19" s="38">
        <f>G19-E19</f>
        <v>-97435.760000005364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-2403190.42</v>
      </c>
      <c r="H20" s="60">
        <f>F20-D20</f>
        <v>0</v>
      </c>
      <c r="I20" s="38">
        <f>G20-E20</f>
        <v>-2403190.42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-30000</v>
      </c>
      <c r="G21" s="38">
        <f>'WE-GL '!E21</f>
        <v>-82500</v>
      </c>
      <c r="H21" s="60">
        <f t="shared" ref="H21:I23" si="2">F21-D21</f>
        <v>12719483</v>
      </c>
      <c r="I21" s="38">
        <f t="shared" si="2"/>
        <v>34965844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336956</v>
      </c>
      <c r="G23" s="38">
        <f>'WE-GL '!E23</f>
        <v>816107.43199999991</v>
      </c>
      <c r="H23" s="60">
        <f t="shared" si="2"/>
        <v>101747</v>
      </c>
      <c r="I23" s="38">
        <f t="shared" si="2"/>
        <v>188346.43199999991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-44395239</v>
      </c>
      <c r="G24" s="39">
        <f t="shared" si="3"/>
        <v>-115370618.74800001</v>
      </c>
      <c r="H24" s="61">
        <f t="shared" si="3"/>
        <v>12808459</v>
      </c>
      <c r="I24" s="39">
        <f t="shared" si="3"/>
        <v>32653564.251999993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-44552</v>
      </c>
      <c r="G32" s="38">
        <f>'WE-GL '!E32</f>
        <v>-107904.944</v>
      </c>
      <c r="H32" s="60">
        <f>F32-D32</f>
        <v>-47093</v>
      </c>
      <c r="I32" s="38">
        <f>G32-E32</f>
        <v>-115134.944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-1989</v>
      </c>
      <c r="G33" s="38">
        <f>'WE-GL '!E33</f>
        <v>-5274.4</v>
      </c>
      <c r="H33" s="60">
        <f t="shared" ref="H33:I35" si="5">F33-D33</f>
        <v>-1989</v>
      </c>
      <c r="I33" s="38">
        <f t="shared" si="5"/>
        <v>-5274.4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0</v>
      </c>
      <c r="G35" s="38">
        <f>'WE-GL '!E35</f>
        <v>0</v>
      </c>
      <c r="H35" s="60">
        <f t="shared" si="5"/>
        <v>-1794642</v>
      </c>
      <c r="I35" s="38">
        <f t="shared" si="5"/>
        <v>-4805939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-45366</v>
      </c>
      <c r="G36" s="39">
        <f t="shared" si="6"/>
        <v>-110140.79399999999</v>
      </c>
      <c r="H36" s="61">
        <f t="shared" si="6"/>
        <v>-1842549</v>
      </c>
      <c r="I36" s="39">
        <f t="shared" si="6"/>
        <v>-4923309.7939999998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1797976</v>
      </c>
      <c r="G39" s="38">
        <f>'WE-GL '!E39</f>
        <v>4354697.8800000008</v>
      </c>
      <c r="H39" s="60">
        <f t="shared" ref="H39:I41" si="7">F39-D39</f>
        <v>1792520</v>
      </c>
      <c r="I39" s="38">
        <f t="shared" si="7"/>
        <v>4340595.8800000008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1720430</v>
      </c>
      <c r="G43" s="39">
        <f t="shared" si="9"/>
        <v>4166322.1100000008</v>
      </c>
      <c r="H43" s="61">
        <f t="shared" si="9"/>
        <v>1797933</v>
      </c>
      <c r="I43" s="39">
        <f t="shared" si="9"/>
        <v>4358273.1100000013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-164713</v>
      </c>
      <c r="G49" s="38">
        <f>'WE-GL '!E49</f>
        <v>-398934.886</v>
      </c>
      <c r="H49" s="60">
        <f>F49-D49</f>
        <v>-10018</v>
      </c>
      <c r="I49" s="38">
        <f>G49-E49</f>
        <v>-24335.672513336001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-336956</v>
      </c>
      <c r="G51" s="38">
        <f>'WE-GL '!E51</f>
        <v>-816107.43199999991</v>
      </c>
      <c r="H51" s="60">
        <f>F51-D51</f>
        <v>-101747</v>
      </c>
      <c r="I51" s="38">
        <f>G51-E51</f>
        <v>-188346.43199999991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-20464952</v>
      </c>
      <c r="G54" s="38">
        <f>'WE-GL '!E54</f>
        <v>-529893.05000000005</v>
      </c>
      <c r="H54" s="60">
        <f>F54-D54</f>
        <v>-20464952</v>
      </c>
      <c r="I54" s="38">
        <f>G54-E54</f>
        <v>-374349.05000000005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-2314183.86</v>
      </c>
      <c r="H55" s="60">
        <f>F55-D55</f>
        <v>0</v>
      </c>
      <c r="I55" s="38">
        <f>G55-E55</f>
        <v>-1442346.9699999997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-20464952</v>
      </c>
      <c r="G56" s="39">
        <f t="shared" si="10"/>
        <v>-2844076.91</v>
      </c>
      <c r="H56" s="61">
        <f t="shared" si="10"/>
        <v>-20464952</v>
      </c>
      <c r="I56" s="39">
        <f t="shared" si="10"/>
        <v>-1816696.0199999998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6295309.4400000004</v>
      </c>
      <c r="H74" s="60">
        <f t="shared" ref="H74:I79" si="14">F74-D74</f>
        <v>0</v>
      </c>
      <c r="I74" s="38">
        <f t="shared" si="14"/>
        <v>993814.44000000041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-64399.880000000005</v>
      </c>
      <c r="H76" s="60">
        <f t="shared" si="14"/>
        <v>0</v>
      </c>
      <c r="I76" s="38">
        <f t="shared" si="14"/>
        <v>-37409.880000000005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11327724.879999982</v>
      </c>
      <c r="H82" s="109">
        <f>H16+H24+H29+H36+H43+H45+H47+H49</f>
        <v>0</v>
      </c>
      <c r="I82" s="110">
        <f>SUM(I72:I81)+I16+I24+I29+I36+I43+I45+I47+I49+I51+I56+I61+I66</f>
        <v>7546066.9834866542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3819633</v>
      </c>
      <c r="G11" s="38">
        <f>'DEN-GL'!E11</f>
        <v>8930257.1799999997</v>
      </c>
      <c r="H11" s="60">
        <f>F11-D11</f>
        <v>-49379</v>
      </c>
      <c r="I11" s="38">
        <f>G11-E11</f>
        <v>-144269.8200000003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459648</v>
      </c>
      <c r="G13" s="38">
        <f>'DEN-GL'!E13</f>
        <v>1178559</v>
      </c>
      <c r="H13" s="60">
        <f t="shared" ref="H13:I15" si="0">F13-D13</f>
        <v>-4841409</v>
      </c>
      <c r="I13" s="38">
        <f t="shared" si="0"/>
        <v>-12207087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4279281</v>
      </c>
      <c r="G16" s="39">
        <f t="shared" si="1"/>
        <v>10143064.77</v>
      </c>
      <c r="H16" s="61">
        <f t="shared" si="1"/>
        <v>-4890788</v>
      </c>
      <c r="I16" s="39">
        <f t="shared" si="1"/>
        <v>-12317108.23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-5070845</v>
      </c>
      <c r="G19" s="38">
        <f>'DEN-GL'!E19</f>
        <v>-11126900.789999999</v>
      </c>
      <c r="H19" s="60">
        <f>F19-D19</f>
        <v>-13583</v>
      </c>
      <c r="I19" s="38">
        <f>G19-E19</f>
        <v>196256.21000000089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-93</v>
      </c>
      <c r="G21" s="38">
        <f>'DEN-GL'!E21</f>
        <v>-241</v>
      </c>
      <c r="H21" s="60">
        <f t="shared" ref="H21:I23" si="2">F21-D21</f>
        <v>4240876</v>
      </c>
      <c r="I21" s="38">
        <f t="shared" si="2"/>
        <v>10730918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-5066040</v>
      </c>
      <c r="G24" s="39">
        <f t="shared" si="3"/>
        <v>-11304296.649999999</v>
      </c>
      <c r="H24" s="61">
        <f t="shared" si="3"/>
        <v>4212429</v>
      </c>
      <c r="I24" s="39">
        <f t="shared" si="3"/>
        <v>10702054.350000001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763413</v>
      </c>
      <c r="G49" s="38">
        <f>'DEN-GL'!E49</f>
        <v>1786386.42</v>
      </c>
      <c r="H49" s="60">
        <f>F49-D49</f>
        <v>648914</v>
      </c>
      <c r="I49" s="38">
        <f>G49-E49</f>
        <v>1518442.8900608637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-11546229</v>
      </c>
      <c r="G54" s="38">
        <f>'DEN-GL'!E54</f>
        <v>-240657.88</v>
      </c>
      <c r="H54" s="60">
        <f>F54-D54</f>
        <v>-11546229</v>
      </c>
      <c r="I54" s="38">
        <f>G54-E54</f>
        <v>-43689.929999999993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-748525.54</v>
      </c>
      <c r="H55" s="60">
        <f>F55-D55</f>
        <v>0</v>
      </c>
      <c r="I55" s="38">
        <f>G55-E55</f>
        <v>-323369.05000000005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-11546229</v>
      </c>
      <c r="G56" s="39">
        <f t="shared" si="10"/>
        <v>-989183.42</v>
      </c>
      <c r="H56" s="61">
        <f t="shared" si="10"/>
        <v>-11546229</v>
      </c>
      <c r="I56" s="39">
        <f t="shared" si="10"/>
        <v>-367058.98000000004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311714</v>
      </c>
      <c r="H81" s="60">
        <f>F81-D81</f>
        <v>0</v>
      </c>
      <c r="I81" s="38">
        <f>G81-E81</f>
        <v>233082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46272.220000000321</v>
      </c>
      <c r="H82" s="109">
        <f>H16+H24+H29+H36+H43+H45+H47+H49</f>
        <v>0</v>
      </c>
      <c r="I82" s="110">
        <f>SUM(I72:I81)+I16+I24+I29+I36+I43+I45+I47+I49+I51+I56+I61+I66</f>
        <v>135420.09006086481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23">
        <f>+'DEN-FLSH'!M86</f>
        <v>405697</v>
      </c>
      <c r="F86" s="67">
        <f>'DEN-GL'!D86</f>
        <v>0</v>
      </c>
      <c r="G86" s="220">
        <f>'DEN-GL'!E86</f>
        <v>-324309.77</v>
      </c>
      <c r="H86" s="220">
        <f t="shared" ref="H86:I88" si="15">F86-D86</f>
        <v>0</v>
      </c>
      <c r="I86" s="145">
        <f t="shared" si="15"/>
        <v>-730006.77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405697</v>
      </c>
      <c r="F89" s="225">
        <f t="shared" si="16"/>
        <v>0</v>
      </c>
      <c r="G89" s="225">
        <f t="shared" si="16"/>
        <v>-324577.77</v>
      </c>
      <c r="H89" s="160">
        <f t="shared" si="16"/>
        <v>0</v>
      </c>
      <c r="I89" s="160">
        <f t="shared" si="16"/>
        <v>-730274.77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54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-25497116</v>
      </c>
      <c r="H13" s="60">
        <f t="shared" ref="H13:I15" si="0">F13-D13</f>
        <v>0</v>
      </c>
      <c r="I13" s="38">
        <f t="shared" si="0"/>
        <v>-25497116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-25497116</v>
      </c>
      <c r="H16" s="61">
        <f t="shared" si="1"/>
        <v>0</v>
      </c>
      <c r="I16" s="39">
        <f t="shared" si="1"/>
        <v>-529393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433044</v>
      </c>
      <c r="H41" s="60">
        <f t="shared" si="7"/>
        <v>0</v>
      </c>
      <c r="I41" s="38">
        <f t="shared" si="7"/>
        <v>433044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433044</v>
      </c>
      <c r="H42" s="69">
        <f t="shared" si="8"/>
        <v>0</v>
      </c>
      <c r="I42" s="70">
        <f t="shared" si="8"/>
        <v>433044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433044</v>
      </c>
      <c r="H43" s="61">
        <f t="shared" si="9"/>
        <v>0</v>
      </c>
      <c r="I43" s="39">
        <f t="shared" si="9"/>
        <v>433044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117015719</v>
      </c>
      <c r="H70" s="60">
        <f>F70-D70</f>
        <v>0</v>
      </c>
      <c r="I70" s="38">
        <f>G70-E70</f>
        <v>18635717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25680478.950000003</v>
      </c>
      <c r="H72" s="69">
        <f t="shared" si="13"/>
        <v>0</v>
      </c>
      <c r="I72" s="70">
        <f t="shared" si="13"/>
        <v>-4.9999997019767761E-2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2564016</v>
      </c>
      <c r="H74" s="60">
        <f t="shared" ref="H74:I79" si="14">F74-D74</f>
        <v>0</v>
      </c>
      <c r="I74" s="38">
        <f t="shared" si="14"/>
        <v>-904781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0</v>
      </c>
      <c r="H77" s="60">
        <f t="shared" si="14"/>
        <v>0</v>
      </c>
      <c r="I77" s="38">
        <f t="shared" si="14"/>
        <v>382427</v>
      </c>
    </row>
    <row r="78" spans="1:9" x14ac:dyDescent="0.25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5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103047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2765806.950000003</v>
      </c>
      <c r="H82" s="109">
        <f>H16+H24+H29+H36+H43+H45+H47+H49</f>
        <v>0</v>
      </c>
      <c r="I82" s="110">
        <f>SUM(I72:I81)+I16+I24+I29+I36+I43+I45+I47+I49+I51+I56+I61+I66</f>
        <v>-1048944.049999997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47849017</v>
      </c>
      <c r="G11" s="38">
        <f>'ONT_GL '!E11</f>
        <v>119208706.63000001</v>
      </c>
      <c r="H11" s="60">
        <f>F11-D11</f>
        <v>771086</v>
      </c>
      <c r="I11" s="38">
        <f>G11-E11</f>
        <v>-11558736.36999999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252282</v>
      </c>
      <c r="G13" s="38">
        <f>'ONT_GL '!E13</f>
        <v>757640</v>
      </c>
      <c r="H13" s="60">
        <f t="shared" ref="H13:I15" si="0">F13-D13</f>
        <v>-533601</v>
      </c>
      <c r="I13" s="38">
        <f t="shared" si="0"/>
        <v>-1485244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-64775</v>
      </c>
      <c r="H15" s="60">
        <f t="shared" si="0"/>
        <v>0</v>
      </c>
      <c r="I15" s="38">
        <f t="shared" si="0"/>
        <v>-64775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48101299</v>
      </c>
      <c r="G16" s="39">
        <f t="shared" si="1"/>
        <v>131160668.89000002</v>
      </c>
      <c r="H16" s="61">
        <f t="shared" si="1"/>
        <v>237485</v>
      </c>
      <c r="I16" s="39">
        <f t="shared" si="1"/>
        <v>-1849658.1099999901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-47028660</v>
      </c>
      <c r="G19" s="38">
        <f>'ONT_GL '!E19</f>
        <v>-118595585.31999999</v>
      </c>
      <c r="H19" s="60">
        <f>F19-D19</f>
        <v>-653119</v>
      </c>
      <c r="I19" s="38">
        <f>G19-E19</f>
        <v>9697924.6800000072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-712812</v>
      </c>
      <c r="G21" s="38">
        <f>'ONT_GL '!E21</f>
        <v>-2102014</v>
      </c>
      <c r="H21" s="60">
        <f t="shared" ref="H21:I23" si="2">F21-D21</f>
        <v>788835</v>
      </c>
      <c r="I21" s="38">
        <f t="shared" si="2"/>
        <v>2192203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71548</v>
      </c>
      <c r="G23" s="38">
        <f>'ONT_GL '!E23</f>
        <v>216074.96</v>
      </c>
      <c r="H23" s="60">
        <f t="shared" si="2"/>
        <v>71548</v>
      </c>
      <c r="I23" s="38">
        <f t="shared" si="2"/>
        <v>216074.96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-47669924</v>
      </c>
      <c r="G24" s="39">
        <f t="shared" si="3"/>
        <v>-136432137.32999998</v>
      </c>
      <c r="H24" s="61">
        <f t="shared" si="3"/>
        <v>207264</v>
      </c>
      <c r="I24" s="39">
        <f t="shared" si="3"/>
        <v>-3844410.3299999936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829820</v>
      </c>
      <c r="G32" s="38">
        <f>'ONT_GL '!E32</f>
        <v>2506056.4000000004</v>
      </c>
      <c r="H32" s="60">
        <f>F32-D32</f>
        <v>829820</v>
      </c>
      <c r="I32" s="38">
        <f>G32-E32</f>
        <v>2506056.4000000004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829820</v>
      </c>
      <c r="G36" s="39">
        <f t="shared" si="6"/>
        <v>2506056.4000000004</v>
      </c>
      <c r="H36" s="61">
        <f t="shared" si="6"/>
        <v>829820</v>
      </c>
      <c r="I36" s="39">
        <f t="shared" si="6"/>
        <v>2506056.4000000004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-1261195</v>
      </c>
      <c r="G49" s="38">
        <f>'ONT_GL '!E49</f>
        <v>-3808808.9000000004</v>
      </c>
      <c r="H49" s="60">
        <f>F49-D49</f>
        <v>-1274569</v>
      </c>
      <c r="I49" s="38">
        <f>G49-E49</f>
        <v>-3849198.3800000004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-71548</v>
      </c>
      <c r="G51" s="38">
        <f>'ONT_GL '!E51</f>
        <v>-216074.96</v>
      </c>
      <c r="H51" s="60">
        <f>F51-D51</f>
        <v>-71548</v>
      </c>
      <c r="I51" s="38">
        <f>G51-E51</f>
        <v>-216074.96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115486.02</v>
      </c>
      <c r="H70" s="60">
        <f>F70-D70</f>
        <v>0</v>
      </c>
      <c r="I70" s="38">
        <f>G70-E70</f>
        <v>-1.0982901003444567E-3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-1556139.52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0.47890170988102909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3133469.86</v>
      </c>
      <c r="H74" s="60">
        <f t="shared" ref="H74:I79" si="14">F74-D74</f>
        <v>0</v>
      </c>
      <c r="I74" s="38">
        <f t="shared" si="14"/>
        <v>1998955.3581999997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0</v>
      </c>
      <c r="G82" s="110">
        <f>SUM(G72:G81)+G16+G24+G29+G36+G43+G45+G47+G49+G51+G56+G61+G66</f>
        <v>-5198577.9999999749</v>
      </c>
      <c r="H82" s="109">
        <f>H16+H24+H29+H36+H43+H45+H47+H49</f>
        <v>0</v>
      </c>
      <c r="I82" s="110">
        <f>SUM(I72:I81)+I16+I24+I29+I36+I43+I45+I47+I49+I51+I56+I61+I66</f>
        <v>-5348447.002898274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-220073.49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-257640.49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573509.00289828656</v>
      </c>
      <c r="F91" s="160">
        <f t="shared" si="17"/>
        <v>0</v>
      </c>
      <c r="G91" s="160">
        <f t="shared" si="17"/>
        <v>-5032578.4899999751</v>
      </c>
      <c r="H91" s="160">
        <f t="shared" si="17"/>
        <v>0</v>
      </c>
      <c r="I91" s="160">
        <f t="shared" si="17"/>
        <v>-5606087.4928982742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14330584</v>
      </c>
      <c r="G11" s="38">
        <f>BUG_GL!E11</f>
        <v>21731792.859999999</v>
      </c>
      <c r="H11" s="60">
        <f>F11-D11</f>
        <v>104314</v>
      </c>
      <c r="I11" s="38">
        <f>G11-E11</f>
        <v>-10169472.140000001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12274443</v>
      </c>
      <c r="G13" s="38">
        <f>BUG_GL!E13</f>
        <v>35784381</v>
      </c>
      <c r="H13" s="60">
        <f t="shared" ref="H13:I15" si="0">F13-D13</f>
        <v>-24051465</v>
      </c>
      <c r="I13" s="38">
        <f t="shared" si="0"/>
        <v>-73793407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14525301.859999999</v>
      </c>
      <c r="H15" s="60">
        <f t="shared" si="0"/>
        <v>0</v>
      </c>
      <c r="I15" s="38">
        <f t="shared" si="0"/>
        <v>4045873.8599999994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26605027</v>
      </c>
      <c r="G16" s="39">
        <f t="shared" si="1"/>
        <v>72041475.719999999</v>
      </c>
      <c r="H16" s="61">
        <f t="shared" si="1"/>
        <v>-23947151</v>
      </c>
      <c r="I16" s="39">
        <f t="shared" si="1"/>
        <v>-79917005.280000001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-8012439</v>
      </c>
      <c r="G19" s="38">
        <f>BUG_GL!E19</f>
        <v>-24361711.219999999</v>
      </c>
      <c r="H19" s="60">
        <f>F19-D19</f>
        <v>681</v>
      </c>
      <c r="I19" s="38">
        <f>G19-E19</f>
        <v>-5132379.2199999988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-13763085</v>
      </c>
      <c r="G21" s="38">
        <f>BUG_GL!E21</f>
        <v>-37529180</v>
      </c>
      <c r="H21" s="60">
        <f t="shared" ref="H21:I23" si="2">F21-D21</f>
        <v>23985772</v>
      </c>
      <c r="I21" s="38">
        <f t="shared" si="2"/>
        <v>73598426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0</v>
      </c>
      <c r="G23" s="38">
        <f>BUG_GL!E23</f>
        <v>0</v>
      </c>
      <c r="H23" s="60">
        <f t="shared" si="2"/>
        <v>-622881</v>
      </c>
      <c r="I23" s="38">
        <f t="shared" si="2"/>
        <v>-1746429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-21775524</v>
      </c>
      <c r="G24" s="39">
        <f t="shared" si="3"/>
        <v>-50000150.719999999</v>
      </c>
      <c r="H24" s="61">
        <f t="shared" si="3"/>
        <v>23363572</v>
      </c>
      <c r="I24" s="39">
        <f t="shared" si="3"/>
        <v>78610358.280000001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-4976934</v>
      </c>
      <c r="G40" s="38">
        <f>BUG_GL!E40</f>
        <v>-12593779</v>
      </c>
      <c r="H40" s="60">
        <f t="shared" si="7"/>
        <v>885212</v>
      </c>
      <c r="I40" s="38">
        <f t="shared" si="7"/>
        <v>-1564510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-4976934</v>
      </c>
      <c r="G42" s="70">
        <f t="shared" si="8"/>
        <v>-12593779</v>
      </c>
      <c r="H42" s="69">
        <f t="shared" si="8"/>
        <v>885212</v>
      </c>
      <c r="I42" s="70">
        <f t="shared" si="8"/>
        <v>-1564510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-4736071</v>
      </c>
      <c r="G43" s="39">
        <f t="shared" si="9"/>
        <v>-11947061.84</v>
      </c>
      <c r="H43" s="61">
        <f t="shared" si="9"/>
        <v>826248</v>
      </c>
      <c r="I43" s="39">
        <f t="shared" si="9"/>
        <v>-1796799.8399999999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-93432</v>
      </c>
      <c r="G49" s="38">
        <f>BUG_GL!E49</f>
        <v>-245632.72800000012</v>
      </c>
      <c r="H49" s="60">
        <f>F49-D49</f>
        <v>-242669</v>
      </c>
      <c r="I49" s="38">
        <f>G49-E49</f>
        <v>-637976.80100000009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0</v>
      </c>
      <c r="G51" s="38">
        <f>BUG_GL!E51</f>
        <v>0</v>
      </c>
      <c r="H51" s="60">
        <f>F51-D51</f>
        <v>622881</v>
      </c>
      <c r="I51" s="38">
        <f>G51-E51</f>
        <v>1746429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-22435426</v>
      </c>
      <c r="G54" s="38">
        <f>BUG_GL!E54</f>
        <v>-792569.74</v>
      </c>
      <c r="H54" s="60">
        <f>F54-D54</f>
        <v>-22435426</v>
      </c>
      <c r="I54" s="38">
        <f>G54-E54</f>
        <v>339483.26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-10468191.139999999</v>
      </c>
      <c r="H55" s="60">
        <f>F55-D55</f>
        <v>0</v>
      </c>
      <c r="I55" s="38">
        <f>G55-E55</f>
        <v>11236.860000001267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-22435426</v>
      </c>
      <c r="G56" s="39">
        <f t="shared" si="10"/>
        <v>-11260760.879999999</v>
      </c>
      <c r="H56" s="61">
        <f t="shared" si="10"/>
        <v>-22435426</v>
      </c>
      <c r="I56" s="39">
        <f t="shared" si="10"/>
        <v>350720.12000000128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-3400931.9179999977</v>
      </c>
      <c r="H82" s="109">
        <f>H16+H24+H29+H36+H43+H45+H47+H49</f>
        <v>0</v>
      </c>
      <c r="I82" s="110">
        <f>SUM(I72:I81)+I16+I24+I29+I36+I43+I45+I47+I49+I51+I56+I61+I66</f>
        <v>-3133388.1101007918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B632" workbookViewId="0">
      <selection activeCell="I644" sqref="I644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122</v>
      </c>
      <c r="K3" s="198" t="s">
        <v>122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4:31" x14ac:dyDescent="0.25">
      <c r="I633" s="207"/>
    </row>
    <row r="634" spans="4:31" x14ac:dyDescent="0.25">
      <c r="D634" s="33">
        <v>3515738</v>
      </c>
    </row>
    <row r="635" spans="4:31" x14ac:dyDescent="0.25">
      <c r="D635" s="228">
        <f>+G640+D634</f>
        <v>-202569.12899998249</v>
      </c>
    </row>
    <row r="636" spans="4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5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-2537269.9900000007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180</v>
      </c>
      <c r="E646" s="209"/>
      <c r="F646" s="210">
        <f>+'TX-HPLC-GL'!H82</f>
        <v>0</v>
      </c>
      <c r="G646" s="211">
        <f>+'TX-HPLC-GL'!I82</f>
        <v>-2477299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154</v>
      </c>
      <c r="E647" s="209"/>
      <c r="F647" s="210">
        <f>+'TX-CON-GL '!H82</f>
        <v>0</v>
      </c>
      <c r="G647" s="211">
        <f>+'TX-CON-GL '!I82</f>
        <v>1308516.560000008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Havlíček Jan</cp:lastModifiedBy>
  <cp:lastPrinted>2000-04-24T13:46:14Z</cp:lastPrinted>
  <dcterms:created xsi:type="dcterms:W3CDTF">1997-07-11T21:57:33Z</dcterms:created>
  <dcterms:modified xsi:type="dcterms:W3CDTF">2023-09-10T12:19:07Z</dcterms:modified>
</cp:coreProperties>
</file>