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J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L8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L8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L8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L8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L8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L8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L8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L8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I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I71" i="7"/>
  <c r="AA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L8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L8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L8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K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L8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L8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 mm is weather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database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p. love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Texas EOL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4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Reclassed in March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<sst xmlns="http://schemas.openxmlformats.org/spreadsheetml/2006/main" count="6559" uniqueCount="221">
  <si>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</si>
  <si>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</si>
  <si>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</si>
  <si>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</si>
  <si>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</si>
  <si>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</si>
  <si>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</si>
  <si>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</si>
  <si>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</si>
  <si>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</si>
  <si>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</si>
  <si>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</si>
  <si>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</si>
  <si>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</si>
  <si>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</si>
  <si>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</si>
  <si>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</si>
  <si>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</si>
  <si>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</si>
  <si>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</si>
  <si>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</si>
  <si>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</si>
  <si>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</si>
  <si>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</si>
  <si>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</si>
  <si>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</si>
  <si>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</si>
  <si>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</si>
  <si>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</si>
  <si>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</si>
  <si>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</si>
  <si>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</si>
  <si>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</si>
  <si>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</si>
  <si>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</si>
  <si>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</si>
  <si>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</si>
  <si>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</si>
  <si>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</si>
  <si>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</si>
  <si>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</si>
  <si>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</si>
  <si>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</si>
  <si>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</si>
  <si>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</si>
  <si>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</si>
  <si>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</si>
  <si>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</si>
  <si>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</si>
  <si>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</si>
  <si>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</si>
  <si>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</si>
  <si>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</si>
  <si>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</si>
  <si>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</si>
  <si>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</si>
  <si>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</si>
  <si>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</si>
  <si>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</si>
  <si>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</si>
  <si>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</si>
  <si>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</si>
  <si>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</si>
  <si>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</si>
  <si>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</si>
  <si>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</si>
  <si>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</si>
  <si>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</si>
  <si>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</si>
  <si>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</si>
  <si>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</si>
  <si>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</si>
  <si>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</si>
  <si>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</si>
  <si>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</si>
  <si>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</si>
  <si>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</si>
  <si>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</si>
  <si>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</si>
  <si>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</si>
  <si>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</si>
  <si>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</si>
  <si>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</si>
  <si>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</si>
  <si>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</si>
  <si>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</si>
  <si>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</si>
  <si>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</si>
  <si>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</si>
  <si>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</si>
  <si>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</si>
  <si>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</si>
  <si>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</si>
  <si>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</si>
  <si>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</si>
  <si>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</si>
  <si>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</si>
  <si>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</si>
  <si>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</si>
  <si>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</si>
  <si>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</si>
  <si>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</si>
  <si>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</si>
  <si>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</si>
  <si>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</si>
  <si>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</si>
  <si>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</si>
  <si>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</si>
  <si>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</si>
  <si>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</si>
  <si>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</si>
  <si>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</si>
  <si>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</si>
  <si>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</si>
  <si>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</si>
  <si>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</si>
  <si>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</si>
  <si>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</si>
  <si>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</si>
  <si>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</si>
  <si>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</si>
  <si>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</si>
  <si>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</si>
  <si>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</si>
  <si>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</si>
  <si>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</si>
  <si>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</si>
  <si>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</si>
  <si>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</si>
  <si>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</si>
  <si>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</si>
  <si>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</si>
  <si>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</si>
  <si>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</si>
  <si>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</si>
  <si>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</si>
  <si>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</si>
  <si>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</si>
  <si>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</si>
  <si>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</si>
  <si>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</si>
  <si>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</si>
  <si>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</si>
  <si>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</si>
  <si>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</si>
  <si>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</si>
  <si>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</si>
  <si>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</si>
  <si>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</si>
  <si>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</si>
  <si>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</si>
  <si>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</si>
  <si>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</si>
  <si>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</si>
  <si>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</si>
  <si>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</si>
  <si>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</si>
  <si>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</si>
  <si>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</si>
  <si>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</si>
  <si>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</si>
  <si>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</si>
  <si>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</si>
  <si>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</si>
  <si>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</si>
  <si>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</si>
  <si>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</si>
  <si>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</si>
  <si>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</si>
  <si>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</si>
  <si>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</si>
  <si>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</si>
  <si>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</si>
  <si>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</si>
  <si>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</si>
  <si>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</si>
  <si>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</si>
  <si>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</si>
  <si>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</si>
  <si>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</si>
  <si>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</si>
  <si>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</si>
  <si>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</si>
  <si>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</si>
  <si>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</si>
  <si>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</si>
  <si>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</si>
  <si>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</si>
  <si>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</si>
  <si>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</si>
  <si>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</si>
  <si>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</si>
  <si>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</si>
  <si>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</si>
  <si>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</si>
  <si>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</si>
  <si>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</si>
  <si>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</si>
  <si>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</si>
  <si>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</si>
  <si>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</si>
  <si>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</si>
  <si>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</si>
  <si>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</si>
  <si>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</si>
  <si>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</si>
  <si>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</si>
  <si>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</si>
  <si>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</si>
  <si>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</si>
  <si>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</si>
  <si>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</si>
  <si>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</si>
  <si>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</si>
  <si>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</si>
  <si>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</si>
  <si>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March</t>
  </si>
  <si>
    <t>0003V</t>
  </si>
  <si>
    <t>0003A</t>
  </si>
  <si>
    <t>PRODUCTION MONTH: 0003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</si>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</sst>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19" fillId="6" borderId="23" xfId="1" applyNumberFormat="1" applyFont="1" applyFill="1" applyBorder="1" applyAlignment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5" borderId="2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9">
          <cell r="G59">
            <v>-3203360.0999999959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B7">
            <v>-307000</v>
          </cell>
          <cell r="C7">
            <v>-1999000</v>
          </cell>
          <cell r="D7">
            <v>0</v>
          </cell>
          <cell r="E7">
            <v>66000</v>
          </cell>
          <cell r="G7">
            <v>-268000</v>
          </cell>
          <cell r="H7">
            <v>477000</v>
          </cell>
          <cell r="I7">
            <v>0</v>
          </cell>
          <cell r="J7">
            <v>993000</v>
          </cell>
          <cell r="K7">
            <v>-8000</v>
          </cell>
          <cell r="L7">
            <v>3782000</v>
          </cell>
          <cell r="M7">
            <v>3815000</v>
          </cell>
          <cell r="N7">
            <v>-25000</v>
          </cell>
          <cell r="O7">
            <v>150000</v>
          </cell>
          <cell r="P7">
            <v>166000</v>
          </cell>
          <cell r="Q7">
            <v>-288000</v>
          </cell>
          <cell r="R7">
            <v>-275000</v>
          </cell>
          <cell r="S7">
            <v>-89000</v>
          </cell>
          <cell r="U7">
            <v>6190000</v>
          </cell>
        </row>
        <row r="24">
          <cell r="U24">
            <v>2196979</v>
          </cell>
        </row>
        <row r="41">
          <cell r="B41">
            <v>-395133</v>
          </cell>
          <cell r="C41">
            <v>-1926793</v>
          </cell>
          <cell r="D41">
            <v>0</v>
          </cell>
          <cell r="E41">
            <v>66000</v>
          </cell>
          <cell r="G41">
            <v>-268000</v>
          </cell>
          <cell r="H41">
            <v>374289</v>
          </cell>
          <cell r="I41">
            <v>0</v>
          </cell>
          <cell r="J41">
            <v>993000</v>
          </cell>
          <cell r="K41">
            <v>-8000</v>
          </cell>
          <cell r="L41">
            <v>6805322</v>
          </cell>
          <cell r="M41">
            <v>3488688</v>
          </cell>
          <cell r="N41">
            <v>-317925</v>
          </cell>
          <cell r="O41">
            <v>153412</v>
          </cell>
          <cell r="P41">
            <v>166000</v>
          </cell>
          <cell r="Q41">
            <v>-301249</v>
          </cell>
          <cell r="R41">
            <v>-275000</v>
          </cell>
          <cell r="S41">
            <v>-167632</v>
          </cell>
          <cell r="U41">
            <v>8386979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499181715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1325809108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503520479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1312318934.3800001</v>
      </c>
      <c r="H11" s="60">
        <f>F11-D11</f>
        <v>4338764</v>
      </c>
      <c r="I11" s="38">
        <f>G11-E11</f>
        <v>-13490173.619999886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-24967723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25403042.34</v>
      </c>
      <c r="H12" s="60">
        <f>F12-D12</f>
        <v>0</v>
      </c>
      <c r="I12" s="38">
        <f>G12-E12</f>
        <v>50370765.340000004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244349803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684813976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34267730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70168862</v>
      </c>
      <c r="H13" s="60">
        <f t="shared" ref="H13:I15" si="0">F13-D13</f>
        <v>-210082073</v>
      </c>
      <c r="I13" s="38">
        <f t="shared" si="0"/>
        <v>-614645114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10354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13515715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27362283.140000001</v>
      </c>
      <c r="H15" s="60">
        <f t="shared" si="0"/>
        <v>0</v>
      </c>
      <c r="I15" s="38">
        <f t="shared" si="0"/>
        <v>13846568.140000001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743531518</v>
      </c>
      <c r="E16" s="39">
        <f t="shared" si="1"/>
        <v>1999181430</v>
      </c>
      <c r="F16" s="61">
        <f t="shared" si="1"/>
        <v>537788209</v>
      </c>
      <c r="G16" s="39">
        <f t="shared" si="1"/>
        <v>1435253121.8600001</v>
      </c>
      <c r="H16" s="61">
        <f t="shared" si="1"/>
        <v>-205743309</v>
      </c>
      <c r="I16" s="39">
        <f t="shared" si="1"/>
        <v>-563928308.13999987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-505462232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-1329240790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-510698119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-1335634302.3699999</v>
      </c>
      <c r="H19" s="60">
        <f>F19-D19</f>
        <v>-5235887</v>
      </c>
      <c r="I19" s="38">
        <f>G19-E19</f>
        <v>-6393512.3699998856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-11682554.340000002</v>
      </c>
      <c r="H20" s="60">
        <f>F20-D20</f>
        <v>0</v>
      </c>
      <c r="I20" s="38">
        <f>G20-E20</f>
        <v>-11682554.340000002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-246177313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-689876800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-34267730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-95665978</v>
      </c>
      <c r="H21" s="60">
        <f t="shared" ref="H21:I23" si="2">F21-D21</f>
        <v>211909583</v>
      </c>
      <c r="I21" s="38">
        <f t="shared" si="2"/>
        <v>594210822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2030065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5588673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2586165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6741547.063000001</v>
      </c>
      <c r="H23" s="60">
        <f t="shared" si="2"/>
        <v>556100</v>
      </c>
      <c r="I23" s="38">
        <f t="shared" si="2"/>
        <v>1152874.063000001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-749609480</v>
      </c>
      <c r="E24" s="39">
        <f t="shared" si="3"/>
        <v>-2013528917</v>
      </c>
      <c r="F24" s="61">
        <f t="shared" si="3"/>
        <v>-542379684</v>
      </c>
      <c r="G24" s="39">
        <f t="shared" si="3"/>
        <v>-1436241287.6469998</v>
      </c>
      <c r="H24" s="61">
        <f t="shared" si="3"/>
        <v>207229796</v>
      </c>
      <c r="I24" s="39">
        <f t="shared" si="3"/>
        <v>577287629.35300004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111548603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305574800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32181739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89874169.629999995</v>
      </c>
      <c r="H27" s="60">
        <f>F27-D27</f>
        <v>-79366864</v>
      </c>
      <c r="I27" s="38">
        <f>G27-E27</f>
        <v>-215700630.37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-109711946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-300671408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-32323759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-90271883.370000005</v>
      </c>
      <c r="H28" s="60">
        <f>F28-D28</f>
        <v>77388187</v>
      </c>
      <c r="I28" s="38">
        <f>G28-E28</f>
        <v>210399524.63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1836657</v>
      </c>
      <c r="E29" s="70">
        <f t="shared" si="4"/>
        <v>4903392</v>
      </c>
      <c r="F29" s="69">
        <f t="shared" si="4"/>
        <v>-142020</v>
      </c>
      <c r="G29" s="70">
        <f t="shared" si="4"/>
        <v>-397713.74000000954</v>
      </c>
      <c r="H29" s="69">
        <f t="shared" si="4"/>
        <v>-1978677</v>
      </c>
      <c r="I29" s="70">
        <f t="shared" si="4"/>
        <v>-5301105.7400000095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173084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518044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389942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1335434.843000001</v>
      </c>
      <c r="H32" s="60">
        <f>F32-D32</f>
        <v>216858</v>
      </c>
      <c r="I32" s="38">
        <f>G32-E32</f>
        <v>817390.84300000104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579330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1546257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-422039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-1091108.83</v>
      </c>
      <c r="H33" s="60">
        <f t="shared" ref="H33:I35" si="5">F33-D33</f>
        <v>-1001369</v>
      </c>
      <c r="I33" s="38">
        <f t="shared" si="5"/>
        <v>-2637365.83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-721131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-1967200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164222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404408.61</v>
      </c>
      <c r="H34" s="60">
        <f t="shared" si="5"/>
        <v>885353</v>
      </c>
      <c r="I34" s="38">
        <f t="shared" si="5"/>
        <v>2371608.61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1952346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4438132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0</v>
      </c>
      <c r="H35" s="60">
        <f t="shared" si="5"/>
        <v>-1952346</v>
      </c>
      <c r="I35" s="38">
        <f t="shared" si="5"/>
        <v>-4438132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1983629</v>
      </c>
      <c r="E36" s="39">
        <f t="shared" si="6"/>
        <v>4535233</v>
      </c>
      <c r="F36" s="61">
        <f t="shared" si="6"/>
        <v>132125</v>
      </c>
      <c r="G36" s="39">
        <f t="shared" si="6"/>
        <v>648734.62300000095</v>
      </c>
      <c r="H36" s="61">
        <f t="shared" si="6"/>
        <v>-1851504</v>
      </c>
      <c r="I36" s="39">
        <f t="shared" si="6"/>
        <v>-3886498.3769999994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11441822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30346311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12320747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31781434.950000003</v>
      </c>
      <c r="H39" s="60">
        <f t="shared" ref="H39:I41" si="7">F39-D39</f>
        <v>878925</v>
      </c>
      <c r="I39" s="38">
        <f t="shared" si="7"/>
        <v>1435123.950000003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-9088379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-19651386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-7084709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-16755089.4</v>
      </c>
      <c r="H40" s="60">
        <f t="shared" si="7"/>
        <v>2003670</v>
      </c>
      <c r="I40" s="38">
        <f t="shared" si="7"/>
        <v>2896296.5999999996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433044</v>
      </c>
      <c r="H41" s="60">
        <f t="shared" si="7"/>
        <v>0</v>
      </c>
      <c r="I41" s="38">
        <f t="shared" si="7"/>
        <v>433044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-9088379</v>
      </c>
      <c r="E42" s="70">
        <f t="shared" si="8"/>
        <v>-19651386</v>
      </c>
      <c r="F42" s="69">
        <f t="shared" si="8"/>
        <v>-7084709</v>
      </c>
      <c r="G42" s="70">
        <f t="shared" si="8"/>
        <v>-16322045.4</v>
      </c>
      <c r="H42" s="69">
        <f t="shared" si="8"/>
        <v>2003670</v>
      </c>
      <c r="I42" s="70">
        <f t="shared" si="8"/>
        <v>3329340.5999999996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2353443</v>
      </c>
      <c r="E43" s="39">
        <f t="shared" si="9"/>
        <v>10694925</v>
      </c>
      <c r="F43" s="61">
        <f t="shared" si="9"/>
        <v>5236038</v>
      </c>
      <c r="G43" s="39">
        <f t="shared" si="9"/>
        <v>15459389.550000003</v>
      </c>
      <c r="H43" s="61">
        <f t="shared" si="9"/>
        <v>2882595</v>
      </c>
      <c r="I43" s="39">
        <f t="shared" si="9"/>
        <v>4764464.5500000026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-72799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-186938.57649140671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-634668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-2077463.9564999985</v>
      </c>
      <c r="H49" s="60">
        <f>F49-D49</f>
        <v>-561869</v>
      </c>
      <c r="I49" s="38">
        <f>G49-E49</f>
        <v>-1890525.3800085918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-2010772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-5536187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-2586165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-6741547.063000001</v>
      </c>
      <c r="H51" s="60">
        <f>F51-D51</f>
        <v>-575393</v>
      </c>
      <c r="I51" s="38">
        <f>G51-E51</f>
        <v>-1205360.063000001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-6700800.9500000002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-293974327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-6414050.4199999999</v>
      </c>
      <c r="H54" s="60">
        <f>F54-D54</f>
        <v>-293974327</v>
      </c>
      <c r="I54" s="38">
        <f>G54-E54</f>
        <v>286750.53000000026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-18004354.249999996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-27485560.269999996</v>
      </c>
      <c r="H55" s="60">
        <f>F55-D55</f>
        <v>0</v>
      </c>
      <c r="I55" s="38">
        <f>G55-E55</f>
        <v>-9481206.0199999996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-24705155.199999996</v>
      </c>
      <c r="F56" s="61">
        <f t="shared" si="10"/>
        <v>-293974327</v>
      </c>
      <c r="G56" s="39">
        <f t="shared" si="10"/>
        <v>-33899610.689999998</v>
      </c>
      <c r="H56" s="61">
        <f t="shared" si="10"/>
        <v>-293974327</v>
      </c>
      <c r="I56" s="39">
        <f t="shared" si="10"/>
        <v>-9194455.4899999984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450000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496833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561474.37</v>
      </c>
      <c r="H61" s="69">
        <f t="shared" si="11"/>
        <v>0</v>
      </c>
      <c r="I61" s="70">
        <f t="shared" si="11"/>
        <v>111474.37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49453.27</v>
      </c>
      <c r="H64" s="60">
        <f>F64-D64</f>
        <v>0</v>
      </c>
      <c r="I64" s="38">
        <f>G64-E64</f>
        <v>49453.27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98539211.686099097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128278965.64999999</v>
      </c>
      <c r="H70" s="60">
        <f>F70-D70</f>
        <v>0</v>
      </c>
      <c r="I70" s="38">
        <f>G70-E70</f>
        <v>29739753.963900894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-82381005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-98764371.959999979</v>
      </c>
      <c r="H71" s="60">
        <f>F71-D71</f>
        <v>0</v>
      </c>
      <c r="I71" s="38">
        <f>G71-E71</f>
        <v>-16383366.959999979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16158206.686099097</v>
      </c>
      <c r="F72" s="69">
        <f t="shared" si="13"/>
        <v>0</v>
      </c>
      <c r="G72" s="70">
        <f t="shared" si="13"/>
        <v>29514593.690000013</v>
      </c>
      <c r="H72" s="69">
        <f t="shared" si="13"/>
        <v>0</v>
      </c>
      <c r="I72" s="70">
        <f t="shared" si="13"/>
        <v>13356387.003900915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-328270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-909291</v>
      </c>
      <c r="H73" s="60">
        <f>F73-D73</f>
        <v>0</v>
      </c>
      <c r="I73" s="38">
        <f>G73-E73</f>
        <v>-581021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19504834.9518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3538791.2499999991</v>
      </c>
      <c r="H74" s="60">
        <f t="shared" ref="H74:I79" si="14">F74-D74</f>
        <v>0</v>
      </c>
      <c r="I74" s="38">
        <f t="shared" si="14"/>
        <v>-15966043.7018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-864878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44400</v>
      </c>
      <c r="H75" s="60">
        <f t="shared" si="14"/>
        <v>0</v>
      </c>
      <c r="I75" s="38">
        <f t="shared" si="14"/>
        <v>909278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-36899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-3060.0499999999956</v>
      </c>
      <c r="H76" s="60">
        <f t="shared" si="14"/>
        <v>0</v>
      </c>
      <c r="I76" s="38">
        <f t="shared" si="14"/>
        <v>33838.950000000004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-105000</v>
      </c>
      <c r="H77" s="60">
        <f t="shared" si="14"/>
        <v>0</v>
      </c>
      <c r="I77" s="38">
        <f t="shared" si="14"/>
        <v>1011414.5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0</v>
      </c>
      <c r="H78" s="60">
        <f t="shared" si="14"/>
        <v>0</v>
      </c>
      <c r="I78" s="38">
        <f t="shared" si="14"/>
        <v>-842941.755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-103047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0</v>
      </c>
      <c r="H79" s="60">
        <f t="shared" si="14"/>
        <v>0</v>
      </c>
      <c r="I79" s="38">
        <f t="shared" si="14"/>
        <v>103047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-114082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-202500</v>
      </c>
      <c r="H80" s="60">
        <f>F80-D80</f>
        <v>0</v>
      </c>
      <c r="I80" s="38">
        <f>G80-E80</f>
        <v>-88418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-3304394.11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382241.17999999993</v>
      </c>
      <c r="H81" s="60">
        <f>F81-D81</f>
        <v>0</v>
      </c>
      <c r="I81" s="38">
        <f>G81-E81</f>
        <v>3686635.29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22968</v>
      </c>
      <c r="E82" s="92">
        <f>SUM(E72:E81)+E16+E24+E29+E36+E43+E45+E47+E49+E51+E56+E61+E66</f>
        <v>6445781.0064077377</v>
      </c>
      <c r="F82" s="91">
        <f>F16+F24+F29+F36+F43+F45+F47+F49</f>
        <v>0</v>
      </c>
      <c r="G82" s="92">
        <f>SUM(G72:G81)+G16+G24+G29+G36+G43+G45+G47+G49+G51+G56+G61+G66</f>
        <v>4874725.6465002215</v>
      </c>
      <c r="H82" s="91">
        <f>H16+H24+H29+H36+H43+H45+H47+H49</f>
        <v>-22968</v>
      </c>
      <c r="I82" s="92">
        <f>SUM(I72:I81)+I16+I24+I29+I36+I43+I45+I47+I49+I51+I56+I61+I66</f>
        <v>-1571055.3599075065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1801664.73</v>
      </c>
      <c r="H86" s="145">
        <f t="shared" ref="H86:I88" si="15">F86-D86</f>
        <v>0</v>
      </c>
      <c r="I86" s="145">
        <f t="shared" si="15"/>
        <v>558118.73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-37835</v>
      </c>
      <c r="H87" s="146">
        <f t="shared" si="15"/>
        <v>0</v>
      </c>
      <c r="I87" s="146">
        <f t="shared" si="15"/>
        <v>-37835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-1455000</v>
      </c>
      <c r="H88" s="147">
        <f t="shared" si="15"/>
        <v>0</v>
      </c>
      <c r="I88" s="147">
        <f t="shared" si="15"/>
        <v>-1455000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308829.73</v>
      </c>
      <c r="H89" s="160">
        <f t="shared" si="16"/>
        <v>0</v>
      </c>
      <c r="I89" s="160">
        <f t="shared" si="16"/>
        <v>-934716.27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7689327.0064077377</v>
      </c>
      <c r="F91" s="160">
        <f t="shared" si="17"/>
        <v>0</v>
      </c>
      <c r="G91" s="160">
        <f t="shared" si="17"/>
        <v>5183555.376500221</v>
      </c>
      <c r="H91" s="160">
        <f t="shared" si="17"/>
        <v>-22968</v>
      </c>
      <c r="I91" s="160">
        <f t="shared" si="17"/>
        <v>-2505771.6299075065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C12" activePane="bottomRight" state="frozen"/>
      <selection activeCell="D10" sqref="D10"/>
      <selection pane="topRight" activeCell="D10" sqref="D10"/>
      <selection pane="bottomLeft" activeCell="D10" sqref="D10"/>
      <selection pane="bottomRight" activeCell="E20" sqref="E20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219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-262837.91920000082</v>
      </c>
      <c r="C11" s="65">
        <f t="shared" ref="C11:C27" si="0">+D11-B11</f>
        <v>-44162.080799999181</v>
      </c>
      <c r="D11" s="124">
        <f>+'[2]ST Warroom 99'!$B$7</f>
        <v>-307000</v>
      </c>
      <c r="E11" s="124">
        <f>+F11-D11</f>
        <v>-88133</v>
      </c>
      <c r="F11" s="124">
        <f>+'[2]ST Warroom 99'!$B$41</f>
        <v>-395133</v>
      </c>
      <c r="G11" s="231">
        <f>CE_GL!$E$82</f>
        <v>1148924.81400003</v>
      </c>
      <c r="H11" s="107">
        <f t="shared" ref="H11:H28" si="1">G11-F11</f>
        <v>1544057.81400003</v>
      </c>
      <c r="I11" s="31"/>
      <c r="J11" s="31"/>
    </row>
    <row r="12" spans="1:10" x14ac:dyDescent="0.25">
      <c r="A12" s="101" t="s">
        <v>195</v>
      </c>
      <c r="B12" s="124">
        <f>'SITHE-FLSH'!$M$82</f>
        <v>-25225.545106960606</v>
      </c>
      <c r="C12" s="65">
        <f>+D12-B12</f>
        <v>225.54510696060606</v>
      </c>
      <c r="D12" s="124">
        <f>+'[2]ST Warroom 99'!$N$7</f>
        <v>-25000</v>
      </c>
      <c r="E12" s="124">
        <f>+F12-D12</f>
        <v>-292925</v>
      </c>
      <c r="F12" s="124">
        <f>+'[2]ST Warroom 99'!$N$41</f>
        <v>-317925</v>
      </c>
      <c r="G12" s="168">
        <f>SITHE_GL!$E$82</f>
        <v>-246303.33000000101</v>
      </c>
      <c r="H12" s="107">
        <f>G12-F12</f>
        <v>71621.669999998994</v>
      </c>
      <c r="I12" s="31"/>
      <c r="J12" s="31"/>
    </row>
    <row r="13" spans="1:10" x14ac:dyDescent="0.25">
      <c r="A13" s="101" t="s">
        <v>189</v>
      </c>
      <c r="B13" s="124">
        <f>'ARUBA-FLSH'!$M$82</f>
        <v>-288087.42499999981</v>
      </c>
      <c r="C13" s="65">
        <f>+D13-B13</f>
        <v>87.424999999813735</v>
      </c>
      <c r="D13" s="124">
        <f>+'[2]ST Warroom 99'!$Q$7</f>
        <v>-288000</v>
      </c>
      <c r="E13" s="124">
        <f>+F13-D13</f>
        <v>-13249</v>
      </c>
      <c r="F13" s="124">
        <f>+'[2]ST Warroom 99'!$Q$41</f>
        <v>-301249</v>
      </c>
      <c r="G13" s="168">
        <f>ARUBA_GL!$E$82</f>
        <v>1388451.4575000075</v>
      </c>
      <c r="H13" s="107">
        <f>G13-F13</f>
        <v>1689700.4575000075</v>
      </c>
      <c r="I13" s="31"/>
      <c r="J13" s="31"/>
    </row>
    <row r="14" spans="1:10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5">
      <c r="A15" s="101" t="s">
        <v>156</v>
      </c>
      <c r="B15" s="123">
        <f>'BGC-EGM-FLSH'!$M$82+'EAST-EGM-FLSH'!M82</f>
        <v>-1996625.3689000462</v>
      </c>
      <c r="C15" s="65">
        <f t="shared" si="0"/>
        <v>-2374.6310999537818</v>
      </c>
      <c r="D15" s="123">
        <f>+'[2]ST Warroom 99'!$C$7</f>
        <v>-1999000</v>
      </c>
      <c r="E15" s="124">
        <f t="shared" si="2"/>
        <v>72207</v>
      </c>
      <c r="F15" s="123">
        <f>+'[2]ST Warroom 99'!$C$41</f>
        <v>-1926793</v>
      </c>
      <c r="G15" s="168">
        <f>'BGC-EGM-GL'!$E$82+'EAST-EGM-GL'!E82</f>
        <v>-2927672.5569999879</v>
      </c>
      <c r="H15" s="107">
        <f t="shared" si="1"/>
        <v>-1000879.5569999879</v>
      </c>
      <c r="I15" s="31"/>
      <c r="J15" s="31"/>
    </row>
    <row r="16" spans="1:10" x14ac:dyDescent="0.25">
      <c r="A16" s="101" t="s">
        <v>157</v>
      </c>
      <c r="B16" s="123">
        <f>'EAST-LRC-FLSH'!$M$82</f>
        <v>0</v>
      </c>
      <c r="C16" s="65">
        <f t="shared" si="0"/>
        <v>0</v>
      </c>
      <c r="D16" s="123">
        <f>+'[2]ST Warroom 99'!$D$7</f>
        <v>0</v>
      </c>
      <c r="E16" s="124">
        <f t="shared" si="2"/>
        <v>0</v>
      </c>
      <c r="F16" s="123">
        <f>+'[2]ST Warroom 99'!$D$41</f>
        <v>0</v>
      </c>
      <c r="G16" s="168">
        <f>'EAST-LRC-GL'!$E$82</f>
        <v>-232553.55000000005</v>
      </c>
      <c r="H16" s="107">
        <f t="shared" si="1"/>
        <v>-232553.55000000005</v>
      </c>
      <c r="I16" s="31"/>
      <c r="J16" s="31"/>
    </row>
    <row r="17" spans="1:10" x14ac:dyDescent="0.25">
      <c r="A17" s="101" t="s">
        <v>164</v>
      </c>
      <c r="B17" s="123">
        <f>+'EAST-EGM-FLSH'!M89</f>
        <v>344137</v>
      </c>
      <c r="C17" s="65">
        <f t="shared" si="0"/>
        <v>-278137</v>
      </c>
      <c r="D17" s="123">
        <f>+'[2]ST Warroom 99'!$E$7</f>
        <v>66000</v>
      </c>
      <c r="E17" s="124">
        <f t="shared" si="2"/>
        <v>0</v>
      </c>
      <c r="F17" s="123">
        <f>+'[2]ST Warroom 99'!$E$41</f>
        <v>66000</v>
      </c>
      <c r="G17" s="168">
        <f>+'EAST-EGM-GL'!E89</f>
        <v>65999.69</v>
      </c>
      <c r="H17" s="107">
        <f t="shared" si="1"/>
        <v>-0.30999999999767169</v>
      </c>
      <c r="I17" s="31"/>
      <c r="J17" s="31"/>
    </row>
    <row r="18" spans="1:10" x14ac:dyDescent="0.25">
      <c r="A18" s="101" t="s">
        <v>16</v>
      </c>
      <c r="B18" s="123">
        <f>'TX-EGM-FLSH'!$M$82</f>
        <v>635861.39739185944</v>
      </c>
      <c r="C18" s="65">
        <f t="shared" si="0"/>
        <v>-158861.39739185944</v>
      </c>
      <c r="D18" s="123">
        <f>+'[2]ST Warroom 99'!$H$7</f>
        <v>477000</v>
      </c>
      <c r="E18" s="124">
        <f t="shared" si="2"/>
        <v>-102711</v>
      </c>
      <c r="F18" s="123">
        <f>+'[2]ST Warroom 99'!$H$41</f>
        <v>374289</v>
      </c>
      <c r="G18" s="168">
        <f>'TX-EGM-GL'!$E$91</f>
        <v>-804264.68999999715</v>
      </c>
      <c r="H18" s="107">
        <f t="shared" si="1"/>
        <v>-1178553.6899999972</v>
      </c>
      <c r="I18" s="31"/>
      <c r="J18" s="31"/>
    </row>
    <row r="19" spans="1:10" x14ac:dyDescent="0.25">
      <c r="A19" s="101" t="s">
        <v>182</v>
      </c>
      <c r="B19" s="123">
        <f>'TX-HPLR-FLSH'!$M$82</f>
        <v>-71.340000001364388</v>
      </c>
      <c r="C19" s="65">
        <f t="shared" si="0"/>
        <v>71.340000001364388</v>
      </c>
      <c r="D19" s="123">
        <f>+'[2]ST Warroom 99'!$I$7</f>
        <v>0</v>
      </c>
      <c r="E19" s="124">
        <f t="shared" si="2"/>
        <v>0</v>
      </c>
      <c r="F19" s="123">
        <f>+'[2]ST Warroom 99'!$I$41</f>
        <v>0</v>
      </c>
      <c r="G19" s="168">
        <f>'TX-HPLR-GL '!$E$82</f>
        <v>-248834.00000000006</v>
      </c>
      <c r="H19" s="107">
        <f t="shared" si="1"/>
        <v>-248834.00000000006</v>
      </c>
      <c r="I19" s="31"/>
      <c r="J19" s="31"/>
    </row>
    <row r="20" spans="1:10" x14ac:dyDescent="0.25">
      <c r="A20" s="101" t="s">
        <v>183</v>
      </c>
      <c r="B20" s="123">
        <f>'TX-HPLC-FLSH'!$M$82</f>
        <v>993180.98577122018</v>
      </c>
      <c r="C20" s="65">
        <f t="shared" si="0"/>
        <v>-180.98577122017741</v>
      </c>
      <c r="D20" s="123">
        <f>+'[2]ST Warroom 99'!$J$7</f>
        <v>993000</v>
      </c>
      <c r="E20" s="124">
        <f t="shared" si="2"/>
        <v>0</v>
      </c>
      <c r="F20" s="123">
        <f>+'[2]ST Warroom 99'!$J$41</f>
        <v>993000</v>
      </c>
      <c r="G20" s="168">
        <f>'TX-HPLC-GL'!$E$82</f>
        <v>1666092.0399999917</v>
      </c>
      <c r="H20" s="107">
        <f t="shared" si="1"/>
        <v>673092.03999999166</v>
      </c>
      <c r="I20" s="31"/>
      <c r="J20" s="31"/>
    </row>
    <row r="21" spans="1:10" x14ac:dyDescent="0.25">
      <c r="A21" s="101" t="s">
        <v>176</v>
      </c>
      <c r="B21" s="123">
        <f>'TX-EGM-FLSH'!$M$89</f>
        <v>70072</v>
      </c>
      <c r="C21" s="65">
        <f t="shared" si="0"/>
        <v>-78072</v>
      </c>
      <c r="D21" s="60">
        <f>+'[2]ST Warroom 99'!$K$7</f>
        <v>-8000</v>
      </c>
      <c r="E21" s="124">
        <f t="shared" si="2"/>
        <v>0</v>
      </c>
      <c r="F21" s="60">
        <f>+'[2]ST Warroom 99'!$K$41</f>
        <v>-8000</v>
      </c>
      <c r="G21" s="168">
        <f>'TX-HPLC-GL'!$E$89</f>
        <v>-8000.3699999998789</v>
      </c>
      <c r="H21" s="107">
        <f t="shared" si="1"/>
        <v>-0.36999999987892807</v>
      </c>
      <c r="I21" s="31"/>
      <c r="J21" s="31"/>
    </row>
    <row r="22" spans="1:10" x14ac:dyDescent="0.25">
      <c r="A22" s="101" t="s">
        <v>17</v>
      </c>
      <c r="B22" s="123">
        <f>'WE-FLSH'!$M$82</f>
        <v>3781657.8965133359</v>
      </c>
      <c r="C22" s="65">
        <f t="shared" si="0"/>
        <v>342.10348666412756</v>
      </c>
      <c r="D22" s="123">
        <f>+'[2]ST Warroom 99'!$L$7</f>
        <v>3782000</v>
      </c>
      <c r="E22" s="124">
        <f t="shared" si="2"/>
        <v>3023322</v>
      </c>
      <c r="F22" s="123">
        <f>+'[2]ST Warroom 99'!$L$41</f>
        <v>6805322</v>
      </c>
      <c r="G22" s="168">
        <f>'WE-GL '!$E$82</f>
        <v>11327724.879999982</v>
      </c>
      <c r="H22" s="107">
        <f t="shared" si="1"/>
        <v>4522402.8799999822</v>
      </c>
      <c r="I22" s="31"/>
      <c r="J22" s="31"/>
    </row>
    <row r="23" spans="1:10" x14ac:dyDescent="0.25">
      <c r="A23" s="101" t="s">
        <v>199</v>
      </c>
      <c r="B23" s="123">
        <f>'DEN-FLSH'!$M$82</f>
        <v>-89147.870060864603</v>
      </c>
      <c r="C23" s="65">
        <f>+D23-B23</f>
        <v>147.87006086460315</v>
      </c>
      <c r="D23" s="123">
        <f>+'[2]ST Warroom 99'!$S$7</f>
        <v>-89000</v>
      </c>
      <c r="E23" s="124">
        <f>+F23-D23</f>
        <v>-78632</v>
      </c>
      <c r="F23" s="123">
        <f>+'[2]ST Warroom 99'!$S$41</f>
        <v>-167632</v>
      </c>
      <c r="G23" s="168">
        <f>'DEN-GL'!$E$82</f>
        <v>46272.220000000321</v>
      </c>
      <c r="H23" s="107">
        <f>G23-F23</f>
        <v>213904.22000000032</v>
      </c>
      <c r="I23" s="31"/>
      <c r="J23" s="31"/>
    </row>
    <row r="24" spans="1:10" x14ac:dyDescent="0.25">
      <c r="A24" s="101" t="s">
        <v>211</v>
      </c>
      <c r="B24" s="123">
        <f>'DEN-FLSH'!$M$89</f>
        <v>405697</v>
      </c>
      <c r="C24" s="65">
        <f>+D24-B24</f>
        <v>-680697</v>
      </c>
      <c r="D24" s="123">
        <f>+'[2]ST Warroom 99'!$R$7</f>
        <v>-275000</v>
      </c>
      <c r="E24" s="124">
        <f>+F24-D24</f>
        <v>0</v>
      </c>
      <c r="F24" s="123">
        <f>+'[2]ST Warroom 99'!$R$41</f>
        <v>-275000</v>
      </c>
      <c r="G24" s="168">
        <f>'DEN-GL'!$E$89</f>
        <v>-324577.77</v>
      </c>
      <c r="H24" s="107">
        <f>G24-F24</f>
        <v>-49577.770000000019</v>
      </c>
      <c r="I24" s="31"/>
      <c r="J24" s="31"/>
    </row>
    <row r="25" spans="1:10" x14ac:dyDescent="0.25">
      <c r="A25" s="101" t="s">
        <v>18</v>
      </c>
      <c r="B25" s="123">
        <f>STG_FLSH!$M$82</f>
        <v>3814751</v>
      </c>
      <c r="C25" s="65">
        <f t="shared" si="0"/>
        <v>249</v>
      </c>
      <c r="D25" s="123">
        <f>+'[2]ST Warroom 99'!$M$7</f>
        <v>3815000</v>
      </c>
      <c r="E25" s="124">
        <f t="shared" si="2"/>
        <v>-326312</v>
      </c>
      <c r="F25" s="123">
        <f>+'[2]ST Warroom 99'!$M$41</f>
        <v>3488688</v>
      </c>
      <c r="G25" s="168">
        <f>STG_GL!$E$82</f>
        <v>2765806.950000003</v>
      </c>
      <c r="H25" s="107">
        <f t="shared" si="1"/>
        <v>-722881.04999999702</v>
      </c>
      <c r="I25" s="31"/>
      <c r="J25" s="31"/>
    </row>
    <row r="26" spans="1:10" x14ac:dyDescent="0.25">
      <c r="A26" s="101" t="s">
        <v>158</v>
      </c>
      <c r="B26" s="123">
        <f>ONT_FLSH!$M$82</f>
        <v>149869.00289828659</v>
      </c>
      <c r="C26" s="65">
        <f t="shared" si="0"/>
        <v>130.99710171340848</v>
      </c>
      <c r="D26" s="123">
        <f>+'[2]ST Warroom 99'!$O$7</f>
        <v>150000</v>
      </c>
      <c r="E26" s="124">
        <f t="shared" si="2"/>
        <v>3412</v>
      </c>
      <c r="F26" s="123">
        <f>+'[2]ST Warroom 99'!$O$41</f>
        <v>153412</v>
      </c>
      <c r="G26" s="168">
        <f>'ONT_GL '!$E$82</f>
        <v>-5198577.9999999749</v>
      </c>
      <c r="H26" s="107">
        <f t="shared" si="1"/>
        <v>-5351989.9999999749</v>
      </c>
      <c r="I26" s="31"/>
      <c r="J26" s="31"/>
    </row>
    <row r="27" spans="1:10" x14ac:dyDescent="0.25">
      <c r="A27" s="101" t="s">
        <v>163</v>
      </c>
      <c r="B27" s="123">
        <f>ONT_FLSH!$M$89</f>
        <v>423640</v>
      </c>
      <c r="C27" s="65">
        <f t="shared" si="0"/>
        <v>-257640</v>
      </c>
      <c r="D27" s="168">
        <f>+'[2]ST Warroom 99'!$P$7</f>
        <v>166000</v>
      </c>
      <c r="E27" s="124">
        <f t="shared" si="2"/>
        <v>0</v>
      </c>
      <c r="F27" s="168">
        <f>+'[2]ST Warroom 99'!$P$41</f>
        <v>166000</v>
      </c>
      <c r="G27" s="168">
        <f>+'ONT_GL '!E89</f>
        <v>165999.51</v>
      </c>
      <c r="H27" s="107">
        <f t="shared" si="1"/>
        <v>-0.48999999999068677</v>
      </c>
      <c r="I27" s="31"/>
      <c r="J27" s="31"/>
    </row>
    <row r="28" spans="1:10" x14ac:dyDescent="0.25">
      <c r="A28" s="138" t="s">
        <v>113</v>
      </c>
      <c r="B28" s="123">
        <f>+BUG_FLSH!M82</f>
        <v>-267543.80789919011</v>
      </c>
      <c r="C28" s="65">
        <f>+D28-B28</f>
        <v>-456.19210080988705</v>
      </c>
      <c r="D28" s="123">
        <f>+'[2]ST Warroom 99'!$G$7</f>
        <v>-268000</v>
      </c>
      <c r="E28" s="124">
        <f t="shared" si="2"/>
        <v>0</v>
      </c>
      <c r="F28" s="123">
        <f>+'[2]ST Warroom 99'!$G$41</f>
        <v>-268000</v>
      </c>
      <c r="G28" s="168">
        <f>+BUG_GL!E82</f>
        <v>-3400931.9179999977</v>
      </c>
      <c r="H28" s="107">
        <f t="shared" si="1"/>
        <v>-3132931.9179999977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7689327.006407639</v>
      </c>
      <c r="C29" s="61">
        <f t="shared" si="3"/>
        <v>-1499327.0064076385</v>
      </c>
      <c r="D29" s="61">
        <f t="shared" si="3"/>
        <v>6190000</v>
      </c>
      <c r="E29" s="61">
        <f t="shared" si="3"/>
        <v>2196979</v>
      </c>
      <c r="F29" s="61">
        <f t="shared" si="3"/>
        <v>8386979</v>
      </c>
      <c r="G29" s="61">
        <f t="shared" si="3"/>
        <v>5183555.3765000571</v>
      </c>
      <c r="H29" s="108">
        <f t="shared" si="3"/>
        <v>-3203423.6234999439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7689327.0064077377</v>
      </c>
      <c r="C30" s="103">
        <f>+C29</f>
        <v>-1499327.0064076385</v>
      </c>
      <c r="D30" s="103">
        <f>+'[2]ST Warroom 99'!$U$7</f>
        <v>6190000</v>
      </c>
      <c r="E30" s="103">
        <f>+'[2]ST Warroom 99'!$U$24</f>
        <v>2196979</v>
      </c>
      <c r="F30" s="103">
        <f>+'[2]ST Warroom 99'!$U$41</f>
        <v>8386979</v>
      </c>
      <c r="G30" s="103">
        <f>TOTAL!$G$91</f>
        <v>5183555.376500221</v>
      </c>
      <c r="H30" s="179">
        <f>+[1]OAvsACT!$G$59</f>
        <v>-3203360.0999999959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63.523499947972596</v>
      </c>
      <c r="I31" s="45"/>
      <c r="J31" s="45"/>
    </row>
    <row r="32" spans="1:10" x14ac:dyDescent="0.25">
      <c r="B32" s="45">
        <f t="shared" ref="B32:G32" si="4">+B29-B30</f>
        <v>-9.8720192909240723E-8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-1.6391277313232422E-7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A19" sqref="A19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0003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0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5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A75" sqref="A75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0003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16967780.34</v>
      </c>
      <c r="F12" s="65"/>
      <c r="G12" s="38">
        <v>-5370359.4800000004</v>
      </c>
      <c r="H12" s="65"/>
      <c r="I12" s="38">
        <v>715209.96</v>
      </c>
      <c r="J12" s="65">
        <v>0</v>
      </c>
      <c r="K12" s="38">
        <v>3306029.27</v>
      </c>
      <c r="L12" s="65"/>
      <c r="M12" s="38">
        <v>-147054.67000000001</v>
      </c>
      <c r="N12" s="65"/>
      <c r="O12" s="38">
        <v>0</v>
      </c>
      <c r="P12" s="65"/>
      <c r="Q12" s="38">
        <v>11346039.58</v>
      </c>
      <c r="R12" s="65"/>
      <c r="S12" s="38">
        <v>28116.17</v>
      </c>
      <c r="T12" s="65"/>
      <c r="U12" s="38">
        <v>-2901.6</v>
      </c>
      <c r="V12" s="65"/>
      <c r="W12" s="38">
        <v>-3186873.06</v>
      </c>
      <c r="X12" s="65">
        <v>0</v>
      </c>
      <c r="Y12" s="38">
        <v>-289230.28000000003</v>
      </c>
      <c r="Z12" s="65"/>
      <c r="AA12" s="38">
        <v>0</v>
      </c>
      <c r="AB12" s="65">
        <v>0</v>
      </c>
      <c r="AC12" s="38">
        <v>11259097.26</v>
      </c>
      <c r="AD12" s="65"/>
      <c r="AE12" s="38">
        <v>-690292.81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229">
        <f t="shared" si="1"/>
        <v>16967780.34</v>
      </c>
      <c r="F16" s="61">
        <f t="shared" si="1"/>
        <v>0</v>
      </c>
      <c r="G16" s="39">
        <f t="shared" si="1"/>
        <v>-5370359.4800000004</v>
      </c>
      <c r="H16" s="61">
        <f>SUM(H11:H15)</f>
        <v>0</v>
      </c>
      <c r="I16" s="39">
        <f>SUM(I11:I15)</f>
        <v>715209.96</v>
      </c>
      <c r="J16" s="61">
        <f t="shared" si="1"/>
        <v>0</v>
      </c>
      <c r="K16" s="39">
        <f t="shared" si="1"/>
        <v>3306029.27</v>
      </c>
      <c r="L16" s="61">
        <f t="shared" si="1"/>
        <v>0</v>
      </c>
      <c r="M16" s="39">
        <f t="shared" si="1"/>
        <v>-147054.67000000001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11346039.58</v>
      </c>
      <c r="R16" s="61">
        <f>SUM(R11:R15)</f>
        <v>0</v>
      </c>
      <c r="S16" s="39">
        <f>SUM(S11:S15)</f>
        <v>28116.17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-3186873.06</v>
      </c>
      <c r="X16" s="61">
        <f>SUM(X11:X15)</f>
        <v>0</v>
      </c>
      <c r="Y16" s="39">
        <f>SUM(Y11:Y15)</f>
        <v>-289230.28000000003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11259097.26</v>
      </c>
      <c r="AD16" s="61">
        <f>SUM(AD11:AD15)</f>
        <v>0</v>
      </c>
      <c r="AE16" s="39">
        <f>SUM(AE11:AE15)</f>
        <v>-690292.81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-11682554.339999998</v>
      </c>
      <c r="F20" s="65"/>
      <c r="G20" s="38">
        <v>-12154.06</v>
      </c>
      <c r="H20" s="65"/>
      <c r="I20" s="38">
        <v>-335726</v>
      </c>
      <c r="J20" s="65"/>
      <c r="K20" s="38">
        <v>-5577675.8399999999</v>
      </c>
      <c r="L20" s="65"/>
      <c r="M20" s="38">
        <v>-65719.960000000006</v>
      </c>
      <c r="N20" s="65"/>
      <c r="O20" s="38">
        <v>0</v>
      </c>
      <c r="P20" s="65"/>
      <c r="Q20" s="38">
        <v>-2403190.42</v>
      </c>
      <c r="R20" s="65"/>
      <c r="S20" s="38">
        <v>-188616.18</v>
      </c>
      <c r="T20" s="65"/>
      <c r="U20" s="38">
        <v>0</v>
      </c>
      <c r="V20" s="65"/>
      <c r="W20" s="38">
        <v>1741459.37</v>
      </c>
      <c r="X20" s="65"/>
      <c r="Y20" s="38">
        <v>-714575.09</v>
      </c>
      <c r="Z20" s="65"/>
      <c r="AA20" s="38">
        <v>0</v>
      </c>
      <c r="AB20" s="65">
        <v>0</v>
      </c>
      <c r="AC20" s="38">
        <v>-15950612.970000001</v>
      </c>
      <c r="AD20" s="65"/>
      <c r="AE20" s="38">
        <v>-66483.69</v>
      </c>
      <c r="AF20" s="65"/>
      <c r="AG20" s="38">
        <v>11890740.5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229">
        <f t="shared" si="3"/>
        <v>-11682554.339999998</v>
      </c>
      <c r="F24" s="61">
        <f t="shared" si="3"/>
        <v>0</v>
      </c>
      <c r="G24" s="39">
        <f t="shared" si="3"/>
        <v>-12154.06</v>
      </c>
      <c r="H24" s="61">
        <f>SUM(H19:H23)</f>
        <v>0</v>
      </c>
      <c r="I24" s="39">
        <f>SUM(I19:I23)</f>
        <v>-335726</v>
      </c>
      <c r="J24" s="61">
        <f t="shared" si="3"/>
        <v>0</v>
      </c>
      <c r="K24" s="39">
        <f t="shared" si="3"/>
        <v>-5577675.8399999999</v>
      </c>
      <c r="L24" s="61">
        <f t="shared" si="3"/>
        <v>0</v>
      </c>
      <c r="M24" s="39">
        <f t="shared" si="3"/>
        <v>-65719.960000000006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-2403190.42</v>
      </c>
      <c r="R24" s="61">
        <f>SUM(R19:R23)</f>
        <v>0</v>
      </c>
      <c r="S24" s="39">
        <f>SUM(S19:S23)</f>
        <v>-188616.18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1741459.37</v>
      </c>
      <c r="X24" s="61">
        <f>SUM(X19:X23)</f>
        <v>0</v>
      </c>
      <c r="Y24" s="39">
        <f>SUM(Y19:Y23)</f>
        <v>-714575.09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-15950612.970000001</v>
      </c>
      <c r="AD24" s="61">
        <f>SUM(AD19:AD23)</f>
        <v>0</v>
      </c>
      <c r="AE24" s="39">
        <f>SUM(AE19:AE23)</f>
        <v>-66483.69</v>
      </c>
      <c r="AF24" s="61">
        <f t="shared" si="3"/>
        <v>0</v>
      </c>
      <c r="AG24" s="39">
        <f t="shared" si="3"/>
        <v>11890740.5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23">
        <f>G54+K54+M54+O54+Q54+U54+W54+AA54+AC54+AG54+Y54+I54+AE54+S54</f>
        <v>-1293893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-1293893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-1293893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-1293893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98539211.649999991</v>
      </c>
      <c r="F70" s="60"/>
      <c r="G70" s="38">
        <v>5834127.9100000001</v>
      </c>
      <c r="H70" s="60"/>
      <c r="I70" s="38">
        <v>-1948054</v>
      </c>
      <c r="J70" s="60"/>
      <c r="K70" s="38">
        <v>1165617.6100000001</v>
      </c>
      <c r="L70" s="60"/>
      <c r="M70" s="38">
        <v>0</v>
      </c>
      <c r="N70" s="60"/>
      <c r="O70" s="38">
        <v>0</v>
      </c>
      <c r="P70" s="60">
        <v>0</v>
      </c>
      <c r="Q70" s="38">
        <v>4676254</v>
      </c>
      <c r="R70" s="60"/>
      <c r="S70" s="38">
        <v>1275</v>
      </c>
      <c r="T70" s="60"/>
      <c r="U70" s="38">
        <v>0</v>
      </c>
      <c r="V70" s="60">
        <v>0</v>
      </c>
      <c r="W70" s="38">
        <v>-8691498.1899999995</v>
      </c>
      <c r="X70" s="60">
        <v>0</v>
      </c>
      <c r="Y70" s="38">
        <v>0</v>
      </c>
      <c r="Z70" s="60">
        <v>0</v>
      </c>
      <c r="AA70" s="38">
        <v>98380002</v>
      </c>
      <c r="AB70" s="60"/>
      <c r="AC70" s="38">
        <v>115486.02</v>
      </c>
      <c r="AD70" s="60"/>
      <c r="AE70" s="38">
        <v>-344118.43</v>
      </c>
      <c r="AF70" s="60"/>
      <c r="AG70" s="38">
        <v>-649880.27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-98764371.959999979</v>
      </c>
      <c r="F71" s="60"/>
      <c r="G71" s="38">
        <v>-4506255</v>
      </c>
      <c r="H71" s="60"/>
      <c r="I71" s="38">
        <f>-8290601+10238655-10461372.94</f>
        <v>-8513318.9399999995</v>
      </c>
      <c r="J71" s="60"/>
      <c r="K71" s="38">
        <v>-563222</v>
      </c>
      <c r="L71" s="60"/>
      <c r="M71" s="38">
        <v>0</v>
      </c>
      <c r="N71" s="60"/>
      <c r="O71" s="38">
        <v>0</v>
      </c>
      <c r="P71" s="60"/>
      <c r="Q71" s="38">
        <v>-2516504.2799999998</v>
      </c>
      <c r="R71" s="60"/>
      <c r="S71" s="38">
        <v>9099</v>
      </c>
      <c r="T71" s="60"/>
      <c r="U71" s="38">
        <v>0</v>
      </c>
      <c r="V71" s="60"/>
      <c r="W71" s="38">
        <v>7489614.6200000001</v>
      </c>
      <c r="X71" s="60"/>
      <c r="Y71" s="38">
        <v>0</v>
      </c>
      <c r="Z71" s="60"/>
      <c r="AA71" s="38">
        <f>-97470711+6135470.95</f>
        <v>-91335240.049999997</v>
      </c>
      <c r="AB71" s="60"/>
      <c r="AC71" s="38">
        <v>-1556139.52</v>
      </c>
      <c r="AD71" s="60"/>
      <c r="AE71" s="38">
        <v>259749.42</v>
      </c>
      <c r="AF71" s="60"/>
      <c r="AG71" s="38">
        <v>2467844.79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-225160.30999998748</v>
      </c>
      <c r="F72" s="61">
        <f t="shared" si="13"/>
        <v>0</v>
      </c>
      <c r="G72" s="183">
        <f t="shared" si="13"/>
        <v>1327872.9100000001</v>
      </c>
      <c r="H72" s="61">
        <f>SUM(H70:H71)</f>
        <v>0</v>
      </c>
      <c r="I72" s="183">
        <f>SUM(I70:I71)</f>
        <v>-10461372.939999999</v>
      </c>
      <c r="J72" s="61">
        <f t="shared" si="13"/>
        <v>0</v>
      </c>
      <c r="K72" s="183">
        <f t="shared" si="13"/>
        <v>602395.6100000001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2159749.7200000002</v>
      </c>
      <c r="R72" s="61">
        <f>SUM(R70:R71)</f>
        <v>0</v>
      </c>
      <c r="S72" s="39">
        <f>SUM(S70:S71)</f>
        <v>10374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-1201883.5699999994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7044761.950000003</v>
      </c>
      <c r="AB72" s="61">
        <f t="shared" si="13"/>
        <v>0</v>
      </c>
      <c r="AC72" s="39">
        <f t="shared" si="13"/>
        <v>-1440653.5</v>
      </c>
      <c r="AD72" s="61">
        <f>SUM(AD70:AD71)</f>
        <v>0</v>
      </c>
      <c r="AE72" s="183">
        <f>SUM(AE70:AE71)</f>
        <v>-84369.00999999998</v>
      </c>
      <c r="AF72" s="61">
        <f t="shared" si="13"/>
        <v>0</v>
      </c>
      <c r="AG72" s="183">
        <f t="shared" si="13"/>
        <v>1817964.52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82">
        <f t="shared" ref="E73:E81" si="15">G73+K73+M73+O73+Q73+U73+W73+AA73+AC73+AG73+Y73+I73+AE73+S73</f>
        <v>-909291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-909291</v>
      </c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15126773.890000001</v>
      </c>
      <c r="F74" s="65"/>
      <c r="G74" s="66">
        <f>-2688636.37</f>
        <v>-2688636.37</v>
      </c>
      <c r="H74" s="65"/>
      <c r="I74" s="66">
        <v>185518.68</v>
      </c>
      <c r="J74" s="65"/>
      <c r="K74" s="66">
        <f>-825834.8-296532</f>
        <v>-1122366.8</v>
      </c>
      <c r="L74" s="65"/>
      <c r="M74" s="66">
        <v>0</v>
      </c>
      <c r="N74" s="65"/>
      <c r="O74" s="66">
        <v>0</v>
      </c>
      <c r="P74" s="65"/>
      <c r="Q74" s="66">
        <v>6011074.54</v>
      </c>
      <c r="R74" s="65"/>
      <c r="S74" s="66">
        <v>45044.78</v>
      </c>
      <c r="T74" s="65"/>
      <c r="U74" s="66">
        <v>0</v>
      </c>
      <c r="V74" s="65"/>
      <c r="W74" s="66">
        <v>-63468.65</v>
      </c>
      <c r="X74" s="65"/>
      <c r="Y74" s="66">
        <f>8471131.66-2138554.25</f>
        <v>6332577.4100000001</v>
      </c>
      <c r="Z74" s="65"/>
      <c r="AA74" s="180">
        <v>2564016</v>
      </c>
      <c r="AB74" s="65"/>
      <c r="AC74" s="180">
        <v>7670330.29</v>
      </c>
      <c r="AD74" s="65"/>
      <c r="AE74" s="66">
        <v>-550</v>
      </c>
      <c r="AF74" s="65"/>
      <c r="AG74" s="180">
        <v>-3806765.99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44400</v>
      </c>
      <c r="F75" s="65"/>
      <c r="G75" s="38">
        <v>76200</v>
      </c>
      <c r="H75" s="65"/>
      <c r="I75" s="38">
        <v>0</v>
      </c>
      <c r="J75" s="65"/>
      <c r="K75" s="38">
        <v>-34400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2600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-2158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-2158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-105000</v>
      </c>
      <c r="F77" s="65"/>
      <c r="G77" s="38"/>
      <c r="H77" s="65"/>
      <c r="I77" s="38"/>
      <c r="J77" s="65"/>
      <c r="K77" s="38">
        <v>-105000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311714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18232611.580000013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92">
        <f>SUM(I72:I81)+I16+I24+I29+I36+I43+I45+I47+I49+I51+I56+I61+I66</f>
        <v>-9896370.3000000007</v>
      </c>
      <c r="J82" s="91">
        <f>J16+J24+J29+J36+J43+J45+J47+J49</f>
        <v>0</v>
      </c>
      <c r="K82" s="92">
        <f>SUM(K72:K81)+K16+K24+K29+K36+K43+K45+K47+K49+K51+K56+K61+K66</f>
        <v>-2931017.76</v>
      </c>
      <c r="L82" s="91">
        <f>L16+L24+L29+L36+L43+L45+L47+L49</f>
        <v>0</v>
      </c>
      <c r="M82" s="92">
        <f>SUM(M72:M81)+M16+M24+M29+M36+M43+M45+M47+M49+M51+M56+M61+M66</f>
        <v>-212774.63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17113673.420000002</v>
      </c>
      <c r="R82" s="91">
        <f>R16+R24+R29+R36+R43+R45+R47+R49</f>
        <v>0</v>
      </c>
      <c r="S82" s="92">
        <f>SUM(S72:S81)+S16+S24+S29+S36+S43+S45+S47+S49+S51+S56+S61+S66</f>
        <v>206632.77000000002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-2708165.9099999992</v>
      </c>
      <c r="X82" s="91">
        <f>X16+X24+X29+X36+X43+X45+X47+X49</f>
        <v>0</v>
      </c>
      <c r="Y82" s="92">
        <f>SUM(Y72:Y81)+Y16+Y24+Y29+Y36+Y43+Y45+Y47+Y49+Y51+Y56+Y61+Y66</f>
        <v>4034879.04</v>
      </c>
      <c r="Z82" s="91">
        <f>Z16+Z24+Z29+Z36+Z43+Z45+Z47+Z49</f>
        <v>0</v>
      </c>
      <c r="AA82" s="92">
        <f>SUM(AA72:AA81)+AA16+AA24+AA29+AA36+AA43+AA45+AA47+AA49+AA51+AA56+AA61+AA66</f>
        <v>8697328.950000003</v>
      </c>
      <c r="AB82" s="91">
        <f>AB16+AB24+AB29+AB36+AB43+AB45+AB47+AB49</f>
        <v>0</v>
      </c>
      <c r="AC82" s="92">
        <f>SUM(AC72:AC81)+AC16+AC24+AC29+AC36+AC43+AC45+AC47+AC49+AC51+AC56+AC61+AC66</f>
        <v>1538161.08</v>
      </c>
      <c r="AD82" s="91">
        <f>AD16+AD24+AD29+AD36+AD43+AD45+AD47+AD49</f>
        <v>0</v>
      </c>
      <c r="AE82" s="92">
        <f>SUM(AE72:AE81)+AE16+AE24+AE29+AE36+AE43+AE45+AE47+AE49+AE51+AE56+AE61+AE66</f>
        <v>-841695.51</v>
      </c>
      <c r="AF82" s="91">
        <f>AF16+AF24+AF29+AF36+AF43+AF45+AF47+AF49</f>
        <v>0</v>
      </c>
      <c r="AG82" s="92">
        <f>SUM(AG72:AG81)+AG16+AG24+AG29+AG36+AG43+AG45+AG47+AG49+AG51+AG56+AG61+AG66</f>
        <v>9901939.0299999993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269082.06000000006</v>
      </c>
      <c r="F86" s="145"/>
      <c r="G86" s="145">
        <v>0</v>
      </c>
      <c r="H86" s="145"/>
      <c r="I86" s="145">
        <v>0</v>
      </c>
      <c r="J86" s="145"/>
      <c r="K86" s="184">
        <v>330612.69</v>
      </c>
      <c r="L86" s="145"/>
      <c r="M86" s="145"/>
      <c r="N86" s="145"/>
      <c r="O86" s="145"/>
      <c r="P86" s="145"/>
      <c r="Q86" s="145"/>
      <c r="R86" s="145"/>
      <c r="S86" s="145">
        <v>-324309.77</v>
      </c>
      <c r="T86" s="145"/>
      <c r="U86" s="145"/>
      <c r="V86" s="145"/>
      <c r="W86" s="145">
        <v>0</v>
      </c>
      <c r="X86" s="145"/>
      <c r="Y86" s="145">
        <f>5576.66-723748.76-409408.67+1243742.11+41758.09-51781.8</f>
        <v>106137.63000000008</v>
      </c>
      <c r="Z86" s="145"/>
      <c r="AA86" s="145"/>
      <c r="AB86" s="145"/>
      <c r="AC86" s="145">
        <f>156641.51-1440653.5+1556139.52-115486.02</f>
        <v>156641.51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-22020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-21752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-1455000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-1455000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-1207937.94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330612.69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-324577.77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-1348862.3699999999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134889.51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17024673.640000012</v>
      </c>
      <c r="F91" s="160">
        <f t="shared" si="19"/>
        <v>0</v>
      </c>
      <c r="G91" s="160">
        <f t="shared" si="19"/>
        <v>-6667077</v>
      </c>
      <c r="H91" s="160">
        <f>+H82+H89</f>
        <v>0</v>
      </c>
      <c r="I91" s="160">
        <f>+I82+I89</f>
        <v>-9896370.3000000007</v>
      </c>
      <c r="J91" s="160">
        <f t="shared" si="19"/>
        <v>0</v>
      </c>
      <c r="K91" s="160">
        <f t="shared" si="19"/>
        <v>-2600405.0699999998</v>
      </c>
      <c r="L91" s="160">
        <f t="shared" si="19"/>
        <v>0</v>
      </c>
      <c r="M91" s="160">
        <f t="shared" si="19"/>
        <v>-212774.63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17113673.420000002</v>
      </c>
      <c r="R91" s="160">
        <f>+R82+R89</f>
        <v>0</v>
      </c>
      <c r="S91" s="160">
        <f>+S82+S89</f>
        <v>-117945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-2708165.9099999992</v>
      </c>
      <c r="X91" s="160">
        <f>+X82+X89</f>
        <v>0</v>
      </c>
      <c r="Y91" s="160">
        <f>+Y82+Y89</f>
        <v>2686016.67</v>
      </c>
      <c r="Z91" s="160">
        <f t="shared" si="20"/>
        <v>0</v>
      </c>
      <c r="AA91" s="160">
        <f t="shared" si="20"/>
        <v>8697328.950000003</v>
      </c>
      <c r="AB91" s="160">
        <f t="shared" si="20"/>
        <v>0</v>
      </c>
      <c r="AC91" s="160">
        <f t="shared" si="20"/>
        <v>1673050.59</v>
      </c>
      <c r="AD91" s="160">
        <f>+AD82+AD89</f>
        <v>0</v>
      </c>
      <c r="AE91" s="160">
        <f>+AE82+AE89</f>
        <v>-841695.51</v>
      </c>
      <c r="AF91" s="160">
        <f t="shared" si="20"/>
        <v>0</v>
      </c>
      <c r="AG91" s="160">
        <f t="shared" si="20"/>
        <v>9901939.0299999993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20411999.890000001</v>
      </c>
      <c r="G94" s="163">
        <f>+G12+G20+G74</f>
        <v>-8071149.9100000001</v>
      </c>
      <c r="I94" s="163">
        <f>+I12+I20+I74</f>
        <v>565002.6399999999</v>
      </c>
      <c r="K94" s="163">
        <f>+K12+K20+K74</f>
        <v>-3394013.37</v>
      </c>
      <c r="M94" s="163">
        <f>+M12+M20+M74</f>
        <v>-212774.63</v>
      </c>
      <c r="O94" s="163">
        <f>+O12+O20+O74</f>
        <v>0</v>
      </c>
      <c r="Q94" s="163">
        <f>+Q12+Q20+Q74</f>
        <v>14953923.699999999</v>
      </c>
      <c r="S94" s="163">
        <f>+S12+S20+S74</f>
        <v>-115455.23000000001</v>
      </c>
      <c r="U94" s="163">
        <f>+U12+U20+U74</f>
        <v>-2901.6</v>
      </c>
      <c r="W94" s="163">
        <f>+W12+W20+W74</f>
        <v>-1508882.3399999999</v>
      </c>
      <c r="Y94" s="163">
        <f>+Y12+Y20+Y74</f>
        <v>5328772.04</v>
      </c>
      <c r="AA94" s="163">
        <f>+AA12+AA20+AA74</f>
        <v>2564016</v>
      </c>
      <c r="AC94" s="163">
        <f>+AC12+AC20+AC74</f>
        <v>2978814.5799999991</v>
      </c>
      <c r="AE94" s="163">
        <f>+AE12+AE20+AE74</f>
        <v>-757326.5</v>
      </c>
      <c r="AG94" s="163">
        <f>+AG12+AG20+AG74</f>
        <v>8083974.5099999998</v>
      </c>
    </row>
    <row r="95" spans="1:34" x14ac:dyDescent="0.25">
      <c r="A95" s="4"/>
      <c r="B95" s="3"/>
      <c r="E95" s="171">
        <v>20412000</v>
      </c>
    </row>
    <row r="96" spans="1:34" x14ac:dyDescent="0.25">
      <c r="A96" s="4"/>
      <c r="B96" s="3"/>
      <c r="E96" s="171">
        <f>+E94-E95</f>
        <v>-0.10999999940395355</v>
      </c>
    </row>
    <row r="97" spans="1:5" x14ac:dyDescent="0.25">
      <c r="A97" s="4"/>
      <c r="B97" s="3"/>
      <c r="E97" s="171">
        <v>369377</v>
      </c>
    </row>
    <row r="98" spans="1:5" x14ac:dyDescent="0.25">
      <c r="A98" s="4"/>
      <c r="B98" s="3"/>
      <c r="E98" s="171">
        <f>+E97-E96</f>
        <v>369377.1099999994</v>
      </c>
    </row>
    <row r="99" spans="1:5" x14ac:dyDescent="0.25">
      <c r="A99" s="4"/>
      <c r="B99" s="3"/>
      <c r="E99" s="171">
        <v>-72845</v>
      </c>
    </row>
    <row r="100" spans="1:5" x14ac:dyDescent="0.25">
      <c r="A100" s="4"/>
      <c r="B100" s="3"/>
      <c r="E100" s="171">
        <f>+E98+E99</f>
        <v>296532.1099999994</v>
      </c>
    </row>
    <row r="101" spans="1:5" x14ac:dyDescent="0.25">
      <c r="A101" s="4"/>
      <c r="B101" s="3"/>
    </row>
    <row r="102" spans="1:5" x14ac:dyDescent="0.25">
      <c r="A102" s="4"/>
      <c r="B102" s="3"/>
    </row>
    <row r="103" spans="1:5" x14ac:dyDescent="0.25">
      <c r="A103" s="4"/>
      <c r="B103" s="3"/>
    </row>
    <row r="104" spans="1:5" x14ac:dyDescent="0.25">
      <c r="A104" s="4"/>
      <c r="B104" s="3"/>
    </row>
    <row r="105" spans="1:5" x14ac:dyDescent="0.25">
      <c r="A105" s="4"/>
      <c r="B105" s="3"/>
    </row>
    <row r="106" spans="1:5" x14ac:dyDescent="0.25">
      <c r="A106" s="4"/>
      <c r="B106" s="3"/>
    </row>
    <row r="107" spans="1:5" x14ac:dyDescent="0.25">
      <c r="A107" s="4"/>
      <c r="B107" s="3"/>
    </row>
    <row r="108" spans="1:5" x14ac:dyDescent="0.25">
      <c r="A108" s="4"/>
      <c r="B108" s="3"/>
    </row>
    <row r="109" spans="1:5" x14ac:dyDescent="0.25">
      <c r="A109" s="4"/>
      <c r="B109" s="3"/>
    </row>
    <row r="110" spans="1:5" x14ac:dyDescent="0.25">
      <c r="A110" s="4"/>
      <c r="B110" s="3"/>
    </row>
    <row r="111" spans="1:5" x14ac:dyDescent="0.25">
      <c r="A111" s="4"/>
      <c r="B111" s="3"/>
    </row>
    <row r="112" spans="1:5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7" sqref="D1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116508088</v>
      </c>
      <c r="E11" s="146">
        <v>308538812</v>
      </c>
      <c r="F11" s="60">
        <f>H11-D11</f>
        <v>0</v>
      </c>
      <c r="G11" s="37">
        <f>I11-E11</f>
        <v>0</v>
      </c>
      <c r="H11" s="65">
        <f t="shared" ref="H11:I15" si="0">D11</f>
        <v>116508088</v>
      </c>
      <c r="I11" s="66">
        <f t="shared" si="0"/>
        <v>308538812</v>
      </c>
      <c r="J11" s="37"/>
      <c r="K11" s="38"/>
      <c r="L11" s="60">
        <f t="shared" ref="L11:M15" si="1">H11+J11</f>
        <v>116508088</v>
      </c>
      <c r="M11" s="38">
        <f t="shared" si="1"/>
        <v>308538812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61546610</v>
      </c>
      <c r="E13" s="146">
        <v>166771061</v>
      </c>
      <c r="F13" s="60">
        <f t="shared" si="2"/>
        <v>0</v>
      </c>
      <c r="G13" s="37">
        <f t="shared" si="2"/>
        <v>0</v>
      </c>
      <c r="H13" s="65">
        <f t="shared" si="0"/>
        <v>61546610</v>
      </c>
      <c r="I13" s="66">
        <f t="shared" si="0"/>
        <v>166771061</v>
      </c>
      <c r="J13" s="37"/>
      <c r="K13" s="38"/>
      <c r="L13" s="60">
        <f t="shared" si="1"/>
        <v>61546610</v>
      </c>
      <c r="M13" s="38">
        <f t="shared" si="1"/>
        <v>166771061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178054698</v>
      </c>
      <c r="E16" s="166">
        <v>475309873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178054698</v>
      </c>
      <c r="I16" s="39">
        <f>SUM(I11:I15)</f>
        <v>475309873</v>
      </c>
      <c r="J16" s="133">
        <f t="shared" si="3"/>
        <v>0</v>
      </c>
      <c r="K16" s="39">
        <f t="shared" si="3"/>
        <v>0</v>
      </c>
      <c r="L16" s="61">
        <f t="shared" si="3"/>
        <v>178054698</v>
      </c>
      <c r="M16" s="39">
        <f t="shared" si="3"/>
        <v>475309873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-128554086</v>
      </c>
      <c r="E19" s="146">
        <v>-336205659</v>
      </c>
      <c r="F19" s="60">
        <f>H19-D19</f>
        <v>0</v>
      </c>
      <c r="G19" s="37">
        <f>I19-E19</f>
        <v>0</v>
      </c>
      <c r="H19" s="65">
        <f t="shared" si="4"/>
        <v>-128554086</v>
      </c>
      <c r="I19" s="66">
        <f t="shared" si="4"/>
        <v>-336205659</v>
      </c>
      <c r="J19" s="37">
        <v>0</v>
      </c>
      <c r="K19" s="38">
        <v>0</v>
      </c>
      <c r="L19" s="60">
        <f t="shared" ref="L19:M23" si="5">H19+J19</f>
        <v>-128554086</v>
      </c>
      <c r="M19" s="38">
        <f t="shared" si="5"/>
        <v>-336205659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-49918130</v>
      </c>
      <c r="E21" s="146">
        <v>-136924342</v>
      </c>
      <c r="F21" s="60">
        <f t="shared" si="6"/>
        <v>0</v>
      </c>
      <c r="G21" s="37">
        <f t="shared" si="6"/>
        <v>0</v>
      </c>
      <c r="H21" s="65">
        <f t="shared" si="4"/>
        <v>-49918130</v>
      </c>
      <c r="I21" s="66">
        <f t="shared" si="4"/>
        <v>-136924342</v>
      </c>
      <c r="J21" s="37"/>
      <c r="K21" s="38"/>
      <c r="L21" s="60">
        <f t="shared" si="5"/>
        <v>-49918130</v>
      </c>
      <c r="M21" s="38">
        <f t="shared" si="5"/>
        <v>-136924342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289627</v>
      </c>
      <c r="E23" s="146">
        <v>779479</v>
      </c>
      <c r="F23" s="60">
        <f t="shared" si="6"/>
        <v>0</v>
      </c>
      <c r="G23" s="37">
        <f t="shared" si="6"/>
        <v>0</v>
      </c>
      <c r="H23" s="65">
        <f t="shared" si="4"/>
        <v>289627</v>
      </c>
      <c r="I23" s="66">
        <f t="shared" si="4"/>
        <v>779479</v>
      </c>
      <c r="J23" s="37"/>
      <c r="K23" s="38"/>
      <c r="L23" s="60">
        <f t="shared" si="5"/>
        <v>289627</v>
      </c>
      <c r="M23" s="38">
        <f t="shared" si="5"/>
        <v>779479</v>
      </c>
    </row>
    <row r="24" spans="1:13" x14ac:dyDescent="0.25">
      <c r="A24" s="9"/>
      <c r="B24" s="7" t="s">
        <v>33</v>
      </c>
      <c r="C24" s="6"/>
      <c r="D24" s="166">
        <v>-178182589</v>
      </c>
      <c r="E24" s="166">
        <v>-472350522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-178182589</v>
      </c>
      <c r="I24" s="39">
        <f>SUM(I19:I23)</f>
        <v>-472350522</v>
      </c>
      <c r="J24" s="133">
        <f t="shared" si="7"/>
        <v>0</v>
      </c>
      <c r="K24" s="39">
        <f t="shared" si="7"/>
        <v>0</v>
      </c>
      <c r="L24" s="61">
        <f t="shared" si="7"/>
        <v>-178182589</v>
      </c>
      <c r="M24" s="39">
        <f t="shared" si="7"/>
        <v>-472350522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40279</v>
      </c>
      <c r="E32" s="146">
        <v>114717</v>
      </c>
      <c r="F32" s="60">
        <f>H32-D32</f>
        <v>0</v>
      </c>
      <c r="G32" s="37">
        <f>I32-E32</f>
        <v>0</v>
      </c>
      <c r="H32" s="65">
        <f t="shared" ref="H32:I35" si="9">D32</f>
        <v>40279</v>
      </c>
      <c r="I32" s="66">
        <f t="shared" si="9"/>
        <v>114717</v>
      </c>
      <c r="J32" s="37"/>
      <c r="K32" s="38"/>
      <c r="L32" s="60">
        <f t="shared" ref="L32:M35" si="10">H32+J32</f>
        <v>40279</v>
      </c>
      <c r="M32" s="38">
        <f t="shared" si="10"/>
        <v>114717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293838</v>
      </c>
      <c r="E35" s="146">
        <v>753822</v>
      </c>
      <c r="F35" s="60">
        <f t="shared" si="11"/>
        <v>0</v>
      </c>
      <c r="G35" s="37">
        <f t="shared" si="11"/>
        <v>0</v>
      </c>
      <c r="H35" s="65">
        <f t="shared" si="9"/>
        <v>293838</v>
      </c>
      <c r="I35" s="66">
        <f t="shared" si="9"/>
        <v>753822</v>
      </c>
      <c r="J35" s="37">
        <v>0</v>
      </c>
      <c r="K35" s="38">
        <v>0</v>
      </c>
      <c r="L35" s="60">
        <f t="shared" si="10"/>
        <v>293838</v>
      </c>
      <c r="M35" s="38">
        <f t="shared" si="10"/>
        <v>753822</v>
      </c>
    </row>
    <row r="36" spans="1:13" x14ac:dyDescent="0.25">
      <c r="A36" s="9"/>
      <c r="B36" s="7" t="s">
        <v>43</v>
      </c>
      <c r="C36" s="6"/>
      <c r="D36" s="166">
        <v>334117</v>
      </c>
      <c r="E36" s="166">
        <v>868539</v>
      </c>
      <c r="F36" s="61">
        <f>SUM(F32:F35)</f>
        <v>0</v>
      </c>
      <c r="G36" s="39">
        <f>SUM(G32:G35)</f>
        <v>0</v>
      </c>
      <c r="H36" s="61">
        <f>SUM(H32:H35)</f>
        <v>334117</v>
      </c>
      <c r="I36" s="39">
        <f>SUM(I32:I35)</f>
        <v>868539</v>
      </c>
      <c r="J36" s="133">
        <f>SUM(J32:J34)</f>
        <v>0</v>
      </c>
      <c r="K36" s="39">
        <f>SUM(K32:K34)</f>
        <v>0</v>
      </c>
      <c r="L36" s="61">
        <f>SUM(L32:L35)</f>
        <v>334117</v>
      </c>
      <c r="M36" s="39">
        <f>SUM(M32:M35)</f>
        <v>868539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7855</v>
      </c>
      <c r="E39" s="146">
        <v>20423</v>
      </c>
      <c r="F39" s="60">
        <f t="shared" ref="F39:G41" si="13">H39-D39</f>
        <v>0</v>
      </c>
      <c r="G39" s="37">
        <f t="shared" si="13"/>
        <v>0</v>
      </c>
      <c r="H39" s="65">
        <f t="shared" si="12"/>
        <v>7855</v>
      </c>
      <c r="I39" s="66">
        <f t="shared" si="12"/>
        <v>20423</v>
      </c>
      <c r="J39" s="37"/>
      <c r="K39" s="38"/>
      <c r="L39" s="60">
        <f t="shared" ref="L39:M41" si="14">H39+J39</f>
        <v>7855</v>
      </c>
      <c r="M39" s="38">
        <f t="shared" si="14"/>
        <v>20423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-77949</v>
      </c>
      <c r="E40" s="146">
        <v>-213870</v>
      </c>
      <c r="F40" s="60">
        <f t="shared" si="13"/>
        <v>0</v>
      </c>
      <c r="G40" s="37">
        <f t="shared" si="13"/>
        <v>0</v>
      </c>
      <c r="H40" s="65">
        <f t="shared" si="12"/>
        <v>-77949</v>
      </c>
      <c r="I40" s="66">
        <f t="shared" si="12"/>
        <v>-213870</v>
      </c>
      <c r="J40" s="37"/>
      <c r="K40" s="38"/>
      <c r="L40" s="60">
        <f t="shared" si="14"/>
        <v>-77949</v>
      </c>
      <c r="M40" s="38">
        <f t="shared" si="14"/>
        <v>-213870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-77949</v>
      </c>
      <c r="E42" s="166">
        <v>-213870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-77949</v>
      </c>
      <c r="I42" s="39">
        <f>SUM(I40:I41)</f>
        <v>-213870</v>
      </c>
      <c r="J42" s="133">
        <f t="shared" si="15"/>
        <v>0</v>
      </c>
      <c r="K42" s="39">
        <f t="shared" si="15"/>
        <v>0</v>
      </c>
      <c r="L42" s="61">
        <f t="shared" si="15"/>
        <v>-77949</v>
      </c>
      <c r="M42" s="39">
        <f t="shared" si="15"/>
        <v>-213870</v>
      </c>
    </row>
    <row r="43" spans="1:13" ht="21" customHeight="1" x14ac:dyDescent="0.25">
      <c r="A43" s="9"/>
      <c r="B43" s="7" t="s">
        <v>49</v>
      </c>
      <c r="C43" s="6"/>
      <c r="D43" s="166">
        <v>-70094</v>
      </c>
      <c r="E43" s="166">
        <v>-193447</v>
      </c>
      <c r="F43" s="61">
        <f t="shared" ref="F43:M43" si="16">F42+F39</f>
        <v>0</v>
      </c>
      <c r="G43" s="39">
        <f t="shared" si="16"/>
        <v>0</v>
      </c>
      <c r="H43" s="61">
        <f>H42+H39</f>
        <v>-70094</v>
      </c>
      <c r="I43" s="39">
        <f>I42+I39</f>
        <v>-193447</v>
      </c>
      <c r="J43" s="133">
        <f t="shared" si="16"/>
        <v>0</v>
      </c>
      <c r="K43" s="39">
        <f t="shared" si="16"/>
        <v>0</v>
      </c>
      <c r="L43" s="61">
        <f t="shared" si="16"/>
        <v>-70094</v>
      </c>
      <c r="M43" s="39">
        <f t="shared" si="16"/>
        <v>-193447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-136132</v>
      </c>
      <c r="E49" s="146">
        <v>-348742.95759999997</v>
      </c>
      <c r="F49" s="60">
        <f>H49-D49</f>
        <v>0</v>
      </c>
      <c r="G49" s="37">
        <f>I49-E49</f>
        <v>0</v>
      </c>
      <c r="H49" s="65">
        <f>D49</f>
        <v>-136132</v>
      </c>
      <c r="I49" s="66">
        <f>E49</f>
        <v>-348742.95759999997</v>
      </c>
      <c r="J49" s="37"/>
      <c r="K49" s="38"/>
      <c r="L49" s="60">
        <f>H49+J49</f>
        <v>-136132</v>
      </c>
      <c r="M49" s="38">
        <f>I49+K49</f>
        <v>-348742.95759999997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-289627</v>
      </c>
      <c r="E51" s="146">
        <v>-779479</v>
      </c>
      <c r="F51" s="60">
        <f>H51-D51</f>
        <v>0</v>
      </c>
      <c r="G51" s="37">
        <f>I51-E51</f>
        <v>0</v>
      </c>
      <c r="H51" s="65">
        <f>D51</f>
        <v>-289627</v>
      </c>
      <c r="I51" s="66">
        <f>E51</f>
        <v>-779479</v>
      </c>
      <c r="J51" s="37"/>
      <c r="K51" s="38"/>
      <c r="L51" s="60">
        <f>H51+J51</f>
        <v>-289627</v>
      </c>
      <c r="M51" s="38">
        <f>I51+K51</f>
        <v>-779479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-619299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-619299</v>
      </c>
      <c r="J54" s="37"/>
      <c r="K54" s="38"/>
      <c r="L54" s="60">
        <f>H54+J54</f>
        <v>0</v>
      </c>
      <c r="M54" s="38">
        <f>I54+K54</f>
        <v>-619299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-1568114.87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-1568114.87</v>
      </c>
      <c r="J55" s="37"/>
      <c r="K55" s="38"/>
      <c r="L55" s="60">
        <f>H55+J55</f>
        <v>0</v>
      </c>
      <c r="M55" s="38">
        <f>I55+K55</f>
        <v>-1568114.87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-2187413.87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-2187413.87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-2187413.87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5834127.908400001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5834127.908400001</v>
      </c>
      <c r="J70" s="37"/>
      <c r="K70" s="38"/>
      <c r="L70" s="60">
        <f t="shared" si="20"/>
        <v>0</v>
      </c>
      <c r="M70" s="38">
        <f t="shared" si="20"/>
        <v>5834127.908400001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-4341731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-4341731</v>
      </c>
      <c r="J71" s="37"/>
      <c r="K71" s="38"/>
      <c r="L71" s="60">
        <f t="shared" si="20"/>
        <v>0</v>
      </c>
      <c r="M71" s="38">
        <f t="shared" si="20"/>
        <v>-4341731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1492396.908400001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1492396.908400001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1492396.908400001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-2215910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-2215910</v>
      </c>
      <c r="J74" s="37"/>
      <c r="K74" s="38"/>
      <c r="L74" s="60">
        <f t="shared" si="24"/>
        <v>0</v>
      </c>
      <c r="M74" s="38">
        <f t="shared" si="24"/>
        <v>-2215910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76235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76235</v>
      </c>
      <c r="J75" s="37"/>
      <c r="K75" s="38"/>
      <c r="L75" s="60">
        <f t="shared" si="24"/>
        <v>0</v>
      </c>
      <c r="M75" s="38">
        <f t="shared" si="24"/>
        <v>76235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65633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65633</v>
      </c>
      <c r="J81" s="37"/>
      <c r="K81" s="38"/>
      <c r="L81" s="60">
        <f t="shared" si="24"/>
        <v>0</v>
      </c>
      <c r="M81" s="38">
        <f t="shared" si="24"/>
        <v>65633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-262837.91920000082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-262837.91920000082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-262837.91920000082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5734577</v>
      </c>
      <c r="E11" s="146">
        <v>14607219</v>
      </c>
      <c r="F11" s="60">
        <f>H11-D11</f>
        <v>0</v>
      </c>
      <c r="G11" s="37">
        <f>I11-E11</f>
        <v>0</v>
      </c>
      <c r="H11" s="65">
        <f t="shared" ref="H11:I15" si="0">D11</f>
        <v>5734577</v>
      </c>
      <c r="I11" s="66">
        <f t="shared" si="0"/>
        <v>14607219</v>
      </c>
      <c r="J11" s="37"/>
      <c r="K11" s="38"/>
      <c r="L11" s="60">
        <f t="shared" ref="L11:M15" si="1">H11+J11</f>
        <v>5734577</v>
      </c>
      <c r="M11" s="38">
        <f t="shared" si="1"/>
        <v>14607219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5233176</v>
      </c>
      <c r="E13" s="146">
        <v>14876167</v>
      </c>
      <c r="F13" s="60">
        <f t="shared" si="2"/>
        <v>0</v>
      </c>
      <c r="G13" s="37">
        <f t="shared" si="2"/>
        <v>0</v>
      </c>
      <c r="H13" s="65">
        <f t="shared" si="0"/>
        <v>5233176</v>
      </c>
      <c r="I13" s="66">
        <f t="shared" si="0"/>
        <v>14876167</v>
      </c>
      <c r="J13" s="37"/>
      <c r="K13" s="38"/>
      <c r="L13" s="60">
        <f t="shared" si="1"/>
        <v>5233176</v>
      </c>
      <c r="M13" s="38">
        <f t="shared" si="1"/>
        <v>14876167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10967753</v>
      </c>
      <c r="E16" s="166">
        <v>29483386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10967753</v>
      </c>
      <c r="I16" s="39">
        <f>SUM(I11:I15)</f>
        <v>29483386</v>
      </c>
      <c r="J16" s="133">
        <f t="shared" si="3"/>
        <v>0</v>
      </c>
      <c r="K16" s="39">
        <f t="shared" si="3"/>
        <v>0</v>
      </c>
      <c r="L16" s="61">
        <f t="shared" si="3"/>
        <v>10967753</v>
      </c>
      <c r="M16" s="39">
        <f t="shared" si="3"/>
        <v>29483386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-1148538</v>
      </c>
      <c r="E19" s="146">
        <v>-3191882</v>
      </c>
      <c r="F19" s="60">
        <f>H19-D19</f>
        <v>0</v>
      </c>
      <c r="G19" s="37">
        <f>I19-E19</f>
        <v>0</v>
      </c>
      <c r="H19" s="65">
        <f t="shared" si="4"/>
        <v>-1148538</v>
      </c>
      <c r="I19" s="66">
        <f t="shared" si="4"/>
        <v>-3191882</v>
      </c>
      <c r="J19" s="37">
        <v>0</v>
      </c>
      <c r="K19" s="38">
        <v>0</v>
      </c>
      <c r="L19" s="60">
        <f t="shared" ref="L19:M23" si="5">H19+J19</f>
        <v>-1148538</v>
      </c>
      <c r="M19" s="38">
        <f t="shared" si="5"/>
        <v>-3191882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-9900325</v>
      </c>
      <c r="E21" s="146">
        <v>-26658650</v>
      </c>
      <c r="F21" s="60">
        <f t="shared" si="6"/>
        <v>0</v>
      </c>
      <c r="G21" s="37">
        <f t="shared" si="6"/>
        <v>0</v>
      </c>
      <c r="H21" s="65">
        <f t="shared" si="4"/>
        <v>-9900325</v>
      </c>
      <c r="I21" s="66">
        <f t="shared" si="4"/>
        <v>-26658650</v>
      </c>
      <c r="J21" s="37"/>
      <c r="K21" s="38"/>
      <c r="L21" s="60">
        <f t="shared" si="5"/>
        <v>-9900325</v>
      </c>
      <c r="M21" s="38">
        <f t="shared" si="5"/>
        <v>-26658650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3504</v>
      </c>
      <c r="E23" s="146">
        <v>9683</v>
      </c>
      <c r="F23" s="60">
        <f t="shared" si="6"/>
        <v>0</v>
      </c>
      <c r="G23" s="37">
        <f t="shared" si="6"/>
        <v>0</v>
      </c>
      <c r="H23" s="65">
        <f t="shared" si="4"/>
        <v>3504</v>
      </c>
      <c r="I23" s="66">
        <f t="shared" si="4"/>
        <v>9683</v>
      </c>
      <c r="J23" s="37"/>
      <c r="K23" s="38"/>
      <c r="L23" s="60">
        <f t="shared" si="5"/>
        <v>3504</v>
      </c>
      <c r="M23" s="38">
        <f t="shared" si="5"/>
        <v>9683</v>
      </c>
    </row>
    <row r="24" spans="1:13" x14ac:dyDescent="0.25">
      <c r="A24" s="9"/>
      <c r="B24" s="7" t="s">
        <v>33</v>
      </c>
      <c r="C24" s="6"/>
      <c r="D24" s="166">
        <v>-11045359</v>
      </c>
      <c r="E24" s="166">
        <v>-29840849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-11045359</v>
      </c>
      <c r="I24" s="39">
        <f>SUM(I19:I23)</f>
        <v>-29840849</v>
      </c>
      <c r="J24" s="133">
        <f t="shared" si="7"/>
        <v>0</v>
      </c>
      <c r="K24" s="39">
        <f t="shared" si="7"/>
        <v>0</v>
      </c>
      <c r="L24" s="61">
        <f t="shared" si="7"/>
        <v>-11045359</v>
      </c>
      <c r="M24" s="39">
        <f t="shared" si="7"/>
        <v>-29840849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122429</v>
      </c>
      <c r="E32" s="146">
        <v>369569</v>
      </c>
      <c r="F32" s="60">
        <f>H32-D32</f>
        <v>0</v>
      </c>
      <c r="G32" s="37">
        <f>I32-E32</f>
        <v>0</v>
      </c>
      <c r="H32" s="65">
        <f t="shared" ref="H32:I35" si="9">D32</f>
        <v>122429</v>
      </c>
      <c r="I32" s="66">
        <f t="shared" si="9"/>
        <v>369569</v>
      </c>
      <c r="J32" s="37"/>
      <c r="K32" s="38"/>
      <c r="L32" s="60">
        <f t="shared" ref="L32:M35" si="10">H32+J32</f>
        <v>122429</v>
      </c>
      <c r="M32" s="38">
        <f t="shared" si="10"/>
        <v>369569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122429</v>
      </c>
      <c r="E36" s="166">
        <v>369569</v>
      </c>
      <c r="F36" s="61">
        <f>SUM(F32:F35)</f>
        <v>0</v>
      </c>
      <c r="G36" s="39">
        <f>SUM(G32:G35)</f>
        <v>0</v>
      </c>
      <c r="H36" s="61">
        <f>SUM(H32:H35)</f>
        <v>122429</v>
      </c>
      <c r="I36" s="39">
        <f>SUM(I32:I35)</f>
        <v>369569</v>
      </c>
      <c r="J36" s="133">
        <f>SUM(J32:J34)</f>
        <v>0</v>
      </c>
      <c r="K36" s="39">
        <f>SUM(K32:K34)</f>
        <v>0</v>
      </c>
      <c r="L36" s="61">
        <f>SUM(L32:L35)</f>
        <v>122429</v>
      </c>
      <c r="M36" s="39">
        <f>SUM(M32:M35)</f>
        <v>369569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-44823</v>
      </c>
      <c r="E49" s="146">
        <v>-114076.11150695957</v>
      </c>
      <c r="F49" s="60">
        <f>H49-D49</f>
        <v>0</v>
      </c>
      <c r="G49" s="37">
        <f>I49-E49</f>
        <v>0</v>
      </c>
      <c r="H49" s="65">
        <f>D49</f>
        <v>-44823</v>
      </c>
      <c r="I49" s="66">
        <f>E49</f>
        <v>-114076.11150695957</v>
      </c>
      <c r="J49" s="37"/>
      <c r="K49" s="38"/>
      <c r="L49" s="60">
        <f>H49+J49</f>
        <v>-44823</v>
      </c>
      <c r="M49" s="38">
        <f>I49+K49</f>
        <v>-114076.11150695957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-3504</v>
      </c>
      <c r="E51" s="146">
        <v>-9683</v>
      </c>
      <c r="F51" s="60">
        <f>H51-D51</f>
        <v>0</v>
      </c>
      <c r="G51" s="37">
        <f>I51-E51</f>
        <v>0</v>
      </c>
      <c r="H51" s="65">
        <f>D51</f>
        <v>-3504</v>
      </c>
      <c r="I51" s="66">
        <f>E51</f>
        <v>-9683</v>
      </c>
      <c r="J51" s="37"/>
      <c r="K51" s="38"/>
      <c r="L51" s="60">
        <f>H51+J51</f>
        <v>-3504</v>
      </c>
      <c r="M51" s="38">
        <f>I51+K51</f>
        <v>-9683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-11440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-11440</v>
      </c>
      <c r="J54" s="37"/>
      <c r="K54" s="38"/>
      <c r="L54" s="60">
        <f>H54+J54</f>
        <v>0</v>
      </c>
      <c r="M54" s="38">
        <f>I54+K54</f>
        <v>-11440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-18810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-18810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-18810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-344118.43359999999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-344118.43359999999</v>
      </c>
      <c r="J70" s="37"/>
      <c r="K70" s="38"/>
      <c r="L70" s="60">
        <f t="shared" si="20"/>
        <v>0</v>
      </c>
      <c r="M70" s="38">
        <f t="shared" si="20"/>
        <v>-344118.43359999999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259749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259749</v>
      </c>
      <c r="J71" s="37"/>
      <c r="K71" s="38"/>
      <c r="L71" s="60">
        <f t="shared" si="20"/>
        <v>0</v>
      </c>
      <c r="M71" s="38">
        <f t="shared" si="20"/>
        <v>259749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-84369.433599999989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-84369.433599999989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-84369.433599999989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-140577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-140577</v>
      </c>
      <c r="J74" s="37"/>
      <c r="K74" s="38"/>
      <c r="L74" s="60">
        <f t="shared" si="23"/>
        <v>0</v>
      </c>
      <c r="M74" s="38">
        <f t="shared" si="23"/>
        <v>-140577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330184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330184</v>
      </c>
      <c r="J81" s="37"/>
      <c r="K81" s="38"/>
      <c r="L81" s="60">
        <f t="shared" si="23"/>
        <v>0</v>
      </c>
      <c r="M81" s="38">
        <f t="shared" si="23"/>
        <v>330184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-25225.545106960606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-25225.545106960606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-25225.545106960606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15578321</v>
      </c>
      <c r="E11" s="146">
        <v>41740995</v>
      </c>
      <c r="F11" s="60">
        <f>H11-D11</f>
        <v>0</v>
      </c>
      <c r="G11" s="37">
        <f>I11-E11</f>
        <v>0</v>
      </c>
      <c r="H11" s="65">
        <f t="shared" ref="H11:I15" si="0">D11</f>
        <v>15578321</v>
      </c>
      <c r="I11" s="66">
        <f t="shared" si="0"/>
        <v>41740995</v>
      </c>
      <c r="J11" s="37"/>
      <c r="K11" s="38"/>
      <c r="L11" s="60">
        <f t="shared" ref="L11:M15" si="1">H11+J11</f>
        <v>15578321</v>
      </c>
      <c r="M11" s="38">
        <f t="shared" si="1"/>
        <v>41740995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25594555</v>
      </c>
      <c r="E13" s="146">
        <v>71534733</v>
      </c>
      <c r="F13" s="60">
        <f t="shared" si="2"/>
        <v>0</v>
      </c>
      <c r="G13" s="37">
        <f t="shared" si="2"/>
        <v>0</v>
      </c>
      <c r="H13" s="65">
        <f t="shared" si="0"/>
        <v>25594555</v>
      </c>
      <c r="I13" s="66">
        <f t="shared" si="0"/>
        <v>71534733</v>
      </c>
      <c r="J13" s="37"/>
      <c r="K13" s="38"/>
      <c r="L13" s="60">
        <f t="shared" si="1"/>
        <v>25594555</v>
      </c>
      <c r="M13" s="38">
        <f t="shared" si="1"/>
        <v>71534733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5">
      <c r="A16" s="9"/>
      <c r="B16" s="7" t="s">
        <v>30</v>
      </c>
      <c r="C16" s="6"/>
      <c r="D16" s="166">
        <v>41172876</v>
      </c>
      <c r="E16" s="166">
        <v>116192015</v>
      </c>
      <c r="F16" s="61">
        <f t="shared" ref="F16:M16" si="3">SUM(F11:F15)</f>
        <v>0</v>
      </c>
      <c r="G16" s="39">
        <f t="shared" si="3"/>
        <v>0</v>
      </c>
      <c r="H16" s="61">
        <f>SUM(H11:H15)</f>
        <v>41172876</v>
      </c>
      <c r="I16" s="39">
        <f>SUM(I11:I15)</f>
        <v>116192015</v>
      </c>
      <c r="J16" s="133">
        <f t="shared" si="3"/>
        <v>0</v>
      </c>
      <c r="K16" s="39">
        <f t="shared" si="3"/>
        <v>0</v>
      </c>
      <c r="L16" s="61">
        <f t="shared" si="3"/>
        <v>41172876</v>
      </c>
      <c r="M16" s="39">
        <f t="shared" si="3"/>
        <v>116192015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-9905967</v>
      </c>
      <c r="E19" s="146">
        <v>-25817305</v>
      </c>
      <c r="F19" s="60">
        <f>H19-D19</f>
        <v>0</v>
      </c>
      <c r="G19" s="37">
        <f>I19-E19</f>
        <v>0</v>
      </c>
      <c r="H19" s="65">
        <f t="shared" si="4"/>
        <v>-9905967</v>
      </c>
      <c r="I19" s="66">
        <f t="shared" si="4"/>
        <v>-25817305</v>
      </c>
      <c r="J19" s="37">
        <v>0</v>
      </c>
      <c r="K19" s="38">
        <v>0</v>
      </c>
      <c r="L19" s="60">
        <f t="shared" ref="L19:M23" si="5">H19+J19</f>
        <v>-9905967</v>
      </c>
      <c r="M19" s="38">
        <f t="shared" si="5"/>
        <v>-25817305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-31542981</v>
      </c>
      <c r="E21" s="146">
        <v>-86688382</v>
      </c>
      <c r="F21" s="60">
        <f t="shared" si="6"/>
        <v>0</v>
      </c>
      <c r="G21" s="37">
        <f t="shared" si="6"/>
        <v>0</v>
      </c>
      <c r="H21" s="65">
        <f t="shared" si="4"/>
        <v>-31542981</v>
      </c>
      <c r="I21" s="66">
        <f t="shared" si="4"/>
        <v>-86688382</v>
      </c>
      <c r="J21" s="37"/>
      <c r="K21" s="38"/>
      <c r="L21" s="60">
        <f t="shared" si="5"/>
        <v>-31542981</v>
      </c>
      <c r="M21" s="38">
        <f t="shared" si="5"/>
        <v>-86688382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277862</v>
      </c>
      <c r="E23" s="146">
        <v>758375</v>
      </c>
      <c r="F23" s="60">
        <f t="shared" si="6"/>
        <v>0</v>
      </c>
      <c r="G23" s="37">
        <f t="shared" si="6"/>
        <v>0</v>
      </c>
      <c r="H23" s="65">
        <f t="shared" si="4"/>
        <v>277862</v>
      </c>
      <c r="I23" s="66">
        <f t="shared" si="4"/>
        <v>758375</v>
      </c>
      <c r="J23" s="37"/>
      <c r="K23" s="38"/>
      <c r="L23" s="60">
        <f t="shared" si="5"/>
        <v>277862</v>
      </c>
      <c r="M23" s="38">
        <f t="shared" si="5"/>
        <v>758375</v>
      </c>
    </row>
    <row r="24" spans="1:13" x14ac:dyDescent="0.25">
      <c r="A24" s="9"/>
      <c r="B24" s="7" t="s">
        <v>33</v>
      </c>
      <c r="C24" s="6"/>
      <c r="D24" s="166">
        <v>-41171086</v>
      </c>
      <c r="E24" s="166">
        <v>-111747312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-41171086</v>
      </c>
      <c r="I24" s="39">
        <f>SUM(I19:I23)</f>
        <v>-111747312</v>
      </c>
      <c r="J24" s="133">
        <f t="shared" si="7"/>
        <v>0</v>
      </c>
      <c r="K24" s="39">
        <f t="shared" si="7"/>
        <v>0</v>
      </c>
      <c r="L24" s="61">
        <f t="shared" si="7"/>
        <v>-41171086</v>
      </c>
      <c r="M24" s="39">
        <f t="shared" si="7"/>
        <v>-111747312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-1790</v>
      </c>
      <c r="E49" s="146">
        <v>-4667.4250000000002</v>
      </c>
      <c r="F49" s="60">
        <f>H49-D49</f>
        <v>0</v>
      </c>
      <c r="G49" s="37">
        <f>I49-E49</f>
        <v>0</v>
      </c>
      <c r="H49" s="65">
        <f>D49</f>
        <v>-1790</v>
      </c>
      <c r="I49" s="66">
        <f>E49</f>
        <v>-4667.4250000000002</v>
      </c>
      <c r="J49" s="37"/>
      <c r="K49" s="38"/>
      <c r="L49" s="60">
        <f>H49+J49</f>
        <v>-1790</v>
      </c>
      <c r="M49" s="38">
        <f>I49+K49</f>
        <v>-4667.4250000000002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-277862</v>
      </c>
      <c r="E51" s="146">
        <v>-758375</v>
      </c>
      <c r="F51" s="60">
        <f>H51-D51</f>
        <v>0</v>
      </c>
      <c r="G51" s="37">
        <f>I51-E51</f>
        <v>0</v>
      </c>
      <c r="H51" s="65">
        <f>D51</f>
        <v>-277862</v>
      </c>
      <c r="I51" s="66">
        <f>E51</f>
        <v>-758375</v>
      </c>
      <c r="J51" s="37"/>
      <c r="K51" s="38"/>
      <c r="L51" s="60">
        <f>H51+J51</f>
        <v>-277862</v>
      </c>
      <c r="M51" s="38">
        <f>I51+K51</f>
        <v>-758375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-134078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-134078</v>
      </c>
      <c r="J54" s="37"/>
      <c r="K54" s="38"/>
      <c r="L54" s="60">
        <f>H54+J54</f>
        <v>0</v>
      </c>
      <c r="M54" s="38">
        <f>I54+K54</f>
        <v>-134078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-3050365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-3050365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-3050365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-1948054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-1948054</v>
      </c>
      <c r="J70" s="37"/>
      <c r="K70" s="38"/>
      <c r="L70" s="60">
        <f t="shared" si="20"/>
        <v>0</v>
      </c>
      <c r="M70" s="38">
        <f t="shared" si="20"/>
        <v>-1948054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-10742902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-10742902</v>
      </c>
      <c r="J71" s="37"/>
      <c r="K71" s="38"/>
      <c r="L71" s="60">
        <f t="shared" si="20"/>
        <v>0</v>
      </c>
      <c r="M71" s="38">
        <f t="shared" si="20"/>
        <v>-10742902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-12690956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-12690956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-12690956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11758324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11758324</v>
      </c>
      <c r="J74" s="37"/>
      <c r="K74" s="38"/>
      <c r="L74" s="60">
        <f t="shared" si="23"/>
        <v>0</v>
      </c>
      <c r="M74" s="38">
        <f t="shared" si="23"/>
        <v>11758324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13249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13249</v>
      </c>
      <c r="J81" s="37"/>
      <c r="K81" s="38"/>
      <c r="L81" s="60">
        <f t="shared" si="23"/>
        <v>0</v>
      </c>
      <c r="M81" s="38">
        <f t="shared" si="23"/>
        <v>13249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-288087.42499999981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-288087.42499999981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-288087.42499999981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C14" sqref="C1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7">
        <v>196365526</v>
      </c>
      <c r="E11" s="217">
        <v>533064366</v>
      </c>
      <c r="F11" s="60">
        <f>H11-D11</f>
        <v>0</v>
      </c>
      <c r="G11" s="37">
        <f>I11-E11</f>
        <v>0</v>
      </c>
      <c r="H11" s="65">
        <f>D11</f>
        <v>196365526</v>
      </c>
      <c r="I11" s="66">
        <f>E11</f>
        <v>533064366</v>
      </c>
      <c r="J11" s="60"/>
      <c r="K11" s="38"/>
      <c r="L11" s="60">
        <f t="shared" ref="L11:M15" si="0">H11+J11</f>
        <v>196365526</v>
      </c>
      <c r="M11" s="38">
        <f t="shared" si="0"/>
        <v>533064366</v>
      </c>
    </row>
    <row r="12" spans="1:26" x14ac:dyDescent="0.25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7">
        <v>96028476</v>
      </c>
      <c r="E13" s="217">
        <v>269283472</v>
      </c>
      <c r="F13" s="60">
        <f t="shared" si="1"/>
        <v>0</v>
      </c>
      <c r="G13" s="37">
        <f t="shared" si="1"/>
        <v>0</v>
      </c>
      <c r="H13" s="65">
        <f t="shared" si="2"/>
        <v>96028476</v>
      </c>
      <c r="I13" s="66">
        <f t="shared" si="2"/>
        <v>269283472</v>
      </c>
      <c r="J13" s="60"/>
      <c r="K13" s="38"/>
      <c r="L13" s="60">
        <f t="shared" si="0"/>
        <v>96028476</v>
      </c>
      <c r="M13" s="38">
        <f t="shared" si="0"/>
        <v>269283472</v>
      </c>
    </row>
    <row r="14" spans="1:26" x14ac:dyDescent="0.25">
      <c r="A14" s="9">
        <v>4</v>
      </c>
      <c r="B14" s="7"/>
      <c r="C14" s="18" t="s">
        <v>28</v>
      </c>
      <c r="D14" s="217">
        <v>0</v>
      </c>
      <c r="E14" s="217">
        <v>10354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10354</v>
      </c>
      <c r="J14" s="60"/>
      <c r="K14" s="38"/>
      <c r="L14" s="60">
        <f t="shared" si="0"/>
        <v>0</v>
      </c>
      <c r="M14" s="38">
        <f t="shared" si="0"/>
        <v>10354</v>
      </c>
    </row>
    <row r="15" spans="1:26" x14ac:dyDescent="0.25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8">
        <v>292394002</v>
      </c>
      <c r="E16" s="218">
        <v>802358192</v>
      </c>
      <c r="F16" s="61">
        <f t="shared" ref="F16:M16" si="3">SUM(F11:F15)</f>
        <v>0</v>
      </c>
      <c r="G16" s="39">
        <f t="shared" si="3"/>
        <v>0</v>
      </c>
      <c r="H16" s="61">
        <f>SUM(H11:H15)</f>
        <v>292394002</v>
      </c>
      <c r="I16" s="39">
        <f>SUM(I11:I15)</f>
        <v>802358192</v>
      </c>
      <c r="J16" s="61">
        <f t="shared" si="3"/>
        <v>0</v>
      </c>
      <c r="K16" s="39">
        <f t="shared" si="3"/>
        <v>0</v>
      </c>
      <c r="L16" s="61">
        <f t="shared" si="3"/>
        <v>292394002</v>
      </c>
      <c r="M16" s="39">
        <f t="shared" si="3"/>
        <v>802358192</v>
      </c>
    </row>
    <row r="17" spans="1:13" x14ac:dyDescent="0.25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7">
        <v>-195240163</v>
      </c>
      <c r="E19" s="217">
        <v>-524044474</v>
      </c>
      <c r="F19" s="60">
        <f>H19-D19</f>
        <v>0</v>
      </c>
      <c r="G19" s="37">
        <f>I19-E19</f>
        <v>0</v>
      </c>
      <c r="H19" s="65">
        <f t="shared" si="4"/>
        <v>-195240163</v>
      </c>
      <c r="I19" s="66">
        <f t="shared" si="4"/>
        <v>-524044474</v>
      </c>
      <c r="J19" s="60"/>
      <c r="K19" s="38"/>
      <c r="L19" s="60">
        <f t="shared" ref="L19:M23" si="5">H19+J19</f>
        <v>-195240163</v>
      </c>
      <c r="M19" s="38">
        <f t="shared" si="5"/>
        <v>-524044474</v>
      </c>
    </row>
    <row r="20" spans="1:13" x14ac:dyDescent="0.25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7">
        <v>-95951921</v>
      </c>
      <c r="E21" s="217">
        <v>-271284464</v>
      </c>
      <c r="F21" s="60">
        <f t="shared" si="6"/>
        <v>0</v>
      </c>
      <c r="G21" s="37">
        <f t="shared" si="6"/>
        <v>0</v>
      </c>
      <c r="H21" s="65">
        <f t="shared" si="4"/>
        <v>-95951921</v>
      </c>
      <c r="I21" s="66">
        <f t="shared" si="4"/>
        <v>-271284464</v>
      </c>
      <c r="J21" s="60"/>
      <c r="K21" s="38"/>
      <c r="L21" s="60">
        <f t="shared" si="5"/>
        <v>-95951921</v>
      </c>
      <c r="M21" s="38">
        <f t="shared" si="5"/>
        <v>-271284464</v>
      </c>
    </row>
    <row r="22" spans="1:13" x14ac:dyDescent="0.25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7">
        <v>561927</v>
      </c>
      <c r="E23" s="217">
        <v>1566495</v>
      </c>
      <c r="F23" s="60">
        <f t="shared" si="6"/>
        <v>0</v>
      </c>
      <c r="G23" s="37">
        <f t="shared" si="6"/>
        <v>0</v>
      </c>
      <c r="H23" s="65">
        <f t="shared" si="4"/>
        <v>561927</v>
      </c>
      <c r="I23" s="66">
        <f t="shared" si="4"/>
        <v>1566495</v>
      </c>
      <c r="J23" s="60"/>
      <c r="K23" s="38"/>
      <c r="L23" s="60">
        <f t="shared" si="5"/>
        <v>561927</v>
      </c>
      <c r="M23" s="38">
        <f t="shared" si="5"/>
        <v>1566495</v>
      </c>
    </row>
    <row r="24" spans="1:13" x14ac:dyDescent="0.25">
      <c r="A24" s="9"/>
      <c r="B24" s="7" t="s">
        <v>33</v>
      </c>
      <c r="C24" s="6"/>
      <c r="D24" s="218">
        <v>-290630157</v>
      </c>
      <c r="E24" s="218">
        <v>-793762443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-290630157</v>
      </c>
      <c r="I24" s="39">
        <f>SUM(I19:I23)</f>
        <v>-793762443</v>
      </c>
      <c r="J24" s="61">
        <f t="shared" si="7"/>
        <v>0</v>
      </c>
      <c r="K24" s="39">
        <f t="shared" si="7"/>
        <v>0</v>
      </c>
      <c r="L24" s="61">
        <f t="shared" si="7"/>
        <v>-290630157</v>
      </c>
      <c r="M24" s="39">
        <f t="shared" si="7"/>
        <v>-793762443</v>
      </c>
    </row>
    <row r="25" spans="1:13" x14ac:dyDescent="0.25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7">
        <v>13934</v>
      </c>
      <c r="E32" s="217">
        <v>41850</v>
      </c>
      <c r="F32" s="60">
        <f>H32-D32</f>
        <v>0</v>
      </c>
      <c r="G32" s="37">
        <f>I32-E32</f>
        <v>0</v>
      </c>
      <c r="H32" s="65">
        <f t="shared" ref="H32:I35" si="9">D32</f>
        <v>13934</v>
      </c>
      <c r="I32" s="66">
        <f t="shared" si="9"/>
        <v>41850</v>
      </c>
      <c r="J32" s="60"/>
      <c r="K32" s="38"/>
      <c r="L32" s="60">
        <f t="shared" ref="L32:M35" si="10">H32+J32</f>
        <v>13934</v>
      </c>
      <c r="M32" s="38">
        <f t="shared" si="10"/>
        <v>41850</v>
      </c>
    </row>
    <row r="33" spans="1:13" x14ac:dyDescent="0.25">
      <c r="A33" s="9">
        <v>14</v>
      </c>
      <c r="B33" s="7"/>
      <c r="C33" s="18" t="s">
        <v>40</v>
      </c>
      <c r="D33" s="217">
        <v>579330</v>
      </c>
      <c r="E33" s="217">
        <v>1546257</v>
      </c>
      <c r="F33" s="60">
        <f t="shared" ref="F33:G35" si="11">H33-D33</f>
        <v>0</v>
      </c>
      <c r="G33" s="37">
        <f t="shared" si="11"/>
        <v>0</v>
      </c>
      <c r="H33" s="65">
        <f t="shared" si="9"/>
        <v>579330</v>
      </c>
      <c r="I33" s="66">
        <f t="shared" si="9"/>
        <v>1546257</v>
      </c>
      <c r="J33" s="60"/>
      <c r="K33" s="38"/>
      <c r="L33" s="60">
        <f t="shared" si="10"/>
        <v>579330</v>
      </c>
      <c r="M33" s="38">
        <f t="shared" si="10"/>
        <v>1546257</v>
      </c>
    </row>
    <row r="34" spans="1:13" x14ac:dyDescent="0.25">
      <c r="A34" s="9">
        <v>15</v>
      </c>
      <c r="B34" s="7"/>
      <c r="C34" s="18" t="s">
        <v>41</v>
      </c>
      <c r="D34" s="217">
        <v>-721131</v>
      </c>
      <c r="E34" s="217">
        <v>-1967200</v>
      </c>
      <c r="F34" s="60">
        <f t="shared" si="11"/>
        <v>0</v>
      </c>
      <c r="G34" s="37">
        <f t="shared" si="11"/>
        <v>0</v>
      </c>
      <c r="H34" s="65">
        <f t="shared" si="9"/>
        <v>-721131</v>
      </c>
      <c r="I34" s="66">
        <f t="shared" si="9"/>
        <v>-1967200</v>
      </c>
      <c r="J34" s="60"/>
      <c r="K34" s="38"/>
      <c r="L34" s="60">
        <f t="shared" si="10"/>
        <v>-721131</v>
      </c>
      <c r="M34" s="38">
        <f t="shared" si="10"/>
        <v>-1967200</v>
      </c>
    </row>
    <row r="35" spans="1:13" x14ac:dyDescent="0.25">
      <c r="A35" s="9">
        <v>16</v>
      </c>
      <c r="B35" s="7"/>
      <c r="C35" s="18" t="s">
        <v>42</v>
      </c>
      <c r="D35" s="217">
        <v>-136134</v>
      </c>
      <c r="E35" s="217">
        <v>-1121629</v>
      </c>
      <c r="F35" s="60">
        <f t="shared" si="11"/>
        <v>0</v>
      </c>
      <c r="G35" s="37">
        <f t="shared" si="11"/>
        <v>0</v>
      </c>
      <c r="H35" s="65">
        <f t="shared" si="9"/>
        <v>-136134</v>
      </c>
      <c r="I35" s="66">
        <f t="shared" si="9"/>
        <v>-1121629</v>
      </c>
      <c r="J35" s="60"/>
      <c r="K35" s="38"/>
      <c r="L35" s="60">
        <f t="shared" si="10"/>
        <v>-136134</v>
      </c>
      <c r="M35" s="38">
        <f t="shared" si="10"/>
        <v>-1121629</v>
      </c>
    </row>
    <row r="36" spans="1:13" x14ac:dyDescent="0.25">
      <c r="A36" s="9"/>
      <c r="B36" s="7" t="s">
        <v>43</v>
      </c>
      <c r="C36" s="6"/>
      <c r="D36" s="218">
        <v>-264001</v>
      </c>
      <c r="E36" s="218">
        <v>-1500722</v>
      </c>
      <c r="F36" s="61">
        <f>SUM(F32:F35)</f>
        <v>0</v>
      </c>
      <c r="G36" s="39">
        <f>SUM(G32:G35)</f>
        <v>0</v>
      </c>
      <c r="H36" s="61">
        <f>SUM(H32:H35)</f>
        <v>-264001</v>
      </c>
      <c r="I36" s="39">
        <f>SUM(I32:I35)</f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5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7">
        <v>1213095</v>
      </c>
      <c r="E39" s="217">
        <v>3150492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1213095</v>
      </c>
      <c r="I39" s="66">
        <f t="shared" si="12"/>
        <v>3150492</v>
      </c>
      <c r="J39" s="60"/>
      <c r="K39" s="38"/>
      <c r="L39" s="60">
        <f t="shared" ref="L39:M41" si="14">H39+J39</f>
        <v>1213095</v>
      </c>
      <c r="M39" s="38">
        <f t="shared" si="14"/>
        <v>3150492</v>
      </c>
    </row>
    <row r="40" spans="1:13" ht="22.5" customHeight="1" x14ac:dyDescent="0.25">
      <c r="A40" s="9">
        <v>18</v>
      </c>
      <c r="B40" s="7"/>
      <c r="C40" s="18" t="s">
        <v>46</v>
      </c>
      <c r="D40" s="217">
        <v>-2533756</v>
      </c>
      <c r="E40" s="217">
        <v>-6709343</v>
      </c>
      <c r="F40" s="60">
        <f t="shared" si="13"/>
        <v>0</v>
      </c>
      <c r="G40" s="37">
        <f t="shared" si="13"/>
        <v>0</v>
      </c>
      <c r="H40" s="65">
        <f t="shared" si="12"/>
        <v>-2533756</v>
      </c>
      <c r="I40" s="66">
        <f t="shared" si="12"/>
        <v>-6709343</v>
      </c>
      <c r="J40" s="60"/>
      <c r="K40" s="38"/>
      <c r="L40" s="60">
        <f t="shared" si="14"/>
        <v>-2533756</v>
      </c>
      <c r="M40" s="38">
        <f t="shared" si="14"/>
        <v>-6709343</v>
      </c>
    </row>
    <row r="41" spans="1:13" x14ac:dyDescent="0.25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8">
        <v>-2533756</v>
      </c>
      <c r="E42" s="218">
        <v>-6709343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-2533756</v>
      </c>
      <c r="I42" s="39">
        <f>SUM(I40:I41)</f>
        <v>-6709343</v>
      </c>
      <c r="J42" s="61">
        <f t="shared" si="15"/>
        <v>0</v>
      </c>
      <c r="K42" s="39">
        <f t="shared" si="15"/>
        <v>0</v>
      </c>
      <c r="L42" s="61">
        <f t="shared" si="15"/>
        <v>-2533756</v>
      </c>
      <c r="M42" s="39">
        <f t="shared" si="15"/>
        <v>-6709343</v>
      </c>
    </row>
    <row r="43" spans="1:13" ht="21" customHeight="1" x14ac:dyDescent="0.25">
      <c r="A43" s="9"/>
      <c r="B43" s="7" t="s">
        <v>49</v>
      </c>
      <c r="C43" s="6"/>
      <c r="D43" s="218">
        <v>-1320661</v>
      </c>
      <c r="E43" s="218">
        <v>-3558851</v>
      </c>
      <c r="F43" s="61">
        <f t="shared" ref="F43:M43" si="16">F42+F39</f>
        <v>0</v>
      </c>
      <c r="G43" s="39">
        <f t="shared" si="16"/>
        <v>0</v>
      </c>
      <c r="H43" s="61">
        <f>H42+H39</f>
        <v>-1320661</v>
      </c>
      <c r="I43" s="39">
        <f>I42+I39</f>
        <v>-3558851</v>
      </c>
      <c r="J43" s="61">
        <f t="shared" si="16"/>
        <v>0</v>
      </c>
      <c r="K43" s="39">
        <f t="shared" si="16"/>
        <v>0</v>
      </c>
      <c r="L43" s="61">
        <f t="shared" si="16"/>
        <v>-1320661</v>
      </c>
      <c r="M43" s="39">
        <f t="shared" si="16"/>
        <v>-3558851</v>
      </c>
    </row>
    <row r="44" spans="1:13" x14ac:dyDescent="0.25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7">
        <v>-156215</v>
      </c>
      <c r="E49" s="217">
        <v>-410689.23499999999</v>
      </c>
      <c r="F49" s="60">
        <f>H49-D49</f>
        <v>0</v>
      </c>
      <c r="G49" s="37">
        <f>I49-E49</f>
        <v>0</v>
      </c>
      <c r="H49" s="65">
        <f>D49</f>
        <v>-156215</v>
      </c>
      <c r="I49" s="66">
        <f>E49</f>
        <v>-410689.23499999999</v>
      </c>
      <c r="J49" s="60"/>
      <c r="K49" s="38"/>
      <c r="L49" s="60">
        <f>H49+J49</f>
        <v>-156215</v>
      </c>
      <c r="M49" s="38">
        <f>I49+K49</f>
        <v>-410689.23499999999</v>
      </c>
    </row>
    <row r="50" spans="1:15" x14ac:dyDescent="0.25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7">
        <v>-561927</v>
      </c>
      <c r="E51" s="217">
        <v>-1566495</v>
      </c>
      <c r="F51" s="60">
        <f>H51-D51</f>
        <v>0</v>
      </c>
      <c r="G51" s="37">
        <f>I51-E51</f>
        <v>0</v>
      </c>
      <c r="H51" s="65">
        <f>D51</f>
        <v>-561927</v>
      </c>
      <c r="I51" s="66">
        <f>E51</f>
        <v>-1566495</v>
      </c>
      <c r="J51" s="60"/>
      <c r="K51" s="38"/>
      <c r="L51" s="60">
        <f>H51+J51</f>
        <v>-561927</v>
      </c>
      <c r="M51" s="38">
        <f>I51+K51</f>
        <v>-1566495</v>
      </c>
    </row>
    <row r="52" spans="1:15" x14ac:dyDescent="0.25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7">
        <v>0</v>
      </c>
      <c r="E54" s="217">
        <v>-2196592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-2196592</v>
      </c>
      <c r="J54" s="60"/>
      <c r="K54" s="38"/>
      <c r="L54" s="60">
        <f>H54+J54</f>
        <v>0</v>
      </c>
      <c r="M54" s="38">
        <f>I54+K54</f>
        <v>-2196592</v>
      </c>
    </row>
    <row r="55" spans="1:15" x14ac:dyDescent="0.25">
      <c r="A55" s="9">
        <v>25</v>
      </c>
      <c r="B55" s="7"/>
      <c r="C55" s="18" t="s">
        <v>56</v>
      </c>
      <c r="D55" s="217">
        <v>0</v>
      </c>
      <c r="E55" s="217">
        <v>-1736161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-1736161</v>
      </c>
      <c r="J55" s="60"/>
      <c r="K55" s="38"/>
      <c r="L55" s="60">
        <f>H55+J55</f>
        <v>0</v>
      </c>
      <c r="M55" s="38">
        <f>I55+K55</f>
        <v>-1736161</v>
      </c>
    </row>
    <row r="56" spans="1:15" x14ac:dyDescent="0.25">
      <c r="A56" s="9"/>
      <c r="B56" s="7" t="s">
        <v>57</v>
      </c>
      <c r="C56" s="6"/>
      <c r="D56" s="218">
        <v>0</v>
      </c>
      <c r="E56" s="218">
        <v>-3932753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-3932753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-3932753</v>
      </c>
    </row>
    <row r="57" spans="1:15" x14ac:dyDescent="0.25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7">
        <v>0</v>
      </c>
      <c r="E70" s="217">
        <v>1165617.6111000003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1165617.6111000003</v>
      </c>
      <c r="J70" s="60"/>
      <c r="K70" s="38"/>
      <c r="L70" s="60">
        <f>H70+J70</f>
        <v>0</v>
      </c>
      <c r="M70" s="38">
        <f>I70+K70</f>
        <v>1165617.6111000003</v>
      </c>
    </row>
    <row r="71" spans="1:13" x14ac:dyDescent="0.25">
      <c r="A71" s="9">
        <v>31</v>
      </c>
      <c r="B71" s="3"/>
      <c r="C71" s="10" t="s">
        <v>68</v>
      </c>
      <c r="D71" s="217">
        <v>0</v>
      </c>
      <c r="E71" s="217">
        <v>-563222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-563222</v>
      </c>
      <c r="J71" s="60"/>
      <c r="K71" s="38"/>
      <c r="L71" s="60">
        <f>H71+J71</f>
        <v>0</v>
      </c>
      <c r="M71" s="38">
        <f>I71+K71</f>
        <v>-563222</v>
      </c>
    </row>
    <row r="72" spans="1:13" x14ac:dyDescent="0.25">
      <c r="A72" s="9"/>
      <c r="B72" s="3"/>
      <c r="C72" s="55" t="s">
        <v>69</v>
      </c>
      <c r="D72" s="218">
        <v>0</v>
      </c>
      <c r="E72" s="218">
        <v>602395.61110000033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602395.61110000033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602395.61110000033</v>
      </c>
    </row>
    <row r="73" spans="1:13" x14ac:dyDescent="0.25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7">
        <v>0</v>
      </c>
      <c r="E74" s="217">
        <v>702407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702407</v>
      </c>
      <c r="J74" s="60"/>
      <c r="K74" s="38"/>
      <c r="L74" s="60">
        <f t="shared" si="22"/>
        <v>0</v>
      </c>
      <c r="M74" s="38">
        <f t="shared" si="22"/>
        <v>702407</v>
      </c>
    </row>
    <row r="75" spans="1:13" x14ac:dyDescent="0.25">
      <c r="A75" s="9">
        <v>34</v>
      </c>
      <c r="B75" s="3"/>
      <c r="C75" s="10" t="s">
        <v>72</v>
      </c>
      <c r="D75" s="217">
        <v>0</v>
      </c>
      <c r="E75" s="217">
        <v>-34406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-34406</v>
      </c>
      <c r="J75" s="60"/>
      <c r="K75" s="38"/>
      <c r="L75" s="60">
        <f t="shared" si="22"/>
        <v>0</v>
      </c>
      <c r="M75" s="38">
        <f t="shared" si="22"/>
        <v>-34406</v>
      </c>
    </row>
    <row r="76" spans="1:13" x14ac:dyDescent="0.25">
      <c r="A76" s="9">
        <v>35</v>
      </c>
      <c r="B76" s="3"/>
      <c r="C76" s="10" t="s">
        <v>73</v>
      </c>
      <c r="D76" s="217">
        <v>0</v>
      </c>
      <c r="E76" s="217">
        <v>-5809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-5809</v>
      </c>
      <c r="J76" s="60"/>
      <c r="K76" s="38"/>
      <c r="L76" s="60">
        <f t="shared" si="22"/>
        <v>0</v>
      </c>
      <c r="M76" s="38">
        <f t="shared" si="22"/>
        <v>-5809</v>
      </c>
    </row>
    <row r="77" spans="1:13" x14ac:dyDescent="0.25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5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5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7">
        <v>0</v>
      </c>
      <c r="E80" s="217">
        <v>-202500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-202500</v>
      </c>
      <c r="J80" s="60"/>
      <c r="K80" s="38"/>
      <c r="L80" s="60">
        <f t="shared" si="22"/>
        <v>0</v>
      </c>
      <c r="M80" s="38">
        <f t="shared" si="22"/>
        <v>-202500</v>
      </c>
    </row>
    <row r="81" spans="1:67" x14ac:dyDescent="0.25">
      <c r="A81" s="9">
        <v>40</v>
      </c>
      <c r="B81" s="3"/>
      <c r="C81" s="10" t="s">
        <v>78</v>
      </c>
      <c r="D81" s="217">
        <v>0</v>
      </c>
      <c r="E81" s="217">
        <v>-72206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-72206</v>
      </c>
      <c r="J81" s="60"/>
      <c r="K81" s="38"/>
      <c r="L81" s="60">
        <f t="shared" si="22"/>
        <v>0</v>
      </c>
      <c r="M81" s="38">
        <f t="shared" si="22"/>
        <v>-72206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22968</v>
      </c>
      <c r="E82" s="141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135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22968</v>
      </c>
      <c r="E91" s="156">
        <f t="shared" ref="E91:M91" si="27">+E82+E89</f>
        <v>-1652488.3689000462</v>
      </c>
      <c r="F91" s="156">
        <f t="shared" si="27"/>
        <v>0</v>
      </c>
      <c r="G91" s="156">
        <f t="shared" si="27"/>
        <v>0</v>
      </c>
      <c r="H91" s="156">
        <f t="shared" si="27"/>
        <v>22968</v>
      </c>
      <c r="I91" s="156">
        <f t="shared" si="27"/>
        <v>-1652488.3689000462</v>
      </c>
      <c r="J91" s="156">
        <f t="shared" si="27"/>
        <v>0</v>
      </c>
      <c r="K91" s="156">
        <f t="shared" si="27"/>
        <v>0</v>
      </c>
      <c r="L91" s="156">
        <f t="shared" si="27"/>
        <v>22968</v>
      </c>
      <c r="M91" s="156">
        <f t="shared" si="27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196365526</v>
      </c>
      <c r="E11" s="66">
        <f>'EAST-EGM-FLSH'!E11+'EAST-LRC-FLSH'!E11</f>
        <v>533064366</v>
      </c>
      <c r="F11" s="37">
        <f>H11-D11</f>
        <v>0</v>
      </c>
      <c r="G11" s="37">
        <f>I11-E11</f>
        <v>0</v>
      </c>
      <c r="H11" s="60">
        <f>'EAST-EGM-FLSH'!H11+'EAST-LRC-FLSH'!H11</f>
        <v>196365526</v>
      </c>
      <c r="I11" s="38">
        <f>'EAST-EGM-FLSH'!I11+'EAST-LRC-FLSH'!I11</f>
        <v>533064366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196365526</v>
      </c>
      <c r="M11" s="38">
        <f t="shared" si="0"/>
        <v>533064366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96028476</v>
      </c>
      <c r="E13" s="66">
        <f>'EAST-EGM-FLSH'!E13+'EAST-LRC-FLSH'!E13</f>
        <v>269283472</v>
      </c>
      <c r="F13" s="60">
        <f t="shared" si="1"/>
        <v>0</v>
      </c>
      <c r="G13" s="37">
        <f t="shared" si="1"/>
        <v>0</v>
      </c>
      <c r="H13" s="60">
        <f>'EAST-EGM-FLSH'!H13+'EAST-LRC-FLSH'!H13</f>
        <v>96028476</v>
      </c>
      <c r="I13" s="38">
        <f>'EAST-EGM-FLSH'!I13+'EAST-LRC-FLSH'!I13</f>
        <v>269283472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96028476</v>
      </c>
      <c r="M13" s="38">
        <f t="shared" si="0"/>
        <v>269283472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10354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10354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10354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292394002</v>
      </c>
      <c r="E16" s="39">
        <f>SUM(E11:E15)</f>
        <v>802358192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292394002</v>
      </c>
      <c r="I16" s="39">
        <f t="shared" si="2"/>
        <v>802358192</v>
      </c>
      <c r="J16" s="61">
        <f t="shared" si="2"/>
        <v>0</v>
      </c>
      <c r="K16" s="39">
        <f t="shared" si="2"/>
        <v>0</v>
      </c>
      <c r="L16" s="61">
        <f t="shared" si="2"/>
        <v>292394002</v>
      </c>
      <c r="M16" s="39">
        <f t="shared" si="2"/>
        <v>802358192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-195240163</v>
      </c>
      <c r="E19" s="66">
        <f>'EAST-EGM-FLSH'!E19+'EAST-LRC-FLSH'!E19</f>
        <v>-524044474</v>
      </c>
      <c r="F19" s="60">
        <f>H19-D19</f>
        <v>0</v>
      </c>
      <c r="G19" s="37">
        <f>I19-E19</f>
        <v>0</v>
      </c>
      <c r="H19" s="60">
        <f>'EAST-EGM-FLSH'!H19+'EAST-LRC-FLSH'!H19</f>
        <v>-195240163</v>
      </c>
      <c r="I19" s="38">
        <f>'EAST-EGM-FLSH'!I19+'EAST-LRC-FLSH'!I19</f>
        <v>-524044474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-195240163</v>
      </c>
      <c r="M19" s="38">
        <f t="shared" si="3"/>
        <v>-524044474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-95951921</v>
      </c>
      <c r="E21" s="66">
        <f>'EAST-EGM-FLSH'!E21+'EAST-LRC-FLSH'!E21</f>
        <v>-271284464</v>
      </c>
      <c r="F21" s="60">
        <f t="shared" si="4"/>
        <v>0</v>
      </c>
      <c r="G21" s="37">
        <f t="shared" si="4"/>
        <v>0</v>
      </c>
      <c r="H21" s="60">
        <f>'EAST-EGM-FLSH'!H21+'EAST-LRC-FLSH'!H21</f>
        <v>-95951921</v>
      </c>
      <c r="I21" s="38">
        <f>'EAST-EGM-FLSH'!I21+'EAST-LRC-FLSH'!I21</f>
        <v>-271284464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-95951921</v>
      </c>
      <c r="M21" s="38">
        <f t="shared" si="3"/>
        <v>-271284464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561927</v>
      </c>
      <c r="E23" s="66">
        <f>'EAST-EGM-FLSH'!E23+'EAST-LRC-FLSH'!E23</f>
        <v>1566495</v>
      </c>
      <c r="F23" s="60">
        <f t="shared" si="4"/>
        <v>0</v>
      </c>
      <c r="G23" s="37">
        <f t="shared" si="4"/>
        <v>0</v>
      </c>
      <c r="H23" s="60">
        <f>'EAST-EGM-FLSH'!H23+'EAST-LRC-FLSH'!H23</f>
        <v>561927</v>
      </c>
      <c r="I23" s="38">
        <f>'EAST-EGM-FLSH'!I23+'EAST-LRC-FLSH'!I23</f>
        <v>1566495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561927</v>
      </c>
      <c r="M23" s="38">
        <f t="shared" si="3"/>
        <v>1566495</v>
      </c>
    </row>
    <row r="24" spans="1:13" x14ac:dyDescent="0.25">
      <c r="A24" s="9"/>
      <c r="B24" s="7" t="s">
        <v>33</v>
      </c>
      <c r="C24" s="6"/>
      <c r="D24" s="61">
        <f>SUM(D19:D23)</f>
        <v>-290630157</v>
      </c>
      <c r="E24" s="39">
        <f>SUM(E19:E23)</f>
        <v>-793762443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-290630157</v>
      </c>
      <c r="I24" s="39">
        <f t="shared" si="5"/>
        <v>-793762443</v>
      </c>
      <c r="J24" s="61">
        <f t="shared" si="5"/>
        <v>0</v>
      </c>
      <c r="K24" s="39">
        <f t="shared" si="5"/>
        <v>0</v>
      </c>
      <c r="L24" s="61">
        <f t="shared" si="5"/>
        <v>-290630157</v>
      </c>
      <c r="M24" s="39">
        <f t="shared" si="5"/>
        <v>-793762443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13934</v>
      </c>
      <c r="E32" s="66">
        <f>'EAST-EGM-FLSH'!E32+'EAST-LRC-FLSH'!E32</f>
        <v>41850</v>
      </c>
      <c r="F32" s="60">
        <f>H32-D32</f>
        <v>0</v>
      </c>
      <c r="G32" s="37">
        <f>I32-E32</f>
        <v>0</v>
      </c>
      <c r="H32" s="60">
        <f>'EAST-EGM-FLSH'!H32+'EAST-LRC-FLSH'!H32</f>
        <v>13934</v>
      </c>
      <c r="I32" s="38">
        <f>'EAST-EGM-FLSH'!I32+'EAST-LRC-FLSH'!I32</f>
        <v>41850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13934</v>
      </c>
      <c r="M32" s="38">
        <f t="shared" si="7"/>
        <v>41850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579330</v>
      </c>
      <c r="E33" s="66">
        <f>'EAST-EGM-FLSH'!E33+'EAST-LRC-FLSH'!E33</f>
        <v>1546257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579330</v>
      </c>
      <c r="I33" s="38">
        <f>'EAST-EGM-FLSH'!I33+'EAST-LRC-FLSH'!I33</f>
        <v>1546257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579330</v>
      </c>
      <c r="M33" s="38">
        <f t="shared" si="7"/>
        <v>1546257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-721131</v>
      </c>
      <c r="E34" s="66">
        <f>'EAST-EGM-FLSH'!E34+'EAST-LRC-FLSH'!E34</f>
        <v>-1967200</v>
      </c>
      <c r="F34" s="60">
        <f t="shared" si="8"/>
        <v>0</v>
      </c>
      <c r="G34" s="37">
        <f t="shared" si="8"/>
        <v>0</v>
      </c>
      <c r="H34" s="60">
        <f>'EAST-EGM-FLSH'!H34+'EAST-LRC-FLSH'!H34</f>
        <v>-721131</v>
      </c>
      <c r="I34" s="38">
        <f>'EAST-EGM-FLSH'!I34+'EAST-LRC-FLSH'!I34</f>
        <v>-1967200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-721131</v>
      </c>
      <c r="M34" s="38">
        <f t="shared" si="7"/>
        <v>-1967200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-136134</v>
      </c>
      <c r="E35" s="66">
        <f>'EAST-EGM-FLSH'!E35+'EAST-LRC-FLSH'!E35</f>
        <v>-1121629</v>
      </c>
      <c r="F35" s="60">
        <f t="shared" si="8"/>
        <v>0</v>
      </c>
      <c r="G35" s="37">
        <f t="shared" si="8"/>
        <v>0</v>
      </c>
      <c r="H35" s="60">
        <f>'EAST-EGM-FLSH'!H35+'EAST-LRC-FLSH'!H35</f>
        <v>-136134</v>
      </c>
      <c r="I35" s="38">
        <f>'EAST-EGM-FLSH'!I35+'EAST-LRC-FLSH'!I35</f>
        <v>-1121629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-136134</v>
      </c>
      <c r="M35" s="38">
        <f t="shared" si="7"/>
        <v>-1121629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-264001</v>
      </c>
      <c r="E36" s="39">
        <f t="shared" si="9"/>
        <v>-1500722</v>
      </c>
      <c r="F36" s="61">
        <f t="shared" si="9"/>
        <v>0</v>
      </c>
      <c r="G36" s="39">
        <f t="shared" si="9"/>
        <v>0</v>
      </c>
      <c r="H36" s="61">
        <f t="shared" si="9"/>
        <v>-264001</v>
      </c>
      <c r="I36" s="39">
        <f t="shared" si="9"/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1213095</v>
      </c>
      <c r="E39" s="66">
        <f>'EAST-EGM-FLSH'!E39+'EAST-LRC-FLSH'!E39</f>
        <v>3150492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1213095</v>
      </c>
      <c r="I39" s="38">
        <f>'EAST-EGM-FLSH'!I39+'EAST-LRC-FLSH'!I39</f>
        <v>3150492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1213095</v>
      </c>
      <c r="M39" s="38">
        <f t="shared" si="11"/>
        <v>3150492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-2533756</v>
      </c>
      <c r="E40" s="66">
        <f>'EAST-EGM-FLSH'!E40+'EAST-LRC-FLSH'!E40</f>
        <v>-6709343</v>
      </c>
      <c r="F40" s="60">
        <f t="shared" si="10"/>
        <v>0</v>
      </c>
      <c r="G40" s="37">
        <f t="shared" si="10"/>
        <v>0</v>
      </c>
      <c r="H40" s="60">
        <f>'EAST-EGM-FLSH'!H40+'EAST-LRC-FLSH'!H40</f>
        <v>-2533756</v>
      </c>
      <c r="I40" s="38">
        <f>'EAST-EGM-FLSH'!I40+'EAST-LRC-FLSH'!I40</f>
        <v>-6709343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-2533756</v>
      </c>
      <c r="M40" s="38">
        <f t="shared" si="11"/>
        <v>-6709343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-2533756</v>
      </c>
      <c r="E42" s="39">
        <f>SUM(E40:E41)</f>
        <v>-6709343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-2533756</v>
      </c>
      <c r="I42" s="39">
        <f t="shared" si="12"/>
        <v>-6709343</v>
      </c>
      <c r="J42" s="61">
        <f t="shared" si="12"/>
        <v>0</v>
      </c>
      <c r="K42" s="39">
        <f t="shared" si="12"/>
        <v>0</v>
      </c>
      <c r="L42" s="61">
        <f t="shared" si="12"/>
        <v>-2533756</v>
      </c>
      <c r="M42" s="39">
        <f t="shared" si="12"/>
        <v>-6709343</v>
      </c>
    </row>
    <row r="43" spans="1:13" ht="21" customHeight="1" x14ac:dyDescent="0.25">
      <c r="A43" s="9"/>
      <c r="B43" s="7" t="s">
        <v>49</v>
      </c>
      <c r="C43" s="6"/>
      <c r="D43" s="61">
        <f>D42+D39</f>
        <v>-1320661</v>
      </c>
      <c r="E43" s="39">
        <f>E42+E39</f>
        <v>-3558851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-1320661</v>
      </c>
      <c r="I43" s="39">
        <f t="shared" si="13"/>
        <v>-3558851</v>
      </c>
      <c r="J43" s="61">
        <f t="shared" si="13"/>
        <v>0</v>
      </c>
      <c r="K43" s="39">
        <f t="shared" si="13"/>
        <v>0</v>
      </c>
      <c r="L43" s="61">
        <f t="shared" si="13"/>
        <v>-1320661</v>
      </c>
      <c r="M43" s="39">
        <f t="shared" si="13"/>
        <v>-3558851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-156215</v>
      </c>
      <c r="E49" s="66">
        <f>'EAST-EGM-FLSH'!E49+'EAST-LRC-FLSH'!E49</f>
        <v>-410689.23499999999</v>
      </c>
      <c r="F49" s="60">
        <f>H49-D49</f>
        <v>0</v>
      </c>
      <c r="G49" s="37">
        <f>I49-E49</f>
        <v>0</v>
      </c>
      <c r="H49" s="60">
        <f>'EAST-EGM-FLSH'!H49+'EAST-LRC-FLSH'!H49</f>
        <v>-156215</v>
      </c>
      <c r="I49" s="38">
        <f>'EAST-EGM-FLSH'!I49+'EAST-LRC-FLSH'!I49</f>
        <v>-410689.23499999999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-156215</v>
      </c>
      <c r="M49" s="38">
        <f>I49+K49</f>
        <v>-410689.23499999999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-561927</v>
      </c>
      <c r="E51" s="66">
        <f>'EAST-EGM-FLSH'!E51+'EAST-LRC-FLSH'!E51</f>
        <v>-1566495</v>
      </c>
      <c r="F51" s="60">
        <f>H51-D51</f>
        <v>0</v>
      </c>
      <c r="G51" s="37">
        <f>I51-E51</f>
        <v>0</v>
      </c>
      <c r="H51" s="60">
        <f>'EAST-EGM-FLSH'!H51+'EAST-LRC-FLSH'!H51</f>
        <v>-561927</v>
      </c>
      <c r="I51" s="38">
        <f>'EAST-EGM-FLSH'!I51+'EAST-LRC-FLSH'!I51</f>
        <v>-1566495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-561927</v>
      </c>
      <c r="M51" s="38">
        <f>I51+K51</f>
        <v>-1566495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-2196592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-2196592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-2196592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-1736161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-1736161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-1736161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-3932753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-3932753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-3932753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1165617.6111000003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1165617.6111000003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1165617.6111000003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-563222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-563222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-563222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602395.61110000033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602395.61110000033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602395.61110000033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702407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702407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702407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-34406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-34406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-34406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-5809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-5809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-5809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-202500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-202500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-202500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-72206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-72206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-72206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22968</v>
      </c>
      <c r="E82" s="74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74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-1996625.3689000462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22968</v>
      </c>
      <c r="E91" s="155">
        <f t="shared" ref="E91:M91" si="21">+E82+E89</f>
        <v>-1652488.3689000462</v>
      </c>
      <c r="F91" s="155">
        <f t="shared" si="21"/>
        <v>0</v>
      </c>
      <c r="G91" s="155">
        <f t="shared" si="21"/>
        <v>0</v>
      </c>
      <c r="H91" s="155">
        <f t="shared" si="21"/>
        <v>22968</v>
      </c>
      <c r="I91" s="155">
        <f t="shared" si="21"/>
        <v>-1652488.3689000462</v>
      </c>
      <c r="J91" s="155">
        <f t="shared" si="21"/>
        <v>0</v>
      </c>
      <c r="K91" s="155">
        <f t="shared" si="21"/>
        <v>0</v>
      </c>
      <c r="L91" s="155">
        <f t="shared" si="21"/>
        <v>22968</v>
      </c>
      <c r="M91" s="155">
        <f t="shared" si="21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J75" activePane="bottomRight" state="frozen"/>
      <selection activeCell="D10" sqref="D10"/>
      <selection pane="topRight" activeCell="D10" sqref="D10"/>
      <selection pane="bottomLeft" activeCell="D10" sqref="D10"/>
      <selection pane="bottomRight" activeCell="L86" sqref="L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14334003</v>
      </c>
      <c r="E11" s="38">
        <v>37623502.069999993</v>
      </c>
      <c r="F11" s="65">
        <f>H11-D11</f>
        <v>0</v>
      </c>
      <c r="G11" s="63">
        <f>I11-E11</f>
        <v>0</v>
      </c>
      <c r="H11" s="65">
        <f>D11</f>
        <v>14334003</v>
      </c>
      <c r="I11" s="66">
        <f>E11</f>
        <v>37623502.069999993</v>
      </c>
      <c r="J11" s="60"/>
      <c r="K11" s="38"/>
      <c r="L11" s="60">
        <f t="shared" ref="L11:M15" si="0">H11+J11</f>
        <v>14334003</v>
      </c>
      <c r="M11" s="38">
        <f t="shared" si="0"/>
        <v>37623502.069999993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231232</v>
      </c>
      <c r="E13" s="38">
        <v>623375.39</v>
      </c>
      <c r="F13" s="65">
        <f t="shared" si="1"/>
        <v>0</v>
      </c>
      <c r="G13" s="63">
        <f t="shared" si="1"/>
        <v>0</v>
      </c>
      <c r="H13" s="65">
        <f t="shared" si="2"/>
        <v>231232</v>
      </c>
      <c r="I13" s="66">
        <f t="shared" si="2"/>
        <v>623375.39</v>
      </c>
      <c r="J13" s="60"/>
      <c r="K13" s="38"/>
      <c r="L13" s="60">
        <f t="shared" si="0"/>
        <v>231232</v>
      </c>
      <c r="M13" s="38">
        <f t="shared" si="0"/>
        <v>623375.39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14565235</v>
      </c>
      <c r="E16" s="39">
        <v>38366877.459999993</v>
      </c>
      <c r="F16" s="61">
        <f t="shared" ref="F16:M16" si="3">SUM(F11:F15)</f>
        <v>0</v>
      </c>
      <c r="G16" s="39">
        <f t="shared" si="3"/>
        <v>0</v>
      </c>
      <c r="H16" s="61">
        <f>SUM(H11:H15)</f>
        <v>14565235</v>
      </c>
      <c r="I16" s="39">
        <f>SUM(I11:I15)</f>
        <v>38366877.459999993</v>
      </c>
      <c r="J16" s="61">
        <f t="shared" si="3"/>
        <v>0</v>
      </c>
      <c r="K16" s="39">
        <f t="shared" si="3"/>
        <v>0</v>
      </c>
      <c r="L16" s="61">
        <f t="shared" si="3"/>
        <v>14565235</v>
      </c>
      <c r="M16" s="39">
        <f t="shared" si="3"/>
        <v>38366877.459999993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-4774355</v>
      </c>
      <c r="E19" s="38">
        <v>-12227599.229999989</v>
      </c>
      <c r="F19" s="65">
        <f>H19-D19</f>
        <v>0</v>
      </c>
      <c r="G19" s="63">
        <f>I19-E19</f>
        <v>0</v>
      </c>
      <c r="H19" s="65">
        <f t="shared" si="4"/>
        <v>-4774355</v>
      </c>
      <c r="I19" s="66">
        <f t="shared" si="4"/>
        <v>-12227599.229999989</v>
      </c>
      <c r="J19" s="60"/>
      <c r="K19" s="38"/>
      <c r="L19" s="60">
        <f t="shared" ref="L19:M23" si="5">H19+J19</f>
        <v>-4774355</v>
      </c>
      <c r="M19" s="38">
        <f t="shared" si="5"/>
        <v>-12227599.229999989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-19000</v>
      </c>
      <c r="E21" s="38">
        <v>-50650</v>
      </c>
      <c r="F21" s="65">
        <f t="shared" si="6"/>
        <v>0</v>
      </c>
      <c r="G21" s="63">
        <f t="shared" si="6"/>
        <v>0</v>
      </c>
      <c r="H21" s="65">
        <f t="shared" si="4"/>
        <v>-19000</v>
      </c>
      <c r="I21" s="66">
        <f t="shared" si="4"/>
        <v>-50650</v>
      </c>
      <c r="J21" s="60"/>
      <c r="K21" s="38"/>
      <c r="L21" s="60">
        <f t="shared" si="5"/>
        <v>-19000</v>
      </c>
      <c r="M21" s="38">
        <f t="shared" si="5"/>
        <v>-50650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15686</v>
      </c>
      <c r="E23" s="38">
        <v>42585.120000000003</v>
      </c>
      <c r="F23" s="65">
        <f t="shared" si="6"/>
        <v>0</v>
      </c>
      <c r="G23" s="63">
        <f t="shared" si="6"/>
        <v>0</v>
      </c>
      <c r="H23" s="65">
        <f t="shared" si="4"/>
        <v>15686</v>
      </c>
      <c r="I23" s="66">
        <f t="shared" si="4"/>
        <v>42585.120000000003</v>
      </c>
      <c r="J23" s="60"/>
      <c r="K23" s="38"/>
      <c r="L23" s="60">
        <f t="shared" si="5"/>
        <v>15686</v>
      </c>
      <c r="M23" s="38">
        <f t="shared" si="5"/>
        <v>42585.120000000003</v>
      </c>
    </row>
    <row r="24" spans="1:13" x14ac:dyDescent="0.25">
      <c r="A24" s="9"/>
      <c r="B24" s="7" t="s">
        <v>33</v>
      </c>
      <c r="C24" s="6"/>
      <c r="D24" s="61">
        <v>-4777669</v>
      </c>
      <c r="E24" s="39">
        <v>-12235664.10999999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-4777669</v>
      </c>
      <c r="I24" s="39">
        <f>SUM(I19:I23)</f>
        <v>-12235664.10999999</v>
      </c>
      <c r="J24" s="61">
        <f t="shared" si="7"/>
        <v>0</v>
      </c>
      <c r="K24" s="39">
        <f t="shared" si="7"/>
        <v>0</v>
      </c>
      <c r="L24" s="61">
        <f t="shared" si="7"/>
        <v>-4777669</v>
      </c>
      <c r="M24" s="39">
        <f t="shared" si="7"/>
        <v>-12235664.10999999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24311564</v>
      </c>
      <c r="E27" s="38">
        <v>67805876.079999998</v>
      </c>
      <c r="F27" s="65">
        <f>H27-D27</f>
        <v>0</v>
      </c>
      <c r="G27" s="63">
        <f>I27-E27</f>
        <v>0</v>
      </c>
      <c r="H27" s="65">
        <f>D27</f>
        <v>24311564</v>
      </c>
      <c r="I27" s="66">
        <f>E27</f>
        <v>67805876.079999998</v>
      </c>
      <c r="J27" s="60"/>
      <c r="K27" s="38"/>
      <c r="L27" s="60">
        <f>H27+J27</f>
        <v>24311564</v>
      </c>
      <c r="M27" s="38">
        <f>I27+K27</f>
        <v>67805876.079999998</v>
      </c>
    </row>
    <row r="28" spans="1:13" x14ac:dyDescent="0.25">
      <c r="A28" s="9">
        <v>12</v>
      </c>
      <c r="B28" s="7"/>
      <c r="C28" s="18" t="s">
        <v>36</v>
      </c>
      <c r="D28" s="60">
        <v>-25280680</v>
      </c>
      <c r="E28" s="38">
        <v>-70510817.640000001</v>
      </c>
      <c r="F28" s="65">
        <f>H28-D28</f>
        <v>0</v>
      </c>
      <c r="G28" s="63">
        <f>I28-E28</f>
        <v>0</v>
      </c>
      <c r="H28" s="65">
        <f>D28</f>
        <v>-25280680</v>
      </c>
      <c r="I28" s="66">
        <f>E28</f>
        <v>-70510817.640000001</v>
      </c>
      <c r="J28" s="60"/>
      <c r="K28" s="38"/>
      <c r="L28" s="60">
        <f>H28+J28</f>
        <v>-25280680</v>
      </c>
      <c r="M28" s="38">
        <f>I28+K28</f>
        <v>-70510817.640000001</v>
      </c>
    </row>
    <row r="29" spans="1:13" x14ac:dyDescent="0.25">
      <c r="A29" s="9"/>
      <c r="B29" s="7" t="s">
        <v>37</v>
      </c>
      <c r="C29" s="6"/>
      <c r="D29" s="61">
        <v>-969116</v>
      </c>
      <c r="E29" s="39">
        <v>-2704941.56</v>
      </c>
      <c r="F29" s="61">
        <f t="shared" ref="F29:M29" si="8">SUM(F27:F28)</f>
        <v>0</v>
      </c>
      <c r="G29" s="39">
        <f t="shared" si="8"/>
        <v>0</v>
      </c>
      <c r="H29" s="61">
        <f>SUM(H27:H28)</f>
        <v>-969116</v>
      </c>
      <c r="I29" s="39">
        <f>SUM(I27:I28)</f>
        <v>-2704941.5600000024</v>
      </c>
      <c r="J29" s="61">
        <f t="shared" si="8"/>
        <v>0</v>
      </c>
      <c r="K29" s="39">
        <f t="shared" si="8"/>
        <v>0</v>
      </c>
      <c r="L29" s="61">
        <f t="shared" si="8"/>
        <v>-969116</v>
      </c>
      <c r="M29" s="39">
        <f t="shared" si="8"/>
        <v>-2704941.5600000024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-231232</v>
      </c>
      <c r="E40" s="38">
        <v>-623375.44999999995</v>
      </c>
      <c r="F40" s="65">
        <f t="shared" si="13"/>
        <v>0</v>
      </c>
      <c r="G40" s="63">
        <f t="shared" si="13"/>
        <v>0</v>
      </c>
      <c r="H40" s="65">
        <f t="shared" si="12"/>
        <v>-231232</v>
      </c>
      <c r="I40" s="66">
        <f t="shared" si="12"/>
        <v>-623375.44999999995</v>
      </c>
      <c r="J40" s="60"/>
      <c r="K40" s="38"/>
      <c r="L40" s="60">
        <f t="shared" si="14"/>
        <v>-231232</v>
      </c>
      <c r="M40" s="38">
        <f t="shared" si="14"/>
        <v>-623375.44999999995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-231232</v>
      </c>
      <c r="E42" s="39">
        <v>-623375.44999999995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-231232</v>
      </c>
      <c r="I42" s="39">
        <f>SUM(I40:I41)</f>
        <v>-623375.44999999995</v>
      </c>
      <c r="J42" s="61">
        <f t="shared" si="15"/>
        <v>0</v>
      </c>
      <c r="K42" s="39">
        <f t="shared" si="15"/>
        <v>0</v>
      </c>
      <c r="L42" s="69">
        <f t="shared" si="15"/>
        <v>-231232</v>
      </c>
      <c r="M42" s="70">
        <f t="shared" si="15"/>
        <v>-623375.44999999995</v>
      </c>
    </row>
    <row r="43" spans="1:13" ht="21" customHeight="1" x14ac:dyDescent="0.25">
      <c r="A43" s="9"/>
      <c r="B43" s="7" t="s">
        <v>49</v>
      </c>
      <c r="C43" s="6"/>
      <c r="D43" s="60">
        <v>-231232</v>
      </c>
      <c r="E43" s="38">
        <v>-623375.44999999995</v>
      </c>
      <c r="F43" s="61">
        <f t="shared" ref="F43:M43" si="16">F42+F39</f>
        <v>0</v>
      </c>
      <c r="G43" s="39">
        <f t="shared" si="16"/>
        <v>0</v>
      </c>
      <c r="H43" s="61">
        <f>H42+H39</f>
        <v>-231232</v>
      </c>
      <c r="I43" s="39">
        <f>I42+I39</f>
        <v>-623375.44999999995</v>
      </c>
      <c r="J43" s="61">
        <f t="shared" si="16"/>
        <v>0</v>
      </c>
      <c r="K43" s="39">
        <f t="shared" si="16"/>
        <v>0</v>
      </c>
      <c r="L43" s="61">
        <f t="shared" si="16"/>
        <v>-231232</v>
      </c>
      <c r="M43" s="39">
        <f t="shared" si="16"/>
        <v>-623375.44999999995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-8587218</v>
      </c>
      <c r="E49" s="38">
        <v>-21814188.702608138</v>
      </c>
      <c r="F49" s="65">
        <f>H49-D49</f>
        <v>0</v>
      </c>
      <c r="G49" s="63">
        <f>I49-E49</f>
        <v>0</v>
      </c>
      <c r="H49" s="65">
        <f>D49</f>
        <v>-8587218</v>
      </c>
      <c r="I49" s="66">
        <f>E49</f>
        <v>-21814188.702608138</v>
      </c>
      <c r="J49" s="60"/>
      <c r="K49" s="38"/>
      <c r="L49" s="60">
        <f>H49+J49</f>
        <v>-8587218</v>
      </c>
      <c r="M49" s="38">
        <f>I49+K49</f>
        <v>-21814188.702608138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-15686</v>
      </c>
      <c r="E51" s="38">
        <v>0</v>
      </c>
      <c r="F51" s="65">
        <f>H51-D51</f>
        <v>0</v>
      </c>
      <c r="G51" s="63">
        <f>I51-E51</f>
        <v>0</v>
      </c>
      <c r="H51" s="65">
        <f>D51</f>
        <v>-15686</v>
      </c>
      <c r="I51" s="66">
        <f>E51</f>
        <v>0</v>
      </c>
      <c r="J51" s="60"/>
      <c r="K51" s="38"/>
      <c r="L51" s="60">
        <f>H51+J51</f>
        <v>-15686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-551397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-551397</v>
      </c>
      <c r="J54" s="60"/>
      <c r="K54" s="38"/>
      <c r="L54" s="60">
        <f>H54+J54</f>
        <v>0</v>
      </c>
      <c r="M54" s="38">
        <f>I54+K54</f>
        <v>-551397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-551397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-551397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-551397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-8691498.1899999995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-8691498.1899999995</v>
      </c>
      <c r="J70" s="60"/>
      <c r="K70" s="38"/>
      <c r="L70" s="60">
        <f t="shared" si="20"/>
        <v>0</v>
      </c>
      <c r="M70" s="38">
        <f t="shared" si="20"/>
        <v>-8691498.1899999995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7489615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7489615</v>
      </c>
      <c r="J71" s="60"/>
      <c r="K71" s="38"/>
      <c r="L71" s="60">
        <f t="shared" si="20"/>
        <v>0</v>
      </c>
      <c r="M71" s="38">
        <f t="shared" si="20"/>
        <v>7489615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-1201883.19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-1201883.1899999995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-1201883.1899999995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1296213.95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1296213.95</v>
      </c>
      <c r="J74" s="60"/>
      <c r="K74" s="38"/>
      <c r="L74" s="60">
        <f t="shared" si="23"/>
        <v>0</v>
      </c>
      <c r="M74" s="38">
        <f t="shared" si="23"/>
        <v>1296213.95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2584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2584</v>
      </c>
      <c r="J75" s="60"/>
      <c r="K75" s="38"/>
      <c r="L75" s="60">
        <f t="shared" si="23"/>
        <v>0</v>
      </c>
      <c r="M75" s="38">
        <f t="shared" si="23"/>
        <v>2584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-1075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-1075</v>
      </c>
      <c r="J76" s="60"/>
      <c r="K76" s="38"/>
      <c r="L76" s="60">
        <f t="shared" si="23"/>
        <v>0</v>
      </c>
      <c r="M76" s="38">
        <f t="shared" si="23"/>
        <v>-1075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102711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102711</v>
      </c>
      <c r="J81" s="60"/>
      <c r="K81" s="38"/>
      <c r="L81" s="60">
        <f t="shared" si="23"/>
        <v>0</v>
      </c>
      <c r="M81" s="38">
        <f t="shared" si="23"/>
        <v>102711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635861.39739186317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635861.39739185944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635861.39739185944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635790.05739185808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705933.39739186317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705933.39739185944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705933.39739185944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134382</v>
      </c>
      <c r="E11" s="60">
        <v>349320.93000000715</v>
      </c>
      <c r="F11" s="60">
        <f>H11-D11</f>
        <v>0</v>
      </c>
      <c r="G11" s="37">
        <f>I11-E11</f>
        <v>0</v>
      </c>
      <c r="H11" s="65">
        <f>D11</f>
        <v>134382</v>
      </c>
      <c r="I11" s="66">
        <f>E11</f>
        <v>349320.93000000715</v>
      </c>
      <c r="J11" s="60"/>
      <c r="K11" s="38"/>
      <c r="L11" s="60">
        <f t="shared" ref="L11:M15" si="0">H11+J11</f>
        <v>134382</v>
      </c>
      <c r="M11" s="38">
        <f t="shared" si="0"/>
        <v>349320.93000000715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0.60999999986961484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0.60999999986961484</v>
      </c>
      <c r="J13" s="60"/>
      <c r="K13" s="38"/>
      <c r="L13" s="60">
        <f t="shared" si="0"/>
        <v>0</v>
      </c>
      <c r="M13" s="38">
        <f t="shared" si="0"/>
        <v>0.60999999986961484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134382</v>
      </c>
      <c r="E16" s="39">
        <v>349321.54000000702</v>
      </c>
      <c r="F16" s="61">
        <f t="shared" ref="F16:M16" si="3">SUM(F11:F15)</f>
        <v>0</v>
      </c>
      <c r="G16" s="39">
        <f t="shared" si="3"/>
        <v>0</v>
      </c>
      <c r="H16" s="61">
        <f>SUM(H11:H15)</f>
        <v>134382</v>
      </c>
      <c r="I16" s="39">
        <f>SUM(I11:I15)</f>
        <v>349321.54000000702</v>
      </c>
      <c r="J16" s="61">
        <f t="shared" si="3"/>
        <v>0</v>
      </c>
      <c r="K16" s="39">
        <f t="shared" si="3"/>
        <v>0</v>
      </c>
      <c r="L16" s="61">
        <f t="shared" si="3"/>
        <v>134382</v>
      </c>
      <c r="M16" s="39">
        <f t="shared" si="3"/>
        <v>349321.54000000702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-10.770000010728836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-10.770000010728836</v>
      </c>
      <c r="J19" s="60"/>
      <c r="K19" s="38"/>
      <c r="L19" s="60">
        <f t="shared" ref="L19:M23" si="5">H19+J19</f>
        <v>0</v>
      </c>
      <c r="M19" s="38">
        <f t="shared" si="5"/>
        <v>-10.770000010728836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4.8799999999973807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4.8799999999973807</v>
      </c>
      <c r="J23" s="60"/>
      <c r="K23" s="38"/>
      <c r="L23" s="60">
        <f t="shared" si="5"/>
        <v>0</v>
      </c>
      <c r="M23" s="38">
        <f t="shared" si="5"/>
        <v>4.8799999999973807</v>
      </c>
    </row>
    <row r="24" spans="1:13" x14ac:dyDescent="0.25">
      <c r="A24" s="9"/>
      <c r="B24" s="7" t="s">
        <v>33</v>
      </c>
      <c r="C24" s="6"/>
      <c r="D24" s="61">
        <v>0</v>
      </c>
      <c r="E24" s="39">
        <v>-5.8900000107314554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-5.8900000107314554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-5.8900000107314554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8.9200000166893005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8.9200000166893005</v>
      </c>
      <c r="J27" s="60"/>
      <c r="K27" s="38"/>
      <c r="L27" s="60">
        <f>H27+J27</f>
        <v>0</v>
      </c>
      <c r="M27" s="38">
        <f>I27+K27</f>
        <v>8.9200000166893005</v>
      </c>
    </row>
    <row r="28" spans="1:13" x14ac:dyDescent="0.25">
      <c r="A28" s="9">
        <v>12</v>
      </c>
      <c r="B28" s="7"/>
      <c r="C28" s="18" t="s">
        <v>36</v>
      </c>
      <c r="D28" s="60">
        <v>-134382</v>
      </c>
      <c r="E28" s="60">
        <v>-349396.36000001431</v>
      </c>
      <c r="F28" s="60">
        <f>H28-D28</f>
        <v>0</v>
      </c>
      <c r="G28" s="37">
        <f>I28-E28</f>
        <v>0</v>
      </c>
      <c r="H28" s="65">
        <f>D28</f>
        <v>-134382</v>
      </c>
      <c r="I28" s="66">
        <f>E28</f>
        <v>-349396.36000001431</v>
      </c>
      <c r="J28" s="60"/>
      <c r="K28" s="38"/>
      <c r="L28" s="60">
        <f>H28+J28</f>
        <v>-134382</v>
      </c>
      <c r="M28" s="38">
        <f>I28+K28</f>
        <v>-349396.36000001431</v>
      </c>
    </row>
    <row r="29" spans="1:13" x14ac:dyDescent="0.25">
      <c r="A29" s="9"/>
      <c r="B29" s="7" t="s">
        <v>37</v>
      </c>
      <c r="C29" s="6"/>
      <c r="D29" s="61">
        <v>-134382</v>
      </c>
      <c r="E29" s="39">
        <v>-349387.43999999762</v>
      </c>
      <c r="F29" s="61">
        <f t="shared" ref="F29:M29" si="8">SUM(F27:F28)</f>
        <v>0</v>
      </c>
      <c r="G29" s="39">
        <f t="shared" si="8"/>
        <v>0</v>
      </c>
      <c r="H29" s="61">
        <f>SUM(H27:H28)</f>
        <v>-134382</v>
      </c>
      <c r="I29" s="39">
        <f>SUM(I27:I28)</f>
        <v>-349387.43999999762</v>
      </c>
      <c r="J29" s="61">
        <f t="shared" si="8"/>
        <v>0</v>
      </c>
      <c r="K29" s="39">
        <f t="shared" si="8"/>
        <v>0</v>
      </c>
      <c r="L29" s="61">
        <f t="shared" si="8"/>
        <v>-134382</v>
      </c>
      <c r="M29" s="39">
        <f t="shared" si="8"/>
        <v>-349387.43999999762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0.44999999995343387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0.44999999995343387</v>
      </c>
      <c r="J40" s="60"/>
      <c r="K40" s="38"/>
      <c r="L40" s="60">
        <f t="shared" si="14"/>
        <v>0</v>
      </c>
      <c r="M40" s="38">
        <f t="shared" si="14"/>
        <v>0.44999999995343387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0.44999999995343387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0.44999999995343387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0.44999999995343387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0.44999999995343387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0.44999999995343387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0.44999999995343387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15686</v>
      </c>
      <c r="E51" s="60">
        <v>0</v>
      </c>
      <c r="F51" s="60">
        <f>H51-D51</f>
        <v>0</v>
      </c>
      <c r="G51" s="37">
        <f>I51-E51</f>
        <v>0</v>
      </c>
      <c r="H51" s="65">
        <f>D51</f>
        <v>15686</v>
      </c>
      <c r="I51" s="66">
        <f>E51</f>
        <v>0</v>
      </c>
      <c r="J51" s="60"/>
      <c r="K51" s="38"/>
      <c r="L51" s="60">
        <f>H51+J51</f>
        <v>15686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-71.340000001364388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-71.340000001364388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-71.340000001364388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75" sqref="D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43609622</v>
      </c>
      <c r="E11" s="60">
        <v>111242090</v>
      </c>
      <c r="F11" s="60">
        <f>H11-D11</f>
        <v>0</v>
      </c>
      <c r="G11" s="37">
        <f>I11-E11</f>
        <v>0</v>
      </c>
      <c r="H11" s="65">
        <f>D11</f>
        <v>43609622</v>
      </c>
      <c r="I11" s="66">
        <f>E11</f>
        <v>111242090</v>
      </c>
      <c r="J11" s="60"/>
      <c r="K11" s="38"/>
      <c r="L11" s="60">
        <f t="shared" ref="L11:M15" si="0">H11+J11</f>
        <v>43609622</v>
      </c>
      <c r="M11" s="38">
        <f t="shared" si="0"/>
        <v>111242090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553423</v>
      </c>
      <c r="E13" s="60">
        <v>1469905</v>
      </c>
      <c r="F13" s="60">
        <f t="shared" si="1"/>
        <v>0</v>
      </c>
      <c r="G13" s="37">
        <f t="shared" si="1"/>
        <v>0</v>
      </c>
      <c r="H13" s="65">
        <f t="shared" si="2"/>
        <v>553423</v>
      </c>
      <c r="I13" s="66">
        <f t="shared" si="2"/>
        <v>1469905</v>
      </c>
      <c r="J13" s="60"/>
      <c r="K13" s="38"/>
      <c r="L13" s="60">
        <f t="shared" si="0"/>
        <v>553423</v>
      </c>
      <c r="M13" s="38">
        <f t="shared" si="0"/>
        <v>1469905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44163045</v>
      </c>
      <c r="E16" s="39">
        <v>112711995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44163045</v>
      </c>
      <c r="I16" s="39">
        <f>SUM(I11:I15)</f>
        <v>112711995</v>
      </c>
      <c r="J16" s="61">
        <f t="shared" si="3"/>
        <v>0</v>
      </c>
      <c r="K16" s="39">
        <f t="shared" si="3"/>
        <v>0</v>
      </c>
      <c r="L16" s="61">
        <f t="shared" si="3"/>
        <v>44163045</v>
      </c>
      <c r="M16" s="39">
        <f t="shared" si="3"/>
        <v>112711995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-61703776</v>
      </c>
      <c r="E19" s="60">
        <v>-155304261</v>
      </c>
      <c r="F19" s="60">
        <f>H19-D19</f>
        <v>0</v>
      </c>
      <c r="G19" s="37">
        <f>I19-E19</f>
        <v>0</v>
      </c>
      <c r="H19" s="65">
        <f t="shared" si="4"/>
        <v>-61703776</v>
      </c>
      <c r="I19" s="66">
        <f t="shared" si="4"/>
        <v>-155304261</v>
      </c>
      <c r="J19" s="60"/>
      <c r="K19" s="38"/>
      <c r="L19" s="60">
        <f t="shared" ref="L19:M23" si="5">H19+J19</f>
        <v>-61703776</v>
      </c>
      <c r="M19" s="38">
        <f t="shared" si="5"/>
        <v>-155304261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-2604000</v>
      </c>
      <c r="E21" s="60">
        <v>-7068986</v>
      </c>
      <c r="F21" s="60">
        <f t="shared" si="6"/>
        <v>0</v>
      </c>
      <c r="G21" s="37">
        <f t="shared" si="6"/>
        <v>0</v>
      </c>
      <c r="H21" s="65">
        <f t="shared" si="4"/>
        <v>-2604000</v>
      </c>
      <c r="I21" s="66">
        <f t="shared" si="4"/>
        <v>-7068986</v>
      </c>
      <c r="J21" s="60"/>
      <c r="K21" s="38"/>
      <c r="L21" s="60">
        <f t="shared" si="5"/>
        <v>-2604000</v>
      </c>
      <c r="M21" s="38">
        <f t="shared" si="5"/>
        <v>-7068986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3607</v>
      </c>
      <c r="E23" s="60">
        <v>9896</v>
      </c>
      <c r="F23" s="60">
        <f t="shared" si="6"/>
        <v>0</v>
      </c>
      <c r="G23" s="37">
        <f t="shared" si="6"/>
        <v>0</v>
      </c>
      <c r="H23" s="65">
        <f t="shared" si="4"/>
        <v>3607</v>
      </c>
      <c r="I23" s="66">
        <f t="shared" si="4"/>
        <v>9896</v>
      </c>
      <c r="J23" s="60"/>
      <c r="K23" s="38"/>
      <c r="L23" s="60">
        <f t="shared" si="5"/>
        <v>3607</v>
      </c>
      <c r="M23" s="38">
        <f t="shared" si="5"/>
        <v>9896</v>
      </c>
    </row>
    <row r="24" spans="1:13" x14ac:dyDescent="0.25">
      <c r="A24" s="9"/>
      <c r="B24" s="7" t="s">
        <v>33</v>
      </c>
      <c r="C24" s="6"/>
      <c r="D24" s="61">
        <v>-64304169</v>
      </c>
      <c r="E24" s="39">
        <v>-162363351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-64304169</v>
      </c>
      <c r="I24" s="39">
        <f>SUM(I19:I23)</f>
        <v>-162363351</v>
      </c>
      <c r="J24" s="61">
        <f t="shared" si="7"/>
        <v>0</v>
      </c>
      <c r="K24" s="39">
        <f t="shared" si="7"/>
        <v>0</v>
      </c>
      <c r="L24" s="61">
        <f t="shared" si="7"/>
        <v>-64304169</v>
      </c>
      <c r="M24" s="39">
        <f t="shared" si="7"/>
        <v>-162363351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86031792</v>
      </c>
      <c r="E27" s="60">
        <v>234504731</v>
      </c>
      <c r="F27" s="60">
        <f>H27-D27</f>
        <v>0</v>
      </c>
      <c r="G27" s="37">
        <f>I27-E27</f>
        <v>0</v>
      </c>
      <c r="H27" s="65">
        <f>D27</f>
        <v>86031792</v>
      </c>
      <c r="I27" s="66">
        <f>E27</f>
        <v>234504731</v>
      </c>
      <c r="J27" s="60"/>
      <c r="K27" s="38"/>
      <c r="L27" s="60">
        <f>H27+J27</f>
        <v>86031792</v>
      </c>
      <c r="M27" s="38">
        <f>I27+K27</f>
        <v>234504731</v>
      </c>
    </row>
    <row r="28" spans="1:13" x14ac:dyDescent="0.25">
      <c r="A28" s="9">
        <v>12</v>
      </c>
      <c r="B28" s="7"/>
      <c r="C28" s="18" t="s">
        <v>36</v>
      </c>
      <c r="D28" s="60">
        <v>-84236884</v>
      </c>
      <c r="E28" s="60">
        <v>-229653994</v>
      </c>
      <c r="F28" s="60">
        <f>H28-D28</f>
        <v>0</v>
      </c>
      <c r="G28" s="37">
        <f>I28-E28</f>
        <v>0</v>
      </c>
      <c r="H28" s="65">
        <f>D28</f>
        <v>-84236884</v>
      </c>
      <c r="I28" s="66">
        <f>E28</f>
        <v>-229653994</v>
      </c>
      <c r="J28" s="60"/>
      <c r="K28" s="38"/>
      <c r="L28" s="60">
        <f>H28+J28</f>
        <v>-84236884</v>
      </c>
      <c r="M28" s="38">
        <f>I28+K28</f>
        <v>-229653994</v>
      </c>
    </row>
    <row r="29" spans="1:13" x14ac:dyDescent="0.25">
      <c r="A29" s="9"/>
      <c r="B29" s="7" t="s">
        <v>37</v>
      </c>
      <c r="C29" s="6"/>
      <c r="D29" s="61">
        <v>1794908</v>
      </c>
      <c r="E29" s="39">
        <v>4850737</v>
      </c>
      <c r="F29" s="61">
        <f t="shared" ref="F29:M29" si="8">SUM(F27:F28)</f>
        <v>0</v>
      </c>
      <c r="G29" s="39">
        <f t="shared" si="8"/>
        <v>0</v>
      </c>
      <c r="H29" s="61">
        <f>SUM(H27:H28)</f>
        <v>1794908</v>
      </c>
      <c r="I29" s="39">
        <f>SUM(I27:I28)</f>
        <v>4850737</v>
      </c>
      <c r="J29" s="61">
        <f t="shared" si="8"/>
        <v>0</v>
      </c>
      <c r="K29" s="39">
        <f t="shared" si="8"/>
        <v>0</v>
      </c>
      <c r="L29" s="61">
        <f t="shared" si="8"/>
        <v>1794908</v>
      </c>
      <c r="M29" s="39">
        <f t="shared" si="8"/>
        <v>4850737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9915589</v>
      </c>
      <c r="E39" s="60">
        <v>26282287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9915589</v>
      </c>
      <c r="I39" s="66">
        <f t="shared" si="12"/>
        <v>26282287</v>
      </c>
      <c r="J39" s="60"/>
      <c r="K39" s="38"/>
      <c r="L39" s="60">
        <f t="shared" ref="L39:M41" si="14">H39+J39</f>
        <v>9915589</v>
      </c>
      <c r="M39" s="38">
        <f t="shared" si="14"/>
        <v>26282287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-300337</v>
      </c>
      <c r="E40" s="60">
        <v>-869476</v>
      </c>
      <c r="F40" s="60">
        <f t="shared" si="13"/>
        <v>0</v>
      </c>
      <c r="G40" s="37">
        <f t="shared" si="13"/>
        <v>0</v>
      </c>
      <c r="H40" s="65">
        <f t="shared" si="12"/>
        <v>-300337</v>
      </c>
      <c r="I40" s="66">
        <f t="shared" si="12"/>
        <v>-869476</v>
      </c>
      <c r="J40" s="60"/>
      <c r="K40" s="38"/>
      <c r="L40" s="60">
        <f t="shared" si="14"/>
        <v>-300337</v>
      </c>
      <c r="M40" s="38">
        <f t="shared" si="14"/>
        <v>-869476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-300337</v>
      </c>
      <c r="E42" s="39">
        <v>-869476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-300337</v>
      </c>
      <c r="I42" s="39">
        <f>SUM(I40:I41)</f>
        <v>-869476</v>
      </c>
      <c r="J42" s="61">
        <f t="shared" si="15"/>
        <v>0</v>
      </c>
      <c r="K42" s="39">
        <f t="shared" si="15"/>
        <v>0</v>
      </c>
      <c r="L42" s="61">
        <f t="shared" si="15"/>
        <v>-300337</v>
      </c>
      <c r="M42" s="39">
        <f t="shared" si="15"/>
        <v>-869476</v>
      </c>
    </row>
    <row r="43" spans="1:13" ht="21" customHeight="1" x14ac:dyDescent="0.25">
      <c r="A43" s="9"/>
      <c r="B43" s="7" t="s">
        <v>49</v>
      </c>
      <c r="C43" s="6"/>
      <c r="D43" s="61">
        <v>9615252</v>
      </c>
      <c r="E43" s="39">
        <v>25412811</v>
      </c>
      <c r="F43" s="61">
        <f t="shared" ref="F43:M43" si="16">F42+F39</f>
        <v>0</v>
      </c>
      <c r="G43" s="39">
        <f t="shared" si="16"/>
        <v>0</v>
      </c>
      <c r="H43" s="61">
        <f>H42+H39</f>
        <v>9615252</v>
      </c>
      <c r="I43" s="39">
        <f>I42+I39</f>
        <v>25412811</v>
      </c>
      <c r="J43" s="61">
        <f t="shared" si="16"/>
        <v>0</v>
      </c>
      <c r="K43" s="39">
        <f t="shared" si="16"/>
        <v>0</v>
      </c>
      <c r="L43" s="61">
        <f t="shared" si="16"/>
        <v>9615252</v>
      </c>
      <c r="M43" s="39">
        <f t="shared" si="16"/>
        <v>25412811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8730964</v>
      </c>
      <c r="E49" s="60">
        <v>22179347.98577122</v>
      </c>
      <c r="F49" s="60">
        <f>H49-D49</f>
        <v>0</v>
      </c>
      <c r="G49" s="37">
        <f>I49-E49</f>
        <v>0</v>
      </c>
      <c r="H49" s="65">
        <f>D49</f>
        <v>8730964</v>
      </c>
      <c r="I49" s="66">
        <f>E49</f>
        <v>22179347.98577122</v>
      </c>
      <c r="J49" s="60"/>
      <c r="K49" s="38"/>
      <c r="L49" s="60">
        <f>H49+J49</f>
        <v>8730964</v>
      </c>
      <c r="M49" s="38">
        <f>I49+K49</f>
        <v>22179347.98577122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-1700059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-1700059</v>
      </c>
      <c r="J54" s="60"/>
      <c r="K54" s="38"/>
      <c r="L54" s="60">
        <f>H54+J54</f>
        <v>0</v>
      </c>
      <c r="M54" s="38">
        <f>I54+K54</f>
        <v>-1700059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-1700059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-1700059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-1700059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993180.98577122018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993180.98577122018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993180.98577122018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58078007</v>
      </c>
      <c r="E11" s="38">
        <f>'TX-EGM-FLSH'!E11+'TX-HPLR-FLSH'!E11+'TX-HPLC-FLSH'!E11</f>
        <v>149214913</v>
      </c>
      <c r="F11" s="60">
        <f>H11-D11</f>
        <v>0</v>
      </c>
      <c r="G11" s="37">
        <f>I11-E11</f>
        <v>0</v>
      </c>
      <c r="H11" s="60">
        <f>'TX-EGM-FLSH'!H11+'TX-HPLR-FLSH'!H11+'TX-HPLC-FLSH'!H11</f>
        <v>58078007</v>
      </c>
      <c r="I11" s="38">
        <f>'TX-EGM-FLSH'!I11+'TX-HPLR-FLSH'!I11+'TX-HPLC-FLSH'!I11</f>
        <v>149214913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58078007</v>
      </c>
      <c r="M11" s="38">
        <f t="shared" si="0"/>
        <v>149214913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784655</v>
      </c>
      <c r="E13" s="38">
        <f>'TX-EGM-FLSH'!E13+'TX-HPLR-FLSH'!E13+'TX-HPLC-FLSH'!E13</f>
        <v>2093281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784655</v>
      </c>
      <c r="I13" s="38">
        <f>'TX-EGM-FLSH'!I13+'TX-HPLR-FLSH'!I13+'TX-HPLC-FLSH'!I13</f>
        <v>2093281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784655</v>
      </c>
      <c r="M13" s="38">
        <f t="shared" si="0"/>
        <v>2093281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58862662</v>
      </c>
      <c r="E16" s="39">
        <f>SUM(E11:E15)</f>
        <v>151428194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58862662</v>
      </c>
      <c r="I16" s="39">
        <f t="shared" si="2"/>
        <v>151428194</v>
      </c>
      <c r="J16" s="61">
        <f t="shared" si="2"/>
        <v>0</v>
      </c>
      <c r="K16" s="39">
        <f t="shared" si="2"/>
        <v>0</v>
      </c>
      <c r="L16" s="61">
        <f t="shared" si="2"/>
        <v>58862662</v>
      </c>
      <c r="M16" s="39">
        <f t="shared" si="2"/>
        <v>151428194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-66478131</v>
      </c>
      <c r="E19" s="38">
        <f>'TX-EGM-FLSH'!E19+'TX-HPLR-FLSH'!E19+'TX-HPLC-FLSH'!E19</f>
        <v>-167531871</v>
      </c>
      <c r="F19" s="60">
        <f>H19-D19</f>
        <v>0</v>
      </c>
      <c r="G19" s="37">
        <f>I19-E19</f>
        <v>0</v>
      </c>
      <c r="H19" s="60">
        <f>'TX-EGM-FLSH'!H19+'TX-HPLR-FLSH'!H19+'TX-HPLC-FLSH'!H19</f>
        <v>-66478131</v>
      </c>
      <c r="I19" s="38">
        <f>'TX-EGM-FLSH'!I19+'TX-HPLR-FLSH'!I19+'TX-HPLC-FLSH'!I19</f>
        <v>-167531871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-66478131</v>
      </c>
      <c r="M19" s="38">
        <f t="shared" si="3"/>
        <v>-167531871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-2623000</v>
      </c>
      <c r="E21" s="38">
        <f>'TX-EGM-FLSH'!E21+'TX-HPLR-FLSH'!E21+'TX-HPLC-FLSH'!E21</f>
        <v>-7119636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-2623000</v>
      </c>
      <c r="I21" s="38">
        <f>'TX-EGM-FLSH'!I21+'TX-HPLR-FLSH'!I21+'TX-HPLC-FLSH'!I21</f>
        <v>-7119636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-2623000</v>
      </c>
      <c r="M21" s="38">
        <f t="shared" si="3"/>
        <v>-7119636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19293</v>
      </c>
      <c r="E23" s="38">
        <f>'TX-EGM-FLSH'!E23+'TX-HPLR-FLSH'!E23+'TX-HPLC-FLSH'!E23</f>
        <v>52486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19293</v>
      </c>
      <c r="I23" s="38">
        <f>'TX-EGM-FLSH'!I23+'TX-HPLR-FLSH'!I23+'TX-HPLC-FLSH'!I23</f>
        <v>52486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19293</v>
      </c>
      <c r="M23" s="38">
        <f t="shared" si="3"/>
        <v>52486</v>
      </c>
    </row>
    <row r="24" spans="1:13" x14ac:dyDescent="0.25">
      <c r="A24" s="9"/>
      <c r="B24" s="7" t="s">
        <v>33</v>
      </c>
      <c r="C24" s="6"/>
      <c r="D24" s="61">
        <f>SUM(D19:D23)</f>
        <v>-69081838</v>
      </c>
      <c r="E24" s="39">
        <f>SUM(E19:E23)</f>
        <v>-174599021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-69081838</v>
      </c>
      <c r="I24" s="39">
        <f t="shared" si="5"/>
        <v>-174599021</v>
      </c>
      <c r="J24" s="61">
        <f t="shared" si="5"/>
        <v>0</v>
      </c>
      <c r="K24" s="39">
        <f t="shared" si="5"/>
        <v>0</v>
      </c>
      <c r="L24" s="61">
        <f t="shared" si="5"/>
        <v>-69081838</v>
      </c>
      <c r="M24" s="39">
        <f t="shared" si="5"/>
        <v>-174599021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110343356</v>
      </c>
      <c r="E27" s="38">
        <f>'TX-EGM-FLSH'!E27+'TX-HPLR-FLSH'!E27+'TX-HPLC-FLSH'!E27</f>
        <v>302310616</v>
      </c>
      <c r="F27" s="60">
        <f>H27-D27</f>
        <v>0</v>
      </c>
      <c r="G27" s="37">
        <f>I27-E27</f>
        <v>0</v>
      </c>
      <c r="H27" s="60">
        <f>'TX-EGM-FLSH'!H27+'TX-HPLR-FLSH'!H27+'TX-HPLC-FLSH'!H27</f>
        <v>110343356</v>
      </c>
      <c r="I27" s="38">
        <f>'TX-EGM-FLSH'!I27+'TX-HPLR-FLSH'!I27+'TX-HPLC-FLSH'!I27</f>
        <v>302310616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110343356</v>
      </c>
      <c r="M27" s="38">
        <f>I27+K27</f>
        <v>302310616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-109651946</v>
      </c>
      <c r="E28" s="38">
        <f>'TX-EGM-FLSH'!E28+'TX-HPLR-FLSH'!E28+'TX-HPLC-FLSH'!E28</f>
        <v>-300514208</v>
      </c>
      <c r="F28" s="60">
        <f>H28-D28</f>
        <v>0</v>
      </c>
      <c r="G28" s="37">
        <f>I28-E28</f>
        <v>0</v>
      </c>
      <c r="H28" s="60">
        <f>'TX-EGM-FLSH'!H28+'TX-HPLR-FLSH'!H28+'TX-HPLC-FLSH'!H28</f>
        <v>-109651946</v>
      </c>
      <c r="I28" s="38">
        <f>'TX-EGM-FLSH'!I28+'TX-HPLR-FLSH'!I28+'TX-HPLC-FLSH'!I28</f>
        <v>-300514208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-109651946</v>
      </c>
      <c r="M28" s="38">
        <f>I28+K28</f>
        <v>-300514208</v>
      </c>
    </row>
    <row r="29" spans="1:13" x14ac:dyDescent="0.25">
      <c r="A29" s="9"/>
      <c r="B29" s="7" t="s">
        <v>37</v>
      </c>
      <c r="C29" s="6"/>
      <c r="D29" s="61">
        <f>SUM(D27:D28)</f>
        <v>691410</v>
      </c>
      <c r="E29" s="39">
        <f>SUM(E27:E28)</f>
        <v>1796408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691410</v>
      </c>
      <c r="I29" s="39">
        <f t="shared" si="6"/>
        <v>1796408</v>
      </c>
      <c r="J29" s="61">
        <f t="shared" si="6"/>
        <v>0</v>
      </c>
      <c r="K29" s="39">
        <f t="shared" si="6"/>
        <v>0</v>
      </c>
      <c r="L29" s="61">
        <f t="shared" si="6"/>
        <v>691410</v>
      </c>
      <c r="M29" s="39">
        <f t="shared" si="6"/>
        <v>1796408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9915589</v>
      </c>
      <c r="E39" s="38">
        <f>'TX-EGM-FLSH'!E39+'TX-HPLR-FLSH'!E39+'TX-HPLC-FLSH'!E39</f>
        <v>26282287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9915589</v>
      </c>
      <c r="I39" s="38">
        <f>'TX-EGM-FLSH'!I39+'TX-HPLR-FLSH'!I39+'TX-HPLC-FLSH'!I39</f>
        <v>26282287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9915589</v>
      </c>
      <c r="M39" s="38">
        <f t="shared" si="11"/>
        <v>26282287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-531569</v>
      </c>
      <c r="E40" s="38">
        <f>'TX-EGM-FLSH'!E40+'TX-HPLR-FLSH'!E40+'TX-HPLC-FLSH'!E40</f>
        <v>-1492851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-531569</v>
      </c>
      <c r="I40" s="38">
        <f>'TX-EGM-FLSH'!I40+'TX-HPLR-FLSH'!I40+'TX-HPLC-FLSH'!I40</f>
        <v>-1492851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-531569</v>
      </c>
      <c r="M40" s="38">
        <f t="shared" si="11"/>
        <v>-1492851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-531569</v>
      </c>
      <c r="E42" s="39">
        <f>SUM(E40:E41)</f>
        <v>-1492851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-531569</v>
      </c>
      <c r="I42" s="39">
        <f t="shared" si="12"/>
        <v>-1492851</v>
      </c>
      <c r="J42" s="61">
        <f t="shared" si="12"/>
        <v>0</v>
      </c>
      <c r="K42" s="39">
        <f t="shared" si="12"/>
        <v>0</v>
      </c>
      <c r="L42" s="61">
        <f t="shared" si="12"/>
        <v>-531569</v>
      </c>
      <c r="M42" s="39">
        <f t="shared" si="12"/>
        <v>-1492851</v>
      </c>
    </row>
    <row r="43" spans="1:13" ht="21" customHeight="1" x14ac:dyDescent="0.25">
      <c r="A43" s="9"/>
      <c r="B43" s="7" t="s">
        <v>49</v>
      </c>
      <c r="C43" s="6"/>
      <c r="D43" s="61">
        <f>D42+D39</f>
        <v>9384020</v>
      </c>
      <c r="E43" s="39">
        <f>E42+E39</f>
        <v>24789436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9384020</v>
      </c>
      <c r="I43" s="39">
        <f t="shared" si="13"/>
        <v>24789436</v>
      </c>
      <c r="J43" s="61">
        <f t="shared" si="13"/>
        <v>0</v>
      </c>
      <c r="K43" s="39">
        <f t="shared" si="13"/>
        <v>0</v>
      </c>
      <c r="L43" s="61">
        <f t="shared" si="13"/>
        <v>9384020</v>
      </c>
      <c r="M43" s="39">
        <f t="shared" si="13"/>
        <v>24789436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143746</v>
      </c>
      <c r="E49" s="38">
        <f>'TX-EGM-FLSH'!E49+'TX-HPLR-FLSH'!E49+'TX-HPLC-FLSH'!E49</f>
        <v>365159.28316308185</v>
      </c>
      <c r="F49" s="60">
        <f>H49-D49</f>
        <v>0</v>
      </c>
      <c r="G49" s="37">
        <f>I49-E49</f>
        <v>0</v>
      </c>
      <c r="H49" s="60">
        <f>'TX-EGM-FLSH'!H49+'TX-HPLR-FLSH'!H49+'TX-HPLC-FLSH'!H49</f>
        <v>143746</v>
      </c>
      <c r="I49" s="38">
        <f>'TX-EGM-FLSH'!I49+'TX-HPLR-FLSH'!I49+'TX-HPLC-FLSH'!I49</f>
        <v>365159.28316308185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143746</v>
      </c>
      <c r="M49" s="38">
        <f>I49+K49</f>
        <v>365159.28316308185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-2251456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-2251456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-2251456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-2251456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-2251456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-2251456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-8691498.1899999995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-8691498.1899999995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-8691498.1899999995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7489615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7489615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7489615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-1201883.1899999995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-1201883.1899999995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-1201883.1899999995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1296213.95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1296213.95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1296213.95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2584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2584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2584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-1075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-1075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-1075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102711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102711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1628971.0431630723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1628971.0431630723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1628971.0431630723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635790.0573918618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1699043.0431630723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1699043.0431630723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1699043.0431630723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41743983</v>
      </c>
      <c r="E11" s="65">
        <v>106899568</v>
      </c>
      <c r="F11" s="60">
        <f>H11-D11</f>
        <v>0</v>
      </c>
      <c r="G11" s="37">
        <f>I11-E11</f>
        <v>0</v>
      </c>
      <c r="H11" s="65">
        <f>D11</f>
        <v>41743983</v>
      </c>
      <c r="I11" s="66">
        <f>E11</f>
        <v>106899568</v>
      </c>
      <c r="J11" s="60"/>
      <c r="K11" s="38"/>
      <c r="L11" s="60">
        <f t="shared" ref="L11:M15" si="0">H11+J11</f>
        <v>41743983</v>
      </c>
      <c r="M11" s="38">
        <f t="shared" si="0"/>
        <v>106899568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12749483</v>
      </c>
      <c r="E13" s="65">
        <v>35048944</v>
      </c>
      <c r="F13" s="60">
        <f t="shared" si="1"/>
        <v>0</v>
      </c>
      <c r="G13" s="37">
        <f t="shared" si="1"/>
        <v>0</v>
      </c>
      <c r="H13" s="65">
        <f t="shared" si="2"/>
        <v>12749483</v>
      </c>
      <c r="I13" s="66">
        <f t="shared" si="2"/>
        <v>35048944</v>
      </c>
      <c r="J13" s="60"/>
      <c r="K13" s="38"/>
      <c r="L13" s="60">
        <f t="shared" si="0"/>
        <v>12749483</v>
      </c>
      <c r="M13" s="38">
        <f t="shared" si="0"/>
        <v>35048944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54493466</v>
      </c>
      <c r="E16" s="39">
        <v>141948512</v>
      </c>
      <c r="F16" s="61">
        <f t="shared" ref="F16:M16" si="3">SUM(F11:F15)</f>
        <v>0</v>
      </c>
      <c r="G16" s="39">
        <f t="shared" si="3"/>
        <v>0</v>
      </c>
      <c r="H16" s="61">
        <f>SUM(H11:H15)</f>
        <v>54493466</v>
      </c>
      <c r="I16" s="39">
        <f>SUM(I11:I15)</f>
        <v>141948512</v>
      </c>
      <c r="J16" s="61">
        <f t="shared" si="3"/>
        <v>0</v>
      </c>
      <c r="K16" s="39">
        <f t="shared" si="3"/>
        <v>0</v>
      </c>
      <c r="L16" s="61">
        <f t="shared" si="3"/>
        <v>54493466</v>
      </c>
      <c r="M16" s="39">
        <f t="shared" si="3"/>
        <v>141948512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-44689424</v>
      </c>
      <c r="E19" s="65">
        <v>-113603600</v>
      </c>
      <c r="F19" s="60">
        <f>H19-D19</f>
        <v>0</v>
      </c>
      <c r="G19" s="37">
        <f>I19-E19</f>
        <v>0</v>
      </c>
      <c r="H19" s="65">
        <f t="shared" si="4"/>
        <v>-44689424</v>
      </c>
      <c r="I19" s="66">
        <f t="shared" si="4"/>
        <v>-113603600</v>
      </c>
      <c r="J19" s="60"/>
      <c r="K19" s="38"/>
      <c r="L19" s="60">
        <f t="shared" ref="L19:M23" si="5">H19+J19</f>
        <v>-44689424</v>
      </c>
      <c r="M19" s="38">
        <f t="shared" si="5"/>
        <v>-113603600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-12749483</v>
      </c>
      <c r="E21" s="65">
        <v>-35048344</v>
      </c>
      <c r="F21" s="60">
        <f t="shared" si="6"/>
        <v>0</v>
      </c>
      <c r="G21" s="37">
        <f t="shared" si="6"/>
        <v>0</v>
      </c>
      <c r="H21" s="65">
        <f t="shared" si="4"/>
        <v>-12749483</v>
      </c>
      <c r="I21" s="66">
        <f t="shared" si="4"/>
        <v>-35048344</v>
      </c>
      <c r="J21" s="60"/>
      <c r="K21" s="38"/>
      <c r="L21" s="60">
        <f t="shared" si="5"/>
        <v>-12749483</v>
      </c>
      <c r="M21" s="38">
        <f t="shared" si="5"/>
        <v>-35048344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235209</v>
      </c>
      <c r="E23" s="65">
        <v>627761</v>
      </c>
      <c r="F23" s="60">
        <f t="shared" si="6"/>
        <v>0</v>
      </c>
      <c r="G23" s="37">
        <f t="shared" si="6"/>
        <v>0</v>
      </c>
      <c r="H23" s="65">
        <f t="shared" si="4"/>
        <v>235209</v>
      </c>
      <c r="I23" s="66">
        <f t="shared" si="4"/>
        <v>627761</v>
      </c>
      <c r="J23" s="60"/>
      <c r="K23" s="38"/>
      <c r="L23" s="60">
        <f t="shared" si="5"/>
        <v>235209</v>
      </c>
      <c r="M23" s="38">
        <f t="shared" si="5"/>
        <v>627761</v>
      </c>
    </row>
    <row r="24" spans="1:13" x14ac:dyDescent="0.25">
      <c r="A24" s="9"/>
      <c r="B24" s="7" t="s">
        <v>33</v>
      </c>
      <c r="C24" s="6"/>
      <c r="D24" s="61">
        <v>-57203698</v>
      </c>
      <c r="E24" s="39">
        <v>-148024183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-57203698</v>
      </c>
      <c r="I24" s="39">
        <f>SUM(I19:I23)</f>
        <v>-148024183</v>
      </c>
      <c r="J24" s="61">
        <f t="shared" si="7"/>
        <v>0</v>
      </c>
      <c r="K24" s="39">
        <f t="shared" si="7"/>
        <v>0</v>
      </c>
      <c r="L24" s="61">
        <f t="shared" si="7"/>
        <v>-57203698</v>
      </c>
      <c r="M24" s="39">
        <f t="shared" si="7"/>
        <v>-148024183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1205247</v>
      </c>
      <c r="E27" s="65">
        <v>3264184</v>
      </c>
      <c r="F27" s="60">
        <f>H27-D27</f>
        <v>0</v>
      </c>
      <c r="G27" s="37">
        <f>I27-E27</f>
        <v>0</v>
      </c>
      <c r="H27" s="65">
        <f>D27</f>
        <v>1205247</v>
      </c>
      <c r="I27" s="66">
        <f>E27</f>
        <v>3264184</v>
      </c>
      <c r="J27" s="60"/>
      <c r="K27" s="38"/>
      <c r="L27" s="60">
        <f>H27+J27</f>
        <v>1205247</v>
      </c>
      <c r="M27" s="38">
        <f>I27+K27</f>
        <v>3264184</v>
      </c>
    </row>
    <row r="28" spans="1:13" x14ac:dyDescent="0.25">
      <c r="A28" s="9">
        <v>12</v>
      </c>
      <c r="B28" s="7"/>
      <c r="C28" s="18" t="s">
        <v>36</v>
      </c>
      <c r="D28" s="65">
        <v>-60000</v>
      </c>
      <c r="E28" s="65">
        <v>-157200</v>
      </c>
      <c r="F28" s="60">
        <f>H28-D28</f>
        <v>0</v>
      </c>
      <c r="G28" s="37">
        <f>I28-E28</f>
        <v>0</v>
      </c>
      <c r="H28" s="65">
        <f>D28</f>
        <v>-60000</v>
      </c>
      <c r="I28" s="66">
        <f>E28</f>
        <v>-157200</v>
      </c>
      <c r="J28" s="60"/>
      <c r="K28" s="38"/>
      <c r="L28" s="60">
        <f>H28+J28</f>
        <v>-60000</v>
      </c>
      <c r="M28" s="38">
        <f>I28+K28</f>
        <v>-157200</v>
      </c>
    </row>
    <row r="29" spans="1:13" x14ac:dyDescent="0.25">
      <c r="A29" s="9"/>
      <c r="B29" s="7" t="s">
        <v>37</v>
      </c>
      <c r="C29" s="6"/>
      <c r="D29" s="61">
        <v>1145247</v>
      </c>
      <c r="E29" s="39">
        <v>3106984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1145247</v>
      </c>
      <c r="I29" s="39">
        <f>SUM(I27:I28)</f>
        <v>3106984</v>
      </c>
      <c r="J29" s="61">
        <f t="shared" si="8"/>
        <v>0</v>
      </c>
      <c r="K29" s="39">
        <f t="shared" si="8"/>
        <v>0</v>
      </c>
      <c r="L29" s="61">
        <f t="shared" si="8"/>
        <v>1145247</v>
      </c>
      <c r="M29" s="39">
        <f t="shared" si="8"/>
        <v>3106984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2541</v>
      </c>
      <c r="E32" s="65">
        <v>7230</v>
      </c>
      <c r="F32" s="60">
        <f>H32-D32</f>
        <v>0</v>
      </c>
      <c r="G32" s="37">
        <f>I32-E32</f>
        <v>0</v>
      </c>
      <c r="H32" s="65">
        <f t="shared" ref="H32:I35" si="9">D32</f>
        <v>2541</v>
      </c>
      <c r="I32" s="66">
        <f t="shared" si="9"/>
        <v>7230</v>
      </c>
      <c r="J32" s="60"/>
      <c r="K32" s="38"/>
      <c r="L32" s="60">
        <f t="shared" ref="L32:M35" si="10">H32+J32</f>
        <v>2541</v>
      </c>
      <c r="M32" s="38">
        <f t="shared" si="10"/>
        <v>7230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1794642</v>
      </c>
      <c r="E35" s="65">
        <v>4805939</v>
      </c>
      <c r="F35" s="60">
        <f t="shared" si="11"/>
        <v>0</v>
      </c>
      <c r="G35" s="37">
        <f t="shared" si="11"/>
        <v>0</v>
      </c>
      <c r="H35" s="65">
        <f t="shared" si="9"/>
        <v>1794642</v>
      </c>
      <c r="I35" s="66">
        <f t="shared" si="9"/>
        <v>4805939</v>
      </c>
      <c r="J35" s="60"/>
      <c r="K35" s="38"/>
      <c r="L35" s="60">
        <f t="shared" si="10"/>
        <v>1794642</v>
      </c>
      <c r="M35" s="38">
        <f t="shared" si="10"/>
        <v>4805939</v>
      </c>
    </row>
    <row r="36" spans="1:13" x14ac:dyDescent="0.25">
      <c r="A36" s="9"/>
      <c r="B36" s="7" t="s">
        <v>43</v>
      </c>
      <c r="C36" s="6"/>
      <c r="D36" s="61">
        <v>1797183</v>
      </c>
      <c r="E36" s="39">
        <v>4813169</v>
      </c>
      <c r="F36" s="61">
        <f>SUM(F32:F35)</f>
        <v>0</v>
      </c>
      <c r="G36" s="39">
        <f>SUM(G32:G35)</f>
        <v>0</v>
      </c>
      <c r="H36" s="61">
        <f>SUM(H32:H35)</f>
        <v>1797183</v>
      </c>
      <c r="I36" s="39">
        <f>SUM(I32:I35)</f>
        <v>4813169</v>
      </c>
      <c r="J36" s="61">
        <f>SUM(J32:J34)</f>
        <v>0</v>
      </c>
      <c r="K36" s="39">
        <f>SUM(K32:K34)</f>
        <v>0</v>
      </c>
      <c r="L36" s="61">
        <f>SUM(L32:L35)</f>
        <v>1797183</v>
      </c>
      <c r="M36" s="39">
        <f>SUM(M32:M35)</f>
        <v>4813169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5456</v>
      </c>
      <c r="E39" s="65">
        <v>14102</v>
      </c>
      <c r="F39" s="60">
        <f t="shared" ref="F39:G41" si="13">H39-D39</f>
        <v>0</v>
      </c>
      <c r="G39" s="37">
        <f t="shared" si="13"/>
        <v>0</v>
      </c>
      <c r="H39" s="65">
        <f t="shared" si="12"/>
        <v>5456</v>
      </c>
      <c r="I39" s="66">
        <f t="shared" si="12"/>
        <v>14102</v>
      </c>
      <c r="J39" s="60"/>
      <c r="K39" s="38"/>
      <c r="L39" s="60">
        <f t="shared" ref="L39:M41" si="14">H39+J39</f>
        <v>5456</v>
      </c>
      <c r="M39" s="38">
        <f t="shared" si="14"/>
        <v>14102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-82959</v>
      </c>
      <c r="E40" s="65">
        <v>-206053</v>
      </c>
      <c r="F40" s="60">
        <f t="shared" si="13"/>
        <v>0</v>
      </c>
      <c r="G40" s="37">
        <f t="shared" si="13"/>
        <v>0</v>
      </c>
      <c r="H40" s="65">
        <f t="shared" si="12"/>
        <v>-82959</v>
      </c>
      <c r="I40" s="66">
        <f t="shared" si="12"/>
        <v>-206053</v>
      </c>
      <c r="J40" s="60"/>
      <c r="K40" s="38"/>
      <c r="L40" s="60">
        <f t="shared" si="14"/>
        <v>-82959</v>
      </c>
      <c r="M40" s="38">
        <f t="shared" si="14"/>
        <v>-206053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-82959</v>
      </c>
      <c r="E42" s="39">
        <v>-206053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-82959</v>
      </c>
      <c r="I42" s="39">
        <f>SUM(I40:I41)</f>
        <v>-206053</v>
      </c>
      <c r="J42" s="61">
        <f t="shared" si="15"/>
        <v>0</v>
      </c>
      <c r="K42" s="39">
        <f t="shared" si="15"/>
        <v>0</v>
      </c>
      <c r="L42" s="61">
        <f t="shared" si="15"/>
        <v>-82959</v>
      </c>
      <c r="M42" s="39">
        <f t="shared" si="15"/>
        <v>-206053</v>
      </c>
    </row>
    <row r="43" spans="1:13" ht="21" customHeight="1" x14ac:dyDescent="0.25">
      <c r="A43" s="9"/>
      <c r="B43" s="7" t="s">
        <v>49</v>
      </c>
      <c r="C43" s="6"/>
      <c r="D43" s="61">
        <v>-77503</v>
      </c>
      <c r="E43" s="39">
        <v>-191951</v>
      </c>
      <c r="F43" s="61">
        <f t="shared" ref="F43:M43" si="16">F42+F39</f>
        <v>0</v>
      </c>
      <c r="G43" s="39">
        <f t="shared" si="16"/>
        <v>0</v>
      </c>
      <c r="H43" s="61">
        <f>H42+H39</f>
        <v>-77503</v>
      </c>
      <c r="I43" s="39">
        <f>I42+I39</f>
        <v>-191951</v>
      </c>
      <c r="J43" s="61">
        <f t="shared" si="16"/>
        <v>0</v>
      </c>
      <c r="K43" s="39">
        <f t="shared" si="16"/>
        <v>0</v>
      </c>
      <c r="L43" s="61">
        <f t="shared" si="16"/>
        <v>-77503</v>
      </c>
      <c r="M43" s="39">
        <f t="shared" si="16"/>
        <v>-191951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-154695</v>
      </c>
      <c r="E49" s="65">
        <v>-374599.213486664</v>
      </c>
      <c r="F49" s="60">
        <f>H49-D49</f>
        <v>0</v>
      </c>
      <c r="G49" s="37">
        <f>I49-E49</f>
        <v>0</v>
      </c>
      <c r="H49" s="65">
        <f>D49</f>
        <v>-154695</v>
      </c>
      <c r="I49" s="66">
        <f>E49</f>
        <v>-374599.213486664</v>
      </c>
      <c r="J49" s="60"/>
      <c r="K49" s="38"/>
      <c r="L49" s="60">
        <f>H49+J49</f>
        <v>-154695</v>
      </c>
      <c r="M49" s="38">
        <f>I49+K49</f>
        <v>-374599.213486664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-235209</v>
      </c>
      <c r="E51" s="65">
        <v>-627761</v>
      </c>
      <c r="F51" s="60">
        <f>H51-D51</f>
        <v>0</v>
      </c>
      <c r="G51" s="37">
        <f>I51-E51</f>
        <v>0</v>
      </c>
      <c r="H51" s="65">
        <f>D51</f>
        <v>-235209</v>
      </c>
      <c r="I51" s="66">
        <f>E51</f>
        <v>-627761</v>
      </c>
      <c r="J51" s="60"/>
      <c r="K51" s="38"/>
      <c r="L51" s="60">
        <f>H51+J51</f>
        <v>-235209</v>
      </c>
      <c r="M51" s="38">
        <f>I51+K51</f>
        <v>-627761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-155544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-155544</v>
      </c>
      <c r="J54" s="60"/>
      <c r="K54" s="38"/>
      <c r="L54" s="60">
        <f>H54+J54</f>
        <v>0</v>
      </c>
      <c r="M54" s="38">
        <f>I54+K54</f>
        <v>-155544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-871836.89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-871836.89</v>
      </c>
      <c r="J55" s="60"/>
      <c r="K55" s="38"/>
      <c r="L55" s="60">
        <f>H55+J55</f>
        <v>0</v>
      </c>
      <c r="M55" s="38">
        <f>I55+K55</f>
        <v>-871836.89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-1027380.89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-1027380.89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-1027380.89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4676254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4676254</v>
      </c>
      <c r="J70" s="60"/>
      <c r="K70" s="38"/>
      <c r="L70" s="60">
        <f>H70+J70</f>
        <v>0</v>
      </c>
      <c r="M70" s="38">
        <f>I70+K70</f>
        <v>4676254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-2516504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-2516504</v>
      </c>
      <c r="J71" s="60"/>
      <c r="K71" s="38"/>
      <c r="L71" s="60">
        <f>H71+J71</f>
        <v>0</v>
      </c>
      <c r="M71" s="38">
        <f>I71+K71</f>
        <v>-2516504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2159750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2159750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2159750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5301495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5301495</v>
      </c>
      <c r="J74" s="60"/>
      <c r="K74" s="38"/>
      <c r="L74" s="60">
        <f t="shared" si="22"/>
        <v>0</v>
      </c>
      <c r="M74" s="38">
        <f t="shared" si="22"/>
        <v>5301495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-26990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-26990</v>
      </c>
      <c r="J76" s="60"/>
      <c r="K76" s="38"/>
      <c r="L76" s="60">
        <f t="shared" si="22"/>
        <v>0</v>
      </c>
      <c r="M76" s="38">
        <f t="shared" si="22"/>
        <v>-26990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-3275387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-3275387</v>
      </c>
      <c r="J81" s="60"/>
      <c r="K81" s="38"/>
      <c r="L81" s="60">
        <f t="shared" si="22"/>
        <v>0</v>
      </c>
      <c r="M81" s="38">
        <f t="shared" si="22"/>
        <v>-3275387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3781657.8965133359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3781657.8965133359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3781657.8965133359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3781657.8965133359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3781657.8965133359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3781657.8965133359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A77" sqref="A7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3869012</v>
      </c>
      <c r="E11" s="65">
        <v>9074527</v>
      </c>
      <c r="F11" s="60">
        <f>H11-D11</f>
        <v>0</v>
      </c>
      <c r="G11" s="37">
        <f>I11-E11</f>
        <v>0</v>
      </c>
      <c r="H11" s="65">
        <f>D11</f>
        <v>3869012</v>
      </c>
      <c r="I11" s="66">
        <f>E11</f>
        <v>9074527</v>
      </c>
      <c r="J11" s="60"/>
      <c r="K11" s="38"/>
      <c r="L11" s="60">
        <f t="shared" ref="L11:M15" si="0">H11+J11</f>
        <v>3869012</v>
      </c>
      <c r="M11" s="38">
        <f t="shared" si="0"/>
        <v>9074527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5301057</v>
      </c>
      <c r="E13" s="65">
        <v>13385646</v>
      </c>
      <c r="F13" s="60">
        <f t="shared" si="1"/>
        <v>0</v>
      </c>
      <c r="G13" s="37">
        <f t="shared" si="1"/>
        <v>0</v>
      </c>
      <c r="H13" s="65">
        <f t="shared" si="2"/>
        <v>5301057</v>
      </c>
      <c r="I13" s="66">
        <f t="shared" si="2"/>
        <v>13385646</v>
      </c>
      <c r="J13" s="60"/>
      <c r="K13" s="38"/>
      <c r="L13" s="60">
        <f t="shared" si="0"/>
        <v>5301057</v>
      </c>
      <c r="M13" s="38">
        <f t="shared" si="0"/>
        <v>13385646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9170069</v>
      </c>
      <c r="E16" s="39">
        <v>22460173</v>
      </c>
      <c r="F16" s="61">
        <f t="shared" ref="F16:M16" si="3">SUM(F11:F15)</f>
        <v>0</v>
      </c>
      <c r="G16" s="39">
        <f t="shared" si="3"/>
        <v>0</v>
      </c>
      <c r="H16" s="61">
        <f>SUM(H11:H15)</f>
        <v>9170069</v>
      </c>
      <c r="I16" s="39">
        <f>SUM(I11:I15)</f>
        <v>22460173</v>
      </c>
      <c r="J16" s="61">
        <f t="shared" si="3"/>
        <v>0</v>
      </c>
      <c r="K16" s="39">
        <f t="shared" si="3"/>
        <v>0</v>
      </c>
      <c r="L16" s="61">
        <f t="shared" si="3"/>
        <v>9170069</v>
      </c>
      <c r="M16" s="39">
        <f t="shared" si="3"/>
        <v>22460173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-5057262</v>
      </c>
      <c r="E19" s="65">
        <v>-11323157</v>
      </c>
      <c r="F19" s="60">
        <f>H19-D19</f>
        <v>0</v>
      </c>
      <c r="G19" s="37">
        <f>I19-E19</f>
        <v>0</v>
      </c>
      <c r="H19" s="65">
        <f t="shared" si="4"/>
        <v>-5057262</v>
      </c>
      <c r="I19" s="66">
        <f t="shared" si="4"/>
        <v>-11323157</v>
      </c>
      <c r="J19" s="60"/>
      <c r="K19" s="38"/>
      <c r="L19" s="60">
        <f t="shared" ref="L19:M23" si="5">H19+J19</f>
        <v>-5057262</v>
      </c>
      <c r="M19" s="38">
        <f t="shared" si="5"/>
        <v>-11323157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-4240969</v>
      </c>
      <c r="E21" s="65">
        <v>-10731159</v>
      </c>
      <c r="F21" s="60">
        <f t="shared" si="6"/>
        <v>0</v>
      </c>
      <c r="G21" s="37">
        <f t="shared" si="6"/>
        <v>0</v>
      </c>
      <c r="H21" s="65">
        <f t="shared" si="4"/>
        <v>-4240969</v>
      </c>
      <c r="I21" s="66">
        <f t="shared" si="4"/>
        <v>-10731159</v>
      </c>
      <c r="J21" s="60"/>
      <c r="K21" s="38"/>
      <c r="L21" s="60">
        <f t="shared" si="5"/>
        <v>-4240969</v>
      </c>
      <c r="M21" s="38">
        <f t="shared" si="5"/>
        <v>-10731159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19762</v>
      </c>
      <c r="E23" s="65">
        <v>47965</v>
      </c>
      <c r="F23" s="60">
        <f t="shared" si="6"/>
        <v>0</v>
      </c>
      <c r="G23" s="37">
        <f t="shared" si="6"/>
        <v>0</v>
      </c>
      <c r="H23" s="65">
        <f t="shared" si="4"/>
        <v>19762</v>
      </c>
      <c r="I23" s="66">
        <f t="shared" si="4"/>
        <v>47965</v>
      </c>
      <c r="J23" s="60"/>
      <c r="K23" s="38"/>
      <c r="L23" s="60">
        <f t="shared" si="5"/>
        <v>19762</v>
      </c>
      <c r="M23" s="38">
        <f t="shared" si="5"/>
        <v>47965</v>
      </c>
    </row>
    <row r="24" spans="1:13" x14ac:dyDescent="0.25">
      <c r="A24" s="9"/>
      <c r="B24" s="7" t="s">
        <v>33</v>
      </c>
      <c r="C24" s="6"/>
      <c r="D24" s="61">
        <v>-9278469</v>
      </c>
      <c r="E24" s="39">
        <v>-22006351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-9278469</v>
      </c>
      <c r="I24" s="39">
        <f>SUM(I19:I23)</f>
        <v>-22006351</v>
      </c>
      <c r="J24" s="61">
        <f t="shared" si="7"/>
        <v>0</v>
      </c>
      <c r="K24" s="39">
        <f t="shared" si="7"/>
        <v>0</v>
      </c>
      <c r="L24" s="61">
        <f t="shared" si="7"/>
        <v>-9278469</v>
      </c>
      <c r="M24" s="39">
        <f t="shared" si="7"/>
        <v>-22006351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-6099</v>
      </c>
      <c r="E32" s="65">
        <v>-15322</v>
      </c>
      <c r="F32" s="60">
        <f>H32-D32</f>
        <v>0</v>
      </c>
      <c r="G32" s="37">
        <f>I32-E32</f>
        <v>0</v>
      </c>
      <c r="H32" s="65">
        <f t="shared" ref="H32:I35" si="9">D32</f>
        <v>-6099</v>
      </c>
      <c r="I32" s="66">
        <f t="shared" si="9"/>
        <v>-15322</v>
      </c>
      <c r="J32" s="60"/>
      <c r="K32" s="38"/>
      <c r="L32" s="60">
        <f t="shared" ref="L32:M35" si="10">H32+J32</f>
        <v>-6099</v>
      </c>
      <c r="M32" s="38">
        <f t="shared" si="10"/>
        <v>-15322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-6099</v>
      </c>
      <c r="E36" s="39">
        <v>-15322</v>
      </c>
      <c r="F36" s="61">
        <f>SUM(F32:F35)</f>
        <v>0</v>
      </c>
      <c r="G36" s="39">
        <f>SUM(G32:G35)</f>
        <v>0</v>
      </c>
      <c r="H36" s="61">
        <f>SUM(H32:H35)</f>
        <v>-6099</v>
      </c>
      <c r="I36" s="39">
        <f>SUM(I32:I35)</f>
        <v>-15322</v>
      </c>
      <c r="J36" s="61">
        <f>SUM(J32:J34)</f>
        <v>0</v>
      </c>
      <c r="K36" s="39">
        <f>SUM(K32:K34)</f>
        <v>0</v>
      </c>
      <c r="L36" s="61">
        <f>SUM(L32:L35)</f>
        <v>-6099</v>
      </c>
      <c r="M36" s="39">
        <f>SUM(M32:M35)</f>
        <v>-15322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114499</v>
      </c>
      <c r="E49" s="65">
        <v>267943.52993913629</v>
      </c>
      <c r="F49" s="60">
        <f>H49-D49</f>
        <v>0</v>
      </c>
      <c r="G49" s="37">
        <f>I49-E49</f>
        <v>0</v>
      </c>
      <c r="H49" s="65">
        <f>D49</f>
        <v>114499</v>
      </c>
      <c r="I49" s="66">
        <f>E49</f>
        <v>267943.52993913629</v>
      </c>
      <c r="J49" s="60"/>
      <c r="K49" s="38"/>
      <c r="L49" s="60">
        <f>H49+J49</f>
        <v>114499</v>
      </c>
      <c r="M49" s="38">
        <f>I49+K49</f>
        <v>267943.52993913629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-19762</v>
      </c>
      <c r="E51" s="65">
        <v>-47965</v>
      </c>
      <c r="F51" s="60">
        <f>H51-D51</f>
        <v>0</v>
      </c>
      <c r="G51" s="37">
        <f>I51-E51</f>
        <v>0</v>
      </c>
      <c r="H51" s="65">
        <f>D51</f>
        <v>-19762</v>
      </c>
      <c r="I51" s="66">
        <f>E51</f>
        <v>-47965</v>
      </c>
      <c r="J51" s="60"/>
      <c r="K51" s="38"/>
      <c r="L51" s="60">
        <f>H51+J51</f>
        <v>-19762</v>
      </c>
      <c r="M51" s="38">
        <f>I51+K51</f>
        <v>-47965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-196967.95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-196967.95</v>
      </c>
      <c r="J54" s="60"/>
      <c r="K54" s="38"/>
      <c r="L54" s="60">
        <f>H54+J54</f>
        <v>0</v>
      </c>
      <c r="M54" s="38">
        <f>I54+K54</f>
        <v>-196967.95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-425156.49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-425156.49</v>
      </c>
      <c r="J55" s="60"/>
      <c r="K55" s="38"/>
      <c r="L55" s="60">
        <f>H55+J55</f>
        <v>0</v>
      </c>
      <c r="M55" s="38">
        <f>I55+K55</f>
        <v>-425156.49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-622124.43999999994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-622124.43999999994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-622124.43999999994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1275.0399999998044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1275.0399999998044</v>
      </c>
      <c r="J70" s="60"/>
      <c r="K70" s="38"/>
      <c r="L70" s="60">
        <f>H70+J70</f>
        <v>0</v>
      </c>
      <c r="M70" s="38">
        <f>I70+K70</f>
        <v>1275.0399999998044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-178192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-178192</v>
      </c>
      <c r="J71" s="60"/>
      <c r="K71" s="38"/>
      <c r="L71" s="60">
        <f>H71+J71</f>
        <v>0</v>
      </c>
      <c r="M71" s="38">
        <f>I71+K71</f>
        <v>-178192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-176916.96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-176916.9600000002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-176916.9600000002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-26575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-26575</v>
      </c>
      <c r="J74" s="60"/>
      <c r="K74" s="38"/>
      <c r="L74" s="60">
        <f t="shared" si="22"/>
        <v>0</v>
      </c>
      <c r="M74" s="38">
        <f t="shared" si="22"/>
        <v>-26575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-642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-642</v>
      </c>
      <c r="J76" s="60"/>
      <c r="K76" s="38"/>
      <c r="L76" s="60">
        <f t="shared" si="22"/>
        <v>0</v>
      </c>
      <c r="M76" s="38">
        <f t="shared" si="22"/>
        <v>-642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78632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78632</v>
      </c>
      <c r="J81" s="60"/>
      <c r="K81" s="38"/>
      <c r="L81" s="60">
        <f t="shared" si="22"/>
        <v>0</v>
      </c>
      <c r="M81" s="38">
        <f t="shared" si="22"/>
        <v>78632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-89147.870060864603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-89147.870060864603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-89147.870060864603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212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405697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316549.1299391354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316549.1299391354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316549.1299391354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6" activePane="bottomRight" state="frozen"/>
      <selection activeCell="D10" sqref="D10"/>
      <selection pane="topRight" activeCell="D10" sqref="D10"/>
      <selection pane="bottomLeft" activeCell="D10" sqref="D10"/>
      <selection pane="bottomRight" activeCell="E81" sqref="E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-24967723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-24967723</v>
      </c>
      <c r="J12" s="60"/>
      <c r="K12" s="38"/>
      <c r="L12" s="60">
        <f t="shared" si="0"/>
        <v>0</v>
      </c>
      <c r="M12" s="38">
        <f t="shared" si="0"/>
        <v>-24967723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-24967723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-24967723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-24967723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450000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450000</v>
      </c>
      <c r="J60" s="65"/>
      <c r="K60" s="38"/>
      <c r="L60" s="60">
        <f>H60+J60</f>
        <v>0</v>
      </c>
      <c r="M60" s="38">
        <f>I60+K60</f>
        <v>450000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450000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450000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450000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98380002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98380002</v>
      </c>
      <c r="J70" s="65"/>
      <c r="K70" s="38"/>
      <c r="L70" s="60">
        <f t="shared" si="20"/>
        <v>0</v>
      </c>
      <c r="M70" s="38">
        <f t="shared" si="20"/>
        <v>98380002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-72699523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-72699523</v>
      </c>
      <c r="J71" s="65"/>
      <c r="K71" s="38"/>
      <c r="L71" s="60">
        <f t="shared" si="20"/>
        <v>0</v>
      </c>
      <c r="M71" s="38">
        <f t="shared" si="20"/>
        <v>-72699523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25680479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25680479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25680479</v>
      </c>
    </row>
    <row r="73" spans="1:13" x14ac:dyDescent="0.25">
      <c r="A73" s="9">
        <v>32</v>
      </c>
      <c r="B73" s="3"/>
      <c r="C73" s="10" t="s">
        <v>131</v>
      </c>
      <c r="D73" s="60"/>
      <c r="E73" s="38">
        <v>-328270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-328270</v>
      </c>
      <c r="J73" s="60"/>
      <c r="K73" s="38"/>
      <c r="L73" s="60">
        <f t="shared" ref="L73:M81" si="23">H73+J73</f>
        <v>0</v>
      </c>
      <c r="M73" s="38">
        <f t="shared" si="23"/>
        <v>-328270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3468797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3468797</v>
      </c>
      <c r="J74" s="60"/>
      <c r="K74" s="38"/>
      <c r="L74" s="60">
        <f t="shared" si="23"/>
        <v>0</v>
      </c>
      <c r="M74" s="38">
        <f t="shared" si="23"/>
        <v>3468797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-909291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-909291</v>
      </c>
      <c r="J75" s="60"/>
      <c r="K75" s="38"/>
      <c r="L75" s="60">
        <f t="shared" si="23"/>
        <v>0</v>
      </c>
      <c r="M75" s="38">
        <f t="shared" si="23"/>
        <v>-909291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-2185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-2185</v>
      </c>
      <c r="J76" s="60"/>
      <c r="K76" s="38"/>
      <c r="L76" s="60">
        <f t="shared" si="23"/>
        <v>0</v>
      </c>
      <c r="M76" s="38">
        <f t="shared" si="23"/>
        <v>-2185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209</v>
      </c>
      <c r="D79" s="60"/>
      <c r="E79" s="38">
        <v>-103047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-103047</v>
      </c>
      <c r="J79" s="60"/>
      <c r="K79" s="38"/>
      <c r="L79" s="60">
        <f t="shared" si="23"/>
        <v>0</v>
      </c>
      <c r="M79" s="38">
        <f t="shared" si="23"/>
        <v>-103047</v>
      </c>
    </row>
    <row r="80" spans="1:13" x14ac:dyDescent="0.25">
      <c r="A80" s="9">
        <v>39</v>
      </c>
      <c r="B80" s="3"/>
      <c r="C80" s="10" t="s">
        <v>215</v>
      </c>
      <c r="D80" s="60"/>
      <c r="E80" s="38">
        <v>88418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88418</v>
      </c>
      <c r="J80" s="60"/>
      <c r="K80" s="38"/>
      <c r="L80" s="60">
        <f t="shared" si="23"/>
        <v>0</v>
      </c>
      <c r="M80" s="38">
        <f t="shared" si="23"/>
        <v>88418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3814751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3814751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3814751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I62" zoomScale="75" workbookViewId="0">
      <selection activeCell="Q83" sqref="Q8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47077931</v>
      </c>
      <c r="E11" s="146">
        <v>130767443</v>
      </c>
      <c r="F11" s="60">
        <f>H11-D11</f>
        <v>0</v>
      </c>
      <c r="G11" s="37">
        <f>I11-E11</f>
        <v>0</v>
      </c>
      <c r="H11" s="65">
        <f>D11</f>
        <v>47077931</v>
      </c>
      <c r="I11" s="66">
        <f>E11</f>
        <v>130767443</v>
      </c>
      <c r="J11" s="60"/>
      <c r="K11" s="38"/>
      <c r="L11" s="60">
        <f t="shared" ref="L11:M15" si="0">H11+J11</f>
        <v>47077931</v>
      </c>
      <c r="M11" s="38">
        <f t="shared" si="0"/>
        <v>130767443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785883</v>
      </c>
      <c r="E13" s="146">
        <v>2242884</v>
      </c>
      <c r="F13" s="60">
        <f t="shared" si="1"/>
        <v>0</v>
      </c>
      <c r="G13" s="37">
        <f t="shared" si="1"/>
        <v>0</v>
      </c>
      <c r="H13" s="65">
        <f t="shared" si="2"/>
        <v>785883</v>
      </c>
      <c r="I13" s="66">
        <f t="shared" si="2"/>
        <v>2242884</v>
      </c>
      <c r="J13" s="60"/>
      <c r="K13" s="38"/>
      <c r="L13" s="60">
        <f t="shared" si="0"/>
        <v>785883</v>
      </c>
      <c r="M13" s="38">
        <f t="shared" si="0"/>
        <v>2242884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47863814</v>
      </c>
      <c r="E16" s="166">
        <v>133010327</v>
      </c>
      <c r="F16" s="61">
        <f t="shared" ref="F16:M16" si="3">SUM(F11:F15)</f>
        <v>0</v>
      </c>
      <c r="G16" s="39">
        <f t="shared" si="3"/>
        <v>0</v>
      </c>
      <c r="H16" s="61">
        <f>SUM(H11:H15)</f>
        <v>47863814</v>
      </c>
      <c r="I16" s="39">
        <f>SUM(I11:I15)</f>
        <v>133010327</v>
      </c>
      <c r="J16" s="61">
        <f t="shared" si="3"/>
        <v>0</v>
      </c>
      <c r="K16" s="39">
        <f t="shared" si="3"/>
        <v>0</v>
      </c>
      <c r="L16" s="61">
        <f t="shared" si="3"/>
        <v>47863814</v>
      </c>
      <c r="M16" s="39">
        <f t="shared" si="3"/>
        <v>133010327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-46375541</v>
      </c>
      <c r="E19" s="146">
        <v>-128293510</v>
      </c>
      <c r="F19" s="60">
        <f>H19-D19</f>
        <v>0</v>
      </c>
      <c r="G19" s="37">
        <f>I19-E19</f>
        <v>0</v>
      </c>
      <c r="H19" s="65">
        <f t="shared" si="4"/>
        <v>-46375541</v>
      </c>
      <c r="I19" s="66">
        <f t="shared" si="4"/>
        <v>-128293510</v>
      </c>
      <c r="J19" s="60"/>
      <c r="K19" s="38"/>
      <c r="L19" s="60">
        <f t="shared" ref="L19:M23" si="5">H19+J19</f>
        <v>-46375541</v>
      </c>
      <c r="M19" s="38">
        <f t="shared" si="5"/>
        <v>-128293510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-1501647</v>
      </c>
      <c r="E21" s="146">
        <v>-4294217</v>
      </c>
      <c r="F21" s="60">
        <f t="shared" si="6"/>
        <v>0</v>
      </c>
      <c r="G21" s="37">
        <f t="shared" si="6"/>
        <v>0</v>
      </c>
      <c r="H21" s="65">
        <f t="shared" si="4"/>
        <v>-1501647</v>
      </c>
      <c r="I21" s="66">
        <f t="shared" si="4"/>
        <v>-4294217</v>
      </c>
      <c r="J21" s="60"/>
      <c r="K21" s="38"/>
      <c r="L21" s="60">
        <f t="shared" si="5"/>
        <v>-1501647</v>
      </c>
      <c r="M21" s="38">
        <f t="shared" si="5"/>
        <v>-4294217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-47877188</v>
      </c>
      <c r="E24" s="166">
        <v>-132587727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-47877188</v>
      </c>
      <c r="I24" s="39">
        <f>SUM(I19:I23)</f>
        <v>-132587727</v>
      </c>
      <c r="J24" s="61">
        <f t="shared" si="7"/>
        <v>0</v>
      </c>
      <c r="K24" s="39">
        <f t="shared" si="7"/>
        <v>0</v>
      </c>
      <c r="L24" s="61">
        <f t="shared" si="7"/>
        <v>-47877188</v>
      </c>
      <c r="M24" s="39">
        <f t="shared" si="7"/>
        <v>-132587727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13374</v>
      </c>
      <c r="E49" s="146">
        <v>40389.480000000003</v>
      </c>
      <c r="F49" s="60">
        <f>H49-D49</f>
        <v>0</v>
      </c>
      <c r="G49" s="37">
        <f>I49-E49</f>
        <v>0</v>
      </c>
      <c r="H49" s="65">
        <f>D49</f>
        <v>13374</v>
      </c>
      <c r="I49" s="66">
        <f>E49</f>
        <v>40389.480000000003</v>
      </c>
      <c r="J49" s="60"/>
      <c r="K49" s="38"/>
      <c r="L49" s="60">
        <f>H49+J49</f>
        <v>13374</v>
      </c>
      <c r="M49" s="38">
        <f>I49+K49</f>
        <v>40389.480000000003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-3371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-3371</v>
      </c>
      <c r="J54" s="60"/>
      <c r="K54" s="38"/>
      <c r="L54" s="60">
        <f>H54+J54</f>
        <v>0</v>
      </c>
      <c r="M54" s="38">
        <f>I54+K54</f>
        <v>-3371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-3371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-3371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-3371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115486.0210982901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115486.0210982901</v>
      </c>
      <c r="J70" s="65"/>
      <c r="K70" s="38"/>
      <c r="L70" s="60">
        <f t="shared" si="20"/>
        <v>0</v>
      </c>
      <c r="M70" s="38">
        <f t="shared" si="20"/>
        <v>115486.0210982901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-1556140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-1556140</v>
      </c>
      <c r="J71" s="65"/>
      <c r="K71" s="38"/>
      <c r="L71" s="60">
        <f t="shared" si="20"/>
        <v>0</v>
      </c>
      <c r="M71" s="38">
        <f t="shared" si="20"/>
        <v>-1556140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-1440653.9789017099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-1440653.9789017099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-1440653.9789017099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1134514.5018000002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1134514.5018000002</v>
      </c>
      <c r="J74" s="60"/>
      <c r="K74" s="38"/>
      <c r="L74" s="60">
        <f t="shared" si="23"/>
        <v>0</v>
      </c>
      <c r="M74" s="38">
        <f t="shared" si="23"/>
        <v>1134514.5018000002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-198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-198</v>
      </c>
      <c r="J76" s="60"/>
      <c r="K76" s="38"/>
      <c r="L76" s="60">
        <f t="shared" si="23"/>
        <v>0</v>
      </c>
      <c r="M76" s="38">
        <f t="shared" si="23"/>
        <v>-198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-3412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-3412</v>
      </c>
      <c r="J81" s="60"/>
      <c r="K81" s="38"/>
      <c r="L81" s="60">
        <f t="shared" si="23"/>
        <v>0</v>
      </c>
      <c r="M81" s="38">
        <f t="shared" si="23"/>
        <v>-3412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149869.00289828659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149869.00289828659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149869.00289828659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573509.00289828656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573509.00289828656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573509.00289828656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14226270</v>
      </c>
      <c r="E11" s="65">
        <v>31901265</v>
      </c>
      <c r="F11" s="60">
        <f>H11-D11</f>
        <v>0</v>
      </c>
      <c r="G11" s="37">
        <f>I11-E11</f>
        <v>0</v>
      </c>
      <c r="H11" s="65">
        <f>D11</f>
        <v>14226270</v>
      </c>
      <c r="I11" s="66">
        <f>E11</f>
        <v>31901265</v>
      </c>
      <c r="J11" s="60"/>
      <c r="K11" s="38"/>
      <c r="L11" s="60">
        <f t="shared" ref="L11:M15" si="0">H11+J11</f>
        <v>14226270</v>
      </c>
      <c r="M11" s="38">
        <f t="shared" si="0"/>
        <v>31901265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36325908</v>
      </c>
      <c r="E13" s="65">
        <v>109577788</v>
      </c>
      <c r="F13" s="60">
        <f t="shared" si="1"/>
        <v>0</v>
      </c>
      <c r="G13" s="37">
        <f t="shared" si="1"/>
        <v>0</v>
      </c>
      <c r="H13" s="65">
        <f t="shared" si="2"/>
        <v>36325908</v>
      </c>
      <c r="I13" s="66">
        <f t="shared" si="2"/>
        <v>109577788</v>
      </c>
      <c r="J13" s="60"/>
      <c r="K13" s="38"/>
      <c r="L13" s="60">
        <f t="shared" si="0"/>
        <v>36325908</v>
      </c>
      <c r="M13" s="38">
        <f t="shared" si="0"/>
        <v>109577788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10479428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10479428</v>
      </c>
      <c r="J15" s="60"/>
      <c r="K15" s="38"/>
      <c r="L15" s="60">
        <f t="shared" si="0"/>
        <v>0</v>
      </c>
      <c r="M15" s="38">
        <f t="shared" si="0"/>
        <v>10479428</v>
      </c>
    </row>
    <row r="16" spans="1:26" x14ac:dyDescent="0.25">
      <c r="A16" s="9"/>
      <c r="B16" s="7" t="s">
        <v>30</v>
      </c>
      <c r="C16" s="6"/>
      <c r="D16" s="61">
        <v>50552178</v>
      </c>
      <c r="E16" s="39">
        <v>151958481</v>
      </c>
      <c r="F16" s="61">
        <f t="shared" ref="F16:M16" si="3">SUM(F11:F15)</f>
        <v>0</v>
      </c>
      <c r="G16" s="39">
        <f t="shared" si="3"/>
        <v>0</v>
      </c>
      <c r="H16" s="61">
        <f>SUM(H11:H15)</f>
        <v>50552178</v>
      </c>
      <c r="I16" s="39">
        <f>SUM(I11:I15)</f>
        <v>151958481</v>
      </c>
      <c r="J16" s="61">
        <f t="shared" si="3"/>
        <v>0</v>
      </c>
      <c r="K16" s="39">
        <f t="shared" si="3"/>
        <v>0</v>
      </c>
      <c r="L16" s="61">
        <f t="shared" si="3"/>
        <v>50552178</v>
      </c>
      <c r="M16" s="39">
        <f t="shared" si="3"/>
        <v>151958481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-8013120</v>
      </c>
      <c r="E19" s="65">
        <v>-19229332</v>
      </c>
      <c r="F19" s="60">
        <f>H19-D19</f>
        <v>0</v>
      </c>
      <c r="G19" s="37">
        <f>I19-E19</f>
        <v>0</v>
      </c>
      <c r="H19" s="65">
        <f t="shared" si="4"/>
        <v>-8013120</v>
      </c>
      <c r="I19" s="66">
        <f t="shared" si="4"/>
        <v>-19229332</v>
      </c>
      <c r="J19" s="60"/>
      <c r="K19" s="38"/>
      <c r="L19" s="60">
        <f t="shared" ref="L19:M23" si="5">H19+J19</f>
        <v>-8013120</v>
      </c>
      <c r="M19" s="38">
        <f t="shared" si="5"/>
        <v>-19229332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-37748857</v>
      </c>
      <c r="E21" s="65">
        <v>-111127606</v>
      </c>
      <c r="F21" s="60">
        <f t="shared" si="6"/>
        <v>0</v>
      </c>
      <c r="G21" s="37">
        <f t="shared" si="6"/>
        <v>0</v>
      </c>
      <c r="H21" s="65">
        <f t="shared" si="4"/>
        <v>-37748857</v>
      </c>
      <c r="I21" s="66">
        <f t="shared" si="4"/>
        <v>-111127606</v>
      </c>
      <c r="J21" s="60"/>
      <c r="K21" s="38"/>
      <c r="L21" s="60">
        <f t="shared" si="5"/>
        <v>-37748857</v>
      </c>
      <c r="M21" s="38">
        <f t="shared" si="5"/>
        <v>-111127606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622881</v>
      </c>
      <c r="E23" s="65">
        <v>1746429</v>
      </c>
      <c r="F23" s="60">
        <f t="shared" si="6"/>
        <v>0</v>
      </c>
      <c r="G23" s="37">
        <f t="shared" si="6"/>
        <v>0</v>
      </c>
      <c r="H23" s="65">
        <f t="shared" si="4"/>
        <v>622881</v>
      </c>
      <c r="I23" s="66">
        <f t="shared" si="4"/>
        <v>1746429</v>
      </c>
      <c r="J23" s="60"/>
      <c r="K23" s="38"/>
      <c r="L23" s="60">
        <f t="shared" si="5"/>
        <v>622881</v>
      </c>
      <c r="M23" s="38">
        <f t="shared" si="5"/>
        <v>1746429</v>
      </c>
    </row>
    <row r="24" spans="1:13" x14ac:dyDescent="0.25">
      <c r="A24" s="9"/>
      <c r="B24" s="7" t="s">
        <v>33</v>
      </c>
      <c r="C24" s="6"/>
      <c r="D24" s="61">
        <v>-45139096</v>
      </c>
      <c r="E24" s="39">
        <v>-128610509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-45139096</v>
      </c>
      <c r="I24" s="39">
        <f>SUM(I19:I23)</f>
        <v>-128610509</v>
      </c>
      <c r="J24" s="61">
        <f t="shared" si="7"/>
        <v>0</v>
      </c>
      <c r="K24" s="39">
        <f t="shared" si="7"/>
        <v>0</v>
      </c>
      <c r="L24" s="61">
        <f t="shared" si="7"/>
        <v>-45139096</v>
      </c>
      <c r="M24" s="39">
        <f t="shared" si="7"/>
        <v>-128610509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299827</v>
      </c>
      <c r="E39" s="65">
        <v>879007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299827</v>
      </c>
      <c r="I39" s="66">
        <f t="shared" si="12"/>
        <v>879007</v>
      </c>
      <c r="J39" s="60"/>
      <c r="K39" s="38"/>
      <c r="L39" s="60">
        <f t="shared" ref="L39:M41" si="14">H39+J39</f>
        <v>299827</v>
      </c>
      <c r="M39" s="38">
        <f t="shared" si="14"/>
        <v>879007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-5862146</v>
      </c>
      <c r="E40" s="65">
        <v>-11029269</v>
      </c>
      <c r="F40" s="60">
        <f t="shared" si="13"/>
        <v>0</v>
      </c>
      <c r="G40" s="37">
        <f t="shared" si="13"/>
        <v>0</v>
      </c>
      <c r="H40" s="65">
        <f t="shared" si="12"/>
        <v>-5862146</v>
      </c>
      <c r="I40" s="66">
        <f t="shared" si="12"/>
        <v>-11029269</v>
      </c>
      <c r="J40" s="65"/>
      <c r="K40" s="38"/>
      <c r="L40" s="60">
        <f t="shared" si="14"/>
        <v>-5862146</v>
      </c>
      <c r="M40" s="38">
        <f t="shared" si="14"/>
        <v>-11029269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-5862146</v>
      </c>
      <c r="E42" s="39">
        <v>-11029269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-5862146</v>
      </c>
      <c r="I42" s="39">
        <f>SUM(I40:I41)</f>
        <v>-11029269</v>
      </c>
      <c r="J42" s="69">
        <f t="shared" si="15"/>
        <v>0</v>
      </c>
      <c r="K42" s="39">
        <f t="shared" si="15"/>
        <v>0</v>
      </c>
      <c r="L42" s="69">
        <f t="shared" si="15"/>
        <v>-5862146</v>
      </c>
      <c r="M42" s="39">
        <f t="shared" si="15"/>
        <v>-11029269</v>
      </c>
    </row>
    <row r="43" spans="1:13" ht="21" customHeight="1" x14ac:dyDescent="0.25">
      <c r="A43" s="9"/>
      <c r="B43" s="7" t="s">
        <v>49</v>
      </c>
      <c r="C43" s="6"/>
      <c r="D43" s="61">
        <v>-5562319</v>
      </c>
      <c r="E43" s="39">
        <v>-10150262</v>
      </c>
      <c r="F43" s="61">
        <f t="shared" ref="F43:M43" si="16">F42+F39</f>
        <v>0</v>
      </c>
      <c r="G43" s="39">
        <f t="shared" si="16"/>
        <v>0</v>
      </c>
      <c r="H43" s="61">
        <f>H42+H39</f>
        <v>-5562319</v>
      </c>
      <c r="I43" s="39">
        <f>I42+I39</f>
        <v>-10150262</v>
      </c>
      <c r="J43" s="61">
        <f t="shared" si="16"/>
        <v>0</v>
      </c>
      <c r="K43" s="39">
        <f t="shared" si="16"/>
        <v>0</v>
      </c>
      <c r="L43" s="61">
        <f t="shared" si="16"/>
        <v>-5562319</v>
      </c>
      <c r="M43" s="39">
        <f t="shared" si="16"/>
        <v>-10150262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149237</v>
      </c>
      <c r="E49" s="65">
        <v>392344.07299999997</v>
      </c>
      <c r="F49" s="60">
        <f>H49-D49</f>
        <v>0</v>
      </c>
      <c r="G49" s="37">
        <f>I49-E49</f>
        <v>0</v>
      </c>
      <c r="H49" s="65">
        <f>D49</f>
        <v>149237</v>
      </c>
      <c r="I49" s="66">
        <f>E49</f>
        <v>392344.07299999997</v>
      </c>
      <c r="J49" s="60"/>
      <c r="K49" s="38"/>
      <c r="L49" s="60">
        <f>H49+J49</f>
        <v>149237</v>
      </c>
      <c r="M49" s="38">
        <f>I49+K49</f>
        <v>392344.07299999997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-622881</v>
      </c>
      <c r="E51" s="65">
        <v>-1746429</v>
      </c>
      <c r="F51" s="60">
        <f>H51-D51</f>
        <v>0</v>
      </c>
      <c r="G51" s="37">
        <f>I51-E51</f>
        <v>0</v>
      </c>
      <c r="H51" s="65">
        <f>D51</f>
        <v>-622881</v>
      </c>
      <c r="I51" s="66">
        <f>E51</f>
        <v>-1746429</v>
      </c>
      <c r="J51" s="60"/>
      <c r="K51" s="38"/>
      <c r="L51" s="60">
        <f>H51+J51</f>
        <v>-622881</v>
      </c>
      <c r="M51" s="38">
        <f>I51+K51</f>
        <v>-1746429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-1132053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-1132053</v>
      </c>
      <c r="J54" s="60"/>
      <c r="K54" s="38"/>
      <c r="L54" s="60">
        <f>H54+J54</f>
        <v>0</v>
      </c>
      <c r="M54" s="38">
        <f>I54+K54</f>
        <v>-1132053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-10479428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-10479428</v>
      </c>
      <c r="J55" s="60"/>
      <c r="K55" s="38"/>
      <c r="L55" s="60">
        <f>H55+J55</f>
        <v>0</v>
      </c>
      <c r="M55" s="38">
        <f>I55+K55</f>
        <v>-10479428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-11611481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-11611481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-11611481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-649880.27089920244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-649880.27089920244</v>
      </c>
      <c r="J70" s="65"/>
      <c r="K70" s="38"/>
      <c r="L70" s="60">
        <f t="shared" si="20"/>
        <v>0</v>
      </c>
      <c r="M70" s="38">
        <f t="shared" si="20"/>
        <v>-649880.27089920244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2467845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2467845</v>
      </c>
      <c r="J71" s="65"/>
      <c r="K71" s="38"/>
      <c r="L71" s="60">
        <f t="shared" si="20"/>
        <v>0</v>
      </c>
      <c r="M71" s="38">
        <f t="shared" si="20"/>
        <v>2467845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1817964.7291007976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1817964.7291007976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1817964.7291007976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-1773854.5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-1773854.5</v>
      </c>
      <c r="J74" s="60"/>
      <c r="K74" s="38"/>
      <c r="L74" s="60">
        <f t="shared" si="23"/>
        <v>0</v>
      </c>
      <c r="M74" s="38">
        <f t="shared" si="23"/>
        <v>-1773854.5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-543798.11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-543798.11</v>
      </c>
      <c r="J81" s="60"/>
      <c r="K81" s="38"/>
      <c r="L81" s="60">
        <f t="shared" si="23"/>
        <v>0</v>
      </c>
      <c r="M81" s="38">
        <f t="shared" si="23"/>
        <v>-543798.11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-267543.80789919011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-267543.80789919011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-267543.80789919011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I10" activePane="bottomRight" state="frozen"/>
      <selection activeCell="D10" sqref="D10"/>
      <selection pane="topRight" activeCell="D10" sqref="D10"/>
      <selection pane="bottomLeft" activeCell="D10" sqref="D10"/>
      <selection pane="bottomRight" activeCell="K12" sqref="K1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115914309</v>
      </c>
      <c r="E11" s="38">
        <f>SUM(G11,I11,K11,M11,O11,Q11,S11,U11,W11,Y11,AA11,AC11,AE11)</f>
        <v>304782688.54000002</v>
      </c>
      <c r="F11" s="60">
        <f>'TIE-OUT'!F11+RECLASS!F11</f>
        <v>0</v>
      </c>
      <c r="G11" s="38">
        <f>'TIE-OUT'!G11+RECLASS!G11</f>
        <v>0</v>
      </c>
      <c r="H11" s="118">
        <f>+Actuals!E164</f>
        <v>115460182</v>
      </c>
      <c r="I11" s="119">
        <f>+Actuals!F164</f>
        <v>304250263.52000004</v>
      </c>
      <c r="J11" s="118">
        <f>+Actuals!G164</f>
        <v>454127</v>
      </c>
      <c r="K11" s="119">
        <f>+Actuals!H164</f>
        <v>532425.02</v>
      </c>
      <c r="L11" s="118">
        <f>+Actuals!I164</f>
        <v>0</v>
      </c>
      <c r="M11" s="119">
        <f>+Actuals!J164</f>
        <v>0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3064902.5199999996</v>
      </c>
      <c r="F12" s="60">
        <f>'TIE-OUT'!F12+RECLASS!F12</f>
        <v>0</v>
      </c>
      <c r="G12" s="38">
        <f>'TIE-OUT'!G12+RECLASS!G12</f>
        <v>-5370359.4800000004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8435262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5275675</v>
      </c>
      <c r="E13" s="38">
        <f t="shared" si="0"/>
        <v>14120034</v>
      </c>
      <c r="F13" s="60">
        <f>'TIE-OUT'!F13+RECLASS!F13</f>
        <v>0</v>
      </c>
      <c r="G13" s="38">
        <f>'TIE-OUT'!G13+RECLASS!G13</f>
        <v>0</v>
      </c>
      <c r="H13" s="118">
        <f>+Actuals!E166</f>
        <v>5177720</v>
      </c>
      <c r="I13" s="119">
        <f>+Actuals!F166</f>
        <v>13861560</v>
      </c>
      <c r="J13" s="118">
        <f>+Actuals!G166</f>
        <v>97955</v>
      </c>
      <c r="K13" s="119">
        <f>+Actuals!H166</f>
        <v>258474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2835640.51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1247995.51</v>
      </c>
      <c r="J15" s="118">
        <f>+Actuals!G168</f>
        <v>0</v>
      </c>
      <c r="K15" s="119">
        <f>+Actuals!H168</f>
        <v>1587645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121189984</v>
      </c>
      <c r="E16" s="39">
        <f t="shared" si="1"/>
        <v>324803265.56999999</v>
      </c>
      <c r="F16" s="61">
        <f t="shared" si="1"/>
        <v>0</v>
      </c>
      <c r="G16" s="39">
        <f t="shared" si="1"/>
        <v>-5370359.4800000004</v>
      </c>
      <c r="H16" s="61">
        <f t="shared" si="1"/>
        <v>120637902</v>
      </c>
      <c r="I16" s="39">
        <f t="shared" si="1"/>
        <v>319359819.03000003</v>
      </c>
      <c r="J16" s="61">
        <f t="shared" ref="J16:AO16" si="2">SUM(J11:J15)</f>
        <v>552082</v>
      </c>
      <c r="K16" s="39">
        <f t="shared" si="2"/>
        <v>10813806.02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-129460410</v>
      </c>
      <c r="E19" s="38">
        <f t="shared" si="3"/>
        <v>-339222137.13999999</v>
      </c>
      <c r="F19" s="64">
        <f>'TIE-OUT'!F19+RECLASS!F19</f>
        <v>0</v>
      </c>
      <c r="G19" s="68">
        <f>'TIE-OUT'!G19+RECLASS!G19</f>
        <v>0</v>
      </c>
      <c r="H19" s="118">
        <f>+Actuals!E169</f>
        <v>-128008312</v>
      </c>
      <c r="I19" s="119">
        <f>+Actuals!F169</f>
        <v>-334791168.93000001</v>
      </c>
      <c r="J19" s="118">
        <f>+Actuals!G169</f>
        <v>-1452098</v>
      </c>
      <c r="K19" s="119">
        <f>+Actuals!H169</f>
        <v>-4430968.21</v>
      </c>
      <c r="L19" s="118">
        <f>+Actuals!I169</f>
        <v>0</v>
      </c>
      <c r="M19" s="119">
        <f>+Actuals!J169</f>
        <v>0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-12154.06</v>
      </c>
      <c r="F20" s="60">
        <f>'TIE-OUT'!F20+RECLASS!F20</f>
        <v>0</v>
      </c>
      <c r="G20" s="38">
        <f>'TIE-OUT'!G20+RECLASS!G20</f>
        <v>-12154.06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-3152509</v>
      </c>
      <c r="E21" s="38">
        <f t="shared" si="3"/>
        <v>-8512491</v>
      </c>
      <c r="F21" s="60">
        <f>'TIE-OUT'!F21+RECLASS!F21</f>
        <v>0</v>
      </c>
      <c r="G21" s="38">
        <f>'TIE-OUT'!G21+RECLASS!G21</f>
        <v>0</v>
      </c>
      <c r="H21" s="118">
        <f>+Actuals!E171</f>
        <v>-3077725</v>
      </c>
      <c r="I21" s="119">
        <f>+Actuals!F171</f>
        <v>-8291680</v>
      </c>
      <c r="J21" s="118">
        <f>+Actuals!G171</f>
        <v>-74784</v>
      </c>
      <c r="K21" s="119">
        <f>+Actuals!H171</f>
        <v>-220811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785293</v>
      </c>
      <c r="E23" s="38">
        <f t="shared" si="3"/>
        <v>2051970.6089999999</v>
      </c>
      <c r="F23" s="81">
        <f>'TIE-OUT'!F23+RECLASS!F23</f>
        <v>0</v>
      </c>
      <c r="G23" s="82">
        <f>'TIE-OUT'!G23+RECLASS!G23</f>
        <v>0</v>
      </c>
      <c r="H23" s="118">
        <f>+Actuals!E173</f>
        <v>807961</v>
      </c>
      <c r="I23" s="119">
        <f>+Actuals!F173</f>
        <v>2111202.0929999999</v>
      </c>
      <c r="J23" s="118">
        <f>+Actuals!G173</f>
        <v>-22668</v>
      </c>
      <c r="K23" s="119">
        <f>+Actuals!H173</f>
        <v>-59231.483999999997</v>
      </c>
      <c r="L23" s="118">
        <f>+Actuals!I173</f>
        <v>0</v>
      </c>
      <c r="M23" s="119">
        <f>+Actuals!J173</f>
        <v>0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-131827626</v>
      </c>
      <c r="E24" s="39">
        <f t="shared" si="4"/>
        <v>-345694811.59099996</v>
      </c>
      <c r="F24" s="61">
        <f t="shared" si="4"/>
        <v>0</v>
      </c>
      <c r="G24" s="39">
        <f t="shared" si="4"/>
        <v>-12154.06</v>
      </c>
      <c r="H24" s="61">
        <f t="shared" si="4"/>
        <v>-130278076</v>
      </c>
      <c r="I24" s="39">
        <f t="shared" si="4"/>
        <v>-340971646.83700001</v>
      </c>
      <c r="J24" s="61">
        <f t="shared" ref="J24:AO24" si="5">SUM(J19:J23)</f>
        <v>-1549550</v>
      </c>
      <c r="K24" s="39">
        <f t="shared" si="5"/>
        <v>-4711010.6940000001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701344</v>
      </c>
      <c r="E27" s="38">
        <f>SUM(G27,I27,K27,M27,O27,Q27,S27,U27,W27,Y27,AA27,AC27,AE27)</f>
        <v>1914308.6099999999</v>
      </c>
      <c r="F27" s="64">
        <f>'TIE-OUT'!F27+RECLASS!F27</f>
        <v>0</v>
      </c>
      <c r="G27" s="68">
        <f>'TIE-OUT'!G27+RECLASS!G27</f>
        <v>0</v>
      </c>
      <c r="H27" s="118">
        <f>+Actuals!E174</f>
        <v>620978</v>
      </c>
      <c r="I27" s="119">
        <f>+Actuals!F174</f>
        <v>1689839.42</v>
      </c>
      <c r="J27" s="118">
        <f>+Actuals!G174</f>
        <v>80366</v>
      </c>
      <c r="K27" s="119">
        <f>+Actuals!H174</f>
        <v>224469.19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f>+Actuals!E175</f>
        <v>0</v>
      </c>
      <c r="I28" s="119">
        <f>+Actuals!F175</f>
        <v>0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701344</v>
      </c>
      <c r="E29" s="39">
        <f t="shared" si="6"/>
        <v>1914308.6099999999</v>
      </c>
      <c r="F29" s="61">
        <f t="shared" si="6"/>
        <v>0</v>
      </c>
      <c r="G29" s="39">
        <f t="shared" si="6"/>
        <v>0</v>
      </c>
      <c r="H29" s="61">
        <f t="shared" si="6"/>
        <v>620978</v>
      </c>
      <c r="I29" s="39">
        <f t="shared" si="6"/>
        <v>1689839.42</v>
      </c>
      <c r="J29" s="61">
        <f t="shared" ref="J29:AO29" si="7">SUM(J27:J28)</f>
        <v>80366</v>
      </c>
      <c r="K29" s="39">
        <f t="shared" si="7"/>
        <v>224469.19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-145316</v>
      </c>
      <c r="E32" s="38">
        <f t="shared" si="8"/>
        <v>-379710.70799999987</v>
      </c>
      <c r="F32" s="64">
        <f>'TIE-OUT'!F32+RECLASS!F32</f>
        <v>0</v>
      </c>
      <c r="G32" s="68">
        <f>'TIE-OUT'!G32+RECLASS!G32</f>
        <v>0</v>
      </c>
      <c r="H32" s="118">
        <f>+Actuals!E176</f>
        <v>-706880</v>
      </c>
      <c r="I32" s="119">
        <f>+Actuals!F176</f>
        <v>-1847077.44</v>
      </c>
      <c r="J32" s="118">
        <f>+Actuals!G176</f>
        <v>561564</v>
      </c>
      <c r="K32" s="119">
        <f>+Actuals!H176</f>
        <v>1467366.7320000001</v>
      </c>
      <c r="L32" s="118">
        <f>+Actuals!I176</f>
        <v>0</v>
      </c>
      <c r="M32" s="119">
        <f>+Actuals!J176</f>
        <v>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-22553</v>
      </c>
      <c r="E33" s="38">
        <f t="shared" si="8"/>
        <v>-195.82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-22553</v>
      </c>
      <c r="K33" s="119">
        <f>+Actuals!H177</f>
        <v>-195.82</v>
      </c>
      <c r="L33" s="118">
        <f>+Actuals!I177</f>
        <v>0</v>
      </c>
      <c r="M33" s="119">
        <f>+Actuals!J177</f>
        <v>0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690</v>
      </c>
      <c r="E34" s="38">
        <f t="shared" si="8"/>
        <v>0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690</v>
      </c>
      <c r="K34" s="119">
        <f>+Actuals!H178</f>
        <v>0</v>
      </c>
      <c r="L34" s="118">
        <f>+Actuals!I178</f>
        <v>0</v>
      </c>
      <c r="M34" s="119">
        <f>+Actuals!J178</f>
        <v>0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-167179</v>
      </c>
      <c r="E36" s="39">
        <f t="shared" si="9"/>
        <v>-379906.52799999987</v>
      </c>
      <c r="F36" s="61">
        <f t="shared" si="9"/>
        <v>0</v>
      </c>
      <c r="G36" s="39">
        <f t="shared" si="9"/>
        <v>0</v>
      </c>
      <c r="H36" s="61">
        <f t="shared" si="9"/>
        <v>-706880</v>
      </c>
      <c r="I36" s="39">
        <f t="shared" si="9"/>
        <v>-1847077.44</v>
      </c>
      <c r="J36" s="61">
        <f t="shared" ref="J36:AO36" si="10">SUM(J32:J35)</f>
        <v>539701</v>
      </c>
      <c r="K36" s="39">
        <f t="shared" si="10"/>
        <v>1467170.912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612458</v>
      </c>
      <c r="E39" s="38">
        <f t="shared" si="11"/>
        <v>1600352.7599999998</v>
      </c>
      <c r="F39" s="64">
        <f>'TIE-OUT'!F39+RECLASS!F39</f>
        <v>0</v>
      </c>
      <c r="G39" s="68">
        <f>'TIE-OUT'!G39+RECLASS!G39</f>
        <v>0</v>
      </c>
      <c r="H39" s="118">
        <f>+Actuals!E180</f>
        <v>552019</v>
      </c>
      <c r="I39" s="119">
        <f>+Actuals!F180</f>
        <v>1442425.65</v>
      </c>
      <c r="J39" s="118">
        <f>+Actuals!G180</f>
        <v>60439</v>
      </c>
      <c r="K39" s="119">
        <f>+Actuals!H180</f>
        <v>157927.10999999999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-386875</v>
      </c>
      <c r="E40" s="38">
        <f t="shared" si="11"/>
        <v>-841937.26</v>
      </c>
      <c r="F40" s="60">
        <f>'TIE-OUT'!F40+RECLASS!F40</f>
        <v>0</v>
      </c>
      <c r="G40" s="38">
        <f>'TIE-OUT'!G40+RECLASS!G40</f>
        <v>0</v>
      </c>
      <c r="H40" s="118">
        <f>+Actuals!E181</f>
        <v>-392942</v>
      </c>
      <c r="I40" s="119">
        <f>+Actuals!F181</f>
        <v>-860316.56</v>
      </c>
      <c r="J40" s="118">
        <f>+Actuals!G181</f>
        <v>6067</v>
      </c>
      <c r="K40" s="119">
        <f>+Actuals!H181</f>
        <v>18379.3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-386875</v>
      </c>
      <c r="E42" s="39">
        <f t="shared" si="12"/>
        <v>-841937.26</v>
      </c>
      <c r="F42" s="61">
        <f t="shared" si="12"/>
        <v>0</v>
      </c>
      <c r="G42" s="39">
        <f t="shared" si="12"/>
        <v>0</v>
      </c>
      <c r="H42" s="61">
        <f t="shared" si="12"/>
        <v>-392942</v>
      </c>
      <c r="I42" s="39">
        <f t="shared" si="12"/>
        <v>-860316.56</v>
      </c>
      <c r="J42" s="61">
        <f t="shared" ref="J42:AO42" si="13">SUM(J40:J41)</f>
        <v>6067</v>
      </c>
      <c r="K42" s="39">
        <f t="shared" si="13"/>
        <v>18379.3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225583</v>
      </c>
      <c r="E43" s="39">
        <f t="shared" si="14"/>
        <v>758415.49999999977</v>
      </c>
      <c r="F43" s="61">
        <f t="shared" si="14"/>
        <v>0</v>
      </c>
      <c r="G43" s="39">
        <f t="shared" si="14"/>
        <v>0</v>
      </c>
      <c r="H43" s="61">
        <f t="shared" si="14"/>
        <v>159077</v>
      </c>
      <c r="I43" s="39">
        <f t="shared" si="14"/>
        <v>582109.08999999985</v>
      </c>
      <c r="J43" s="61">
        <f t="shared" ref="J43:AO43" si="15">J42+J39</f>
        <v>66506</v>
      </c>
      <c r="K43" s="39">
        <f t="shared" si="15"/>
        <v>176306.40999999997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9877894</v>
      </c>
      <c r="E49" s="38">
        <f>SUM(G49,I49,K49,M49,O49,Q49,S49,U49,W49,Y49,AA49,AC49,AE49)</f>
        <v>25810937.022</v>
      </c>
      <c r="F49" s="60">
        <f>'TIE-OUT'!F49+RECLASS!F49</f>
        <v>0</v>
      </c>
      <c r="G49" s="38">
        <f>'TIE-OUT'!G49+RECLASS!G49</f>
        <v>0</v>
      </c>
      <c r="H49" s="118">
        <f>+Actuals!E185</f>
        <v>9566999</v>
      </c>
      <c r="I49" s="119">
        <f>+Actuals!F185</f>
        <v>24998568.386999998</v>
      </c>
      <c r="J49" s="118">
        <f>+Actuals!G185</f>
        <v>310895</v>
      </c>
      <c r="K49" s="119">
        <f>+Actuals!H185</f>
        <v>812368.63500000164</v>
      </c>
      <c r="L49" s="118">
        <f>+Actuals!I185</f>
        <v>0</v>
      </c>
      <c r="M49" s="119">
        <f>+Actuals!J185</f>
        <v>0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-785293</v>
      </c>
      <c r="E51" s="38">
        <f>SUM(G51,I51,K51,M51,O51,Q51,S51,U51,W51,Y51,AA51,AC51,AE51)</f>
        <v>-2051970.6089999999</v>
      </c>
      <c r="F51" s="60">
        <f>'TIE-OUT'!F51+RECLASS!F51</f>
        <v>0</v>
      </c>
      <c r="G51" s="38">
        <f>'TIE-OUT'!G51+RECLASS!G51</f>
        <v>0</v>
      </c>
      <c r="H51" s="118">
        <f>+Actuals!E186</f>
        <v>-807961</v>
      </c>
      <c r="I51" s="119">
        <f>+Actuals!F186</f>
        <v>-2111202.0929999999</v>
      </c>
      <c r="J51" s="118">
        <f>+Actuals!G186</f>
        <v>22668</v>
      </c>
      <c r="K51" s="119">
        <f>+Actuals!H186</f>
        <v>59231.483999999997</v>
      </c>
      <c r="L51" s="118">
        <f>+Actuals!I186</f>
        <v>0</v>
      </c>
      <c r="M51" s="119">
        <f>+Actuals!J186</f>
        <v>0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-78713620</v>
      </c>
      <c r="E54" s="38">
        <f>SUM(G54,I54,K54,M54,O54,Q54,S54,U54,W54,Y54,AA54,AC54,AE54)</f>
        <v>-508166.51</v>
      </c>
      <c r="F54" s="64">
        <f>'TIE-OUT'!F54+RECLASS!F54</f>
        <v>0</v>
      </c>
      <c r="G54" s="68">
        <f>'TIE-OUT'!G54+RECLASS!G54</f>
        <v>0</v>
      </c>
      <c r="H54" s="118">
        <f>+Actuals!E187</f>
        <v>-76869037</v>
      </c>
      <c r="I54" s="119">
        <f>+Actuals!F187</f>
        <v>-564998.48</v>
      </c>
      <c r="J54" s="118">
        <f>+Actuals!G187</f>
        <v>-1844583</v>
      </c>
      <c r="K54" s="119">
        <f>+Actuals!H187</f>
        <v>56831.97</v>
      </c>
      <c r="L54" s="118">
        <f>+Actuals!I187</f>
        <v>0</v>
      </c>
      <c r="M54" s="119">
        <f>+Actuals!J187</f>
        <v>0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-2141051.4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-2791251.81</v>
      </c>
      <c r="J55" s="118">
        <f>+Actuals!G188</f>
        <v>0</v>
      </c>
      <c r="K55" s="119">
        <f>+Actuals!H188</f>
        <v>650200.41</v>
      </c>
      <c r="L55" s="118">
        <f>+Actuals!I188</f>
        <v>0</v>
      </c>
      <c r="M55" s="119">
        <f>+Actuals!J188</f>
        <v>0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-78713620</v>
      </c>
      <c r="E56" s="39">
        <f t="shared" si="16"/>
        <v>-2649217.91</v>
      </c>
      <c r="F56" s="61">
        <f t="shared" si="16"/>
        <v>0</v>
      </c>
      <c r="G56" s="39">
        <f t="shared" si="16"/>
        <v>0</v>
      </c>
      <c r="H56" s="61">
        <f t="shared" si="16"/>
        <v>-76869037</v>
      </c>
      <c r="I56" s="39">
        <f t="shared" si="16"/>
        <v>-3356250.29</v>
      </c>
      <c r="J56" s="61">
        <f t="shared" ref="J56:AO56" si="17">SUM(J54:J55)</f>
        <v>-1844583</v>
      </c>
      <c r="K56" s="39">
        <f t="shared" si="17"/>
        <v>707032.38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5834127.9100000001</v>
      </c>
      <c r="F70" s="64">
        <f>'TIE-OUT'!F70+RECLASS!F70</f>
        <v>0</v>
      </c>
      <c r="G70" s="68">
        <f>'TIE-OUT'!G70+RECLASS!G70</f>
        <v>5834127.9100000001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-4506255</v>
      </c>
      <c r="F71" s="81">
        <f>'TIE-OUT'!F71+RECLASS!F71</f>
        <v>0</v>
      </c>
      <c r="G71" s="82">
        <f>'TIE-OUT'!G71+RECLASS!G71</f>
        <v>-4506255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1327872.9100000001</v>
      </c>
      <c r="F72" s="61">
        <f t="shared" si="22"/>
        <v>0</v>
      </c>
      <c r="G72" s="39">
        <f t="shared" si="22"/>
        <v>1327872.9100000001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-2688636.37</v>
      </c>
      <c r="F74" s="60">
        <f>'TIE-OUT'!F74+RECLASS!F74</f>
        <v>0</v>
      </c>
      <c r="G74" s="60">
        <f>'TIE-OUT'!G74+RECLASS!G74</f>
        <v>-2688636.37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76200</v>
      </c>
      <c r="F75" s="60">
        <f>'TIE-OUT'!F75+RECLASS!F75</f>
        <v>0</v>
      </c>
      <c r="G75" s="60">
        <f>'TIE-OUT'!G75+RECLASS!G75</f>
        <v>76200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-10031.790000000001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-4361.28</v>
      </c>
      <c r="J76" s="118">
        <f>+Actuals!G198</f>
        <v>0</v>
      </c>
      <c r="K76" s="119">
        <f>+Actuals!H198</f>
        <v>-5670.51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-67500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+Actuals!F203-67500</f>
        <v>-67500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1148924.81400003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137">
        <f>SUM(I72:I81)+I16+I24+I29+I36+I43+I45+I47+I49+I51+I56+I61+I66</f>
        <v>-1727702.0129999542</v>
      </c>
      <c r="J82" s="91">
        <f>J16+J24+J29+J36+J43+J45+J47+J49</f>
        <v>0</v>
      </c>
      <c r="K82" s="137">
        <f>SUM(K72:K81)+K16+K24+K29+K36+K43+K45+K47+K49+K51+K56+K61+K66</f>
        <v>9543703.8270000014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5736188</v>
      </c>
      <c r="E11" s="38">
        <f>SUM(G11,I11,K11,M11,O11,Q11,S11,U11,W11,Y11,AA11,AC11,AE11)</f>
        <v>15995973.51</v>
      </c>
      <c r="F11" s="60">
        <f>'TIE-OUT'!AD11+RECLASS!AD11</f>
        <v>0</v>
      </c>
      <c r="G11" s="38">
        <f>'TIE-OUT'!AE11+RECLASS!AE11</f>
        <v>0</v>
      </c>
      <c r="H11" s="118">
        <f>+Actuals!E404</f>
        <v>5736195</v>
      </c>
      <c r="I11" s="118">
        <f>+Actuals!F404</f>
        <v>19935115.699999999</v>
      </c>
      <c r="J11" s="118">
        <f>+Actuals!G404</f>
        <v>-7</v>
      </c>
      <c r="K11" s="118">
        <f>+Actuals!H404</f>
        <v>-3939142.19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-690292.81</v>
      </c>
      <c r="F12" s="60">
        <f>'TIE-OUT'!AD12+RECLASS!AD12</f>
        <v>0</v>
      </c>
      <c r="G12" s="38">
        <f>'TIE-OUT'!AE12+RECLASS!AE12</f>
        <v>-690292.81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304676</v>
      </c>
      <c r="E13" s="38">
        <f t="shared" si="0"/>
        <v>873663</v>
      </c>
      <c r="F13" s="60">
        <f>'TIE-OUT'!AD13+RECLASS!AD13</f>
        <v>0</v>
      </c>
      <c r="G13" s="38">
        <f>'TIE-OUT'!AE13+RECLASS!AE13</f>
        <v>0</v>
      </c>
      <c r="H13" s="118">
        <f>+Actuals!E406</f>
        <v>304676</v>
      </c>
      <c r="I13" s="118">
        <f>+Actuals!F406</f>
        <v>873663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6040864</v>
      </c>
      <c r="E16" s="39">
        <f t="shared" si="1"/>
        <v>16179343.699999999</v>
      </c>
      <c r="F16" s="61">
        <f t="shared" si="1"/>
        <v>0</v>
      </c>
      <c r="G16" s="39">
        <f t="shared" si="1"/>
        <v>-690292.81</v>
      </c>
      <c r="H16" s="61">
        <f t="shared" si="1"/>
        <v>6040871</v>
      </c>
      <c r="I16" s="61">
        <f t="shared" si="1"/>
        <v>20808778.699999999</v>
      </c>
      <c r="J16" s="61">
        <f t="shared" si="1"/>
        <v>-7</v>
      </c>
      <c r="K16" s="61">
        <f t="shared" si="1"/>
        <v>-3939142.19</v>
      </c>
      <c r="L16" s="61">
        <f t="shared" si="1"/>
        <v>0</v>
      </c>
      <c r="M16" s="61">
        <f t="shared" si="1"/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-900825</v>
      </c>
      <c r="E19" s="38">
        <f t="shared" si="2"/>
        <v>-2772444.27</v>
      </c>
      <c r="F19" s="64">
        <f>'TIE-OUT'!AD19+RECLASS!AD19</f>
        <v>0</v>
      </c>
      <c r="G19" s="68">
        <f>'TIE-OUT'!AE19+RECLASS!AE19</f>
        <v>0</v>
      </c>
      <c r="H19" s="118">
        <f>+Actuals!E409</f>
        <v>-900825</v>
      </c>
      <c r="I19" s="118">
        <f>+Actuals!F409</f>
        <v>-2577650.23</v>
      </c>
      <c r="J19" s="118">
        <f>+Actuals!G409</f>
        <v>0</v>
      </c>
      <c r="K19" s="118">
        <f>+Actuals!H409</f>
        <v>-194794.04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-66483.69</v>
      </c>
      <c r="F20" s="60">
        <f>'TIE-OUT'!AD20+RECLASS!AD20</f>
        <v>0</v>
      </c>
      <c r="G20" s="38">
        <f>'TIE-OUT'!AE20+RECLASS!AE20</f>
        <v>-66483.69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-2220571</v>
      </c>
      <c r="E21" s="38">
        <f t="shared" si="2"/>
        <v>-5918480</v>
      </c>
      <c r="F21" s="60">
        <f>'TIE-OUT'!AD21+RECLASS!AD21</f>
        <v>0</v>
      </c>
      <c r="G21" s="38">
        <f>'TIE-OUT'!AE21+RECLASS!AE21</f>
        <v>0</v>
      </c>
      <c r="H21" s="118">
        <f>+Actuals!E411</f>
        <v>-2193345</v>
      </c>
      <c r="I21" s="118">
        <f>+Actuals!F411</f>
        <v>-5837374</v>
      </c>
      <c r="J21" s="118">
        <f>+Actuals!G411</f>
        <v>-27226</v>
      </c>
      <c r="K21" s="118">
        <f>+Actuals!H411</f>
        <v>-81106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-3121396</v>
      </c>
      <c r="E24" s="39">
        <f t="shared" si="3"/>
        <v>-8757407.9600000009</v>
      </c>
      <c r="F24" s="61">
        <f t="shared" si="3"/>
        <v>0</v>
      </c>
      <c r="G24" s="39">
        <f t="shared" si="3"/>
        <v>-66483.69</v>
      </c>
      <c r="H24" s="61">
        <f t="shared" si="3"/>
        <v>-3094170</v>
      </c>
      <c r="I24" s="61">
        <f t="shared" si="3"/>
        <v>-8415024.2300000004</v>
      </c>
      <c r="J24" s="61">
        <f t="shared" si="3"/>
        <v>-27226</v>
      </c>
      <c r="K24" s="61">
        <f t="shared" si="3"/>
        <v>-275900.04000000004</v>
      </c>
      <c r="L24" s="61">
        <f t="shared" si="3"/>
        <v>0</v>
      </c>
      <c r="M24" s="61">
        <f t="shared" si="3"/>
        <v>0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-2919468</v>
      </c>
      <c r="E49" s="38">
        <f>SUM(G49,I49,K49,M49,O49,Q49,S49,U49,W49,Y49,AA49,AC49,AE49)</f>
        <v>-7430046.0599999996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-2946701</v>
      </c>
      <c r="I49" s="118">
        <f>+Actuals!F425</f>
        <v>-7499354.0449999999</v>
      </c>
      <c r="J49" s="118">
        <f>+Actuals!G425</f>
        <v>27233</v>
      </c>
      <c r="K49" s="118">
        <f>+Actuals!H425</f>
        <v>69307.985000000335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-344118.43</v>
      </c>
      <c r="F70" s="64">
        <f>'TIE-OUT'!AD70+RECLASS!AD70</f>
        <v>0</v>
      </c>
      <c r="G70" s="68">
        <f>'TIE-OUT'!AE70+RECLASS!AE70</f>
        <v>-344118.43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259749.42</v>
      </c>
      <c r="F71" s="81">
        <f>'TIE-OUT'!AD71+RECLASS!AD71</f>
        <v>0</v>
      </c>
      <c r="G71" s="82">
        <f>'TIE-OUT'!AE71+RECLASS!AE71</f>
        <v>259749.42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-84369.00999999998</v>
      </c>
      <c r="F72" s="61">
        <f t="shared" si="13"/>
        <v>0</v>
      </c>
      <c r="G72" s="39">
        <f t="shared" si="13"/>
        <v>-84369.00999999998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-550</v>
      </c>
      <c r="F74" s="60">
        <f>'TIE-OUT'!AD74+RECLASS!AD74</f>
        <v>0</v>
      </c>
      <c r="G74" s="60">
        <f>'TIE-OUT'!AE74+RECLASS!AE74</f>
        <v>-550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-153274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-246303.33000000101</v>
      </c>
      <c r="F82" s="91">
        <f>F16+F24+F29+F36+F43+F45+F47+F49</f>
        <v>0</v>
      </c>
      <c r="G82" s="92">
        <f>SUM(G72:G81)+G16+G24+G29+G36+G43+G45+G47+G49+G51+G56+G61+G66</f>
        <v>-841695.51</v>
      </c>
      <c r="H82" s="91">
        <f>H16+H24+H29+H36+H43+H45+H47+H49</f>
        <v>0</v>
      </c>
      <c r="I82" s="91">
        <f>I16+I24+I29+I36+I43+I45+I47+I49</f>
        <v>4894400.4249999989</v>
      </c>
      <c r="J82" s="91">
        <f>J16+J24+J29+J36+J43+J45+J47+J49</f>
        <v>0</v>
      </c>
      <c r="K82" s="137">
        <f>K16+K24+K29+K36+K43+K45+K47+K49</f>
        <v>-4145734.2450000001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A52" zoomScale="75" workbookViewId="0">
      <selection activeCell="A70" sqref="A7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2" width="15.44140625" hidden="1" customWidth="1"/>
    <col min="43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15592377</v>
      </c>
      <c r="E11" s="38">
        <f>SUM(G11,I11,K11,M11,O11,Q11,S11,U11,W11,Y11,AA11,AC11,AE11)</f>
        <v>41484047.440000005</v>
      </c>
      <c r="F11" s="60">
        <f>'TIE-OUT'!H11+RECLASS!H11</f>
        <v>0</v>
      </c>
      <c r="G11" s="38">
        <f>'TIE-OUT'!I11+RECLASS!I11</f>
        <v>0</v>
      </c>
      <c r="H11" s="118">
        <f>+Actuals!E324</f>
        <v>15578321</v>
      </c>
      <c r="I11" s="119">
        <f>+Actuals!F324</f>
        <v>41308896.420000002</v>
      </c>
      <c r="J11" s="118">
        <f>+Actuals!G324</f>
        <v>14056</v>
      </c>
      <c r="K11" s="119">
        <f>+Actuals!H324</f>
        <v>175151.02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715209.96</v>
      </c>
      <c r="F12" s="60">
        <f>'TIE-OUT'!H12+RECLASS!H12</f>
        <v>0</v>
      </c>
      <c r="G12" s="38">
        <f>'TIE-OUT'!I12+RECLASS!I12</f>
        <v>715209.96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691622</v>
      </c>
      <c r="E13" s="38">
        <f t="shared" si="0"/>
        <v>1971907</v>
      </c>
      <c r="F13" s="60">
        <f>'TIE-OUT'!H13+RECLASS!H13</f>
        <v>0</v>
      </c>
      <c r="G13" s="38">
        <f>'TIE-OUT'!I13+RECLASS!I13</f>
        <v>0</v>
      </c>
      <c r="H13" s="118">
        <f>+Actuals!E326</f>
        <v>625768</v>
      </c>
      <c r="I13" s="119">
        <f>+Actuals!F326</f>
        <v>1777308</v>
      </c>
      <c r="J13" s="118">
        <f>+Actuals!G326</f>
        <v>65854</v>
      </c>
      <c r="K13" s="119">
        <f>+Actuals!H326</f>
        <v>194599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3058223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3000223</v>
      </c>
      <c r="J15" s="118">
        <f>+Actuals!G328</f>
        <v>0</v>
      </c>
      <c r="K15" s="119">
        <f>+Actuals!H328</f>
        <v>58000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16283999</v>
      </c>
      <c r="E16" s="39">
        <f t="shared" si="1"/>
        <v>47229387.400000006</v>
      </c>
      <c r="F16" s="61">
        <f t="shared" si="1"/>
        <v>0</v>
      </c>
      <c r="G16" s="39">
        <f t="shared" si="1"/>
        <v>715209.96</v>
      </c>
      <c r="H16" s="61">
        <f t="shared" si="1"/>
        <v>16204089</v>
      </c>
      <c r="I16" s="39">
        <f t="shared" si="1"/>
        <v>46086427.420000002</v>
      </c>
      <c r="J16" s="61">
        <f t="shared" ref="J16:AO16" si="2">SUM(J11:J15)</f>
        <v>79910</v>
      </c>
      <c r="K16" s="39">
        <f t="shared" si="2"/>
        <v>427750.02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-9905988</v>
      </c>
      <c r="E19" s="38">
        <f t="shared" si="3"/>
        <v>-25985875.800000001</v>
      </c>
      <c r="F19" s="64">
        <f>'TIE-OUT'!H19+RECLASS!H19</f>
        <v>0</v>
      </c>
      <c r="G19" s="68">
        <f>'TIE-OUT'!I19+RECLASS!I19</f>
        <v>0</v>
      </c>
      <c r="H19" s="118">
        <f>+Actuals!E329</f>
        <v>-9905968</v>
      </c>
      <c r="I19" s="119">
        <f>+Actuals!F329</f>
        <v>-25985875.810000002</v>
      </c>
      <c r="J19" s="118">
        <f>+Actuals!G329</f>
        <v>-20</v>
      </c>
      <c r="K19" s="119">
        <f>+Actuals!H329</f>
        <v>0.01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-335726</v>
      </c>
      <c r="F20" s="60">
        <f>'TIE-OUT'!H20+RECLASS!H20</f>
        <v>0</v>
      </c>
      <c r="G20" s="38">
        <f>'TIE-OUT'!I20+RECLASS!I20</f>
        <v>-335726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-55556</v>
      </c>
      <c r="E21" s="38">
        <f t="shared" si="3"/>
        <v>-155961</v>
      </c>
      <c r="F21" s="60">
        <f>'TIE-OUT'!H21+RECLASS!H21</f>
        <v>0</v>
      </c>
      <c r="G21" s="38">
        <f>'TIE-OUT'!I21+RECLASS!I21</f>
        <v>0</v>
      </c>
      <c r="H21" s="118">
        <f>+Actuals!E331</f>
        <v>-55556</v>
      </c>
      <c r="I21" s="119">
        <f>+Actuals!F331</f>
        <v>-155961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-9961544</v>
      </c>
      <c r="E24" s="39">
        <f t="shared" si="4"/>
        <v>-26477562.800000001</v>
      </c>
      <c r="F24" s="61">
        <f t="shared" si="4"/>
        <v>0</v>
      </c>
      <c r="G24" s="39">
        <f t="shared" si="4"/>
        <v>-335726</v>
      </c>
      <c r="H24" s="61">
        <f t="shared" si="4"/>
        <v>-9961524</v>
      </c>
      <c r="I24" s="39">
        <f t="shared" si="4"/>
        <v>-26141836.810000002</v>
      </c>
      <c r="J24" s="61">
        <f t="shared" ref="J24:AO24" si="5">SUM(J19:J23)</f>
        <v>-20</v>
      </c>
      <c r="K24" s="39">
        <f t="shared" si="5"/>
        <v>0.01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-6322455</v>
      </c>
      <c r="E49" s="38">
        <f>SUM(G49,I49,K49,M49,O49,Q49,S49,U49,W49,Y49,AA49,AC49,AE49)</f>
        <v>-16485801.4125</v>
      </c>
      <c r="F49" s="60">
        <f>'TIE-OUT'!H49+RECLASS!H49</f>
        <v>0</v>
      </c>
      <c r="G49" s="38">
        <f>'TIE-OUT'!I49+RECLASS!I49</f>
        <v>0</v>
      </c>
      <c r="H49" s="118">
        <f>+Actuals!E345</f>
        <v>-6242565</v>
      </c>
      <c r="I49" s="119">
        <f>+Actuals!F345</f>
        <v>-16277488.237500001</v>
      </c>
      <c r="J49" s="118">
        <f>+Actuals!G345</f>
        <v>-79890</v>
      </c>
      <c r="K49" s="119">
        <f>+Actuals!H345</f>
        <v>-208313.17499999888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-7488944</v>
      </c>
      <c r="E54" s="38">
        <f>SUM(G54,I54,K54,M54,O54,Q54,S54,U54,W54,Y54,AA54,AC54,AE54)</f>
        <v>-129077.93000000001</v>
      </c>
      <c r="F54" s="64">
        <f>'TIE-OUT'!H54+RECLASS!H54</f>
        <v>0</v>
      </c>
      <c r="G54" s="68">
        <f>'TIE-OUT'!I54+RECLASS!I54</f>
        <v>0</v>
      </c>
      <c r="H54" s="118">
        <f>+Actuals!E347</f>
        <v>-7488946</v>
      </c>
      <c r="I54" s="119">
        <f>+Actuals!F347</f>
        <v>-129077.94</v>
      </c>
      <c r="J54" s="118">
        <f>+Actuals!G347</f>
        <v>2</v>
      </c>
      <c r="K54" s="119">
        <f>+Actuals!H347</f>
        <v>0.01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-3576676.54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-3029587.8</v>
      </c>
      <c r="J55" s="118">
        <f>+Actuals!G348</f>
        <v>0</v>
      </c>
      <c r="K55" s="119">
        <f>+Actuals!H348</f>
        <v>-547088.74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-7488944</v>
      </c>
      <c r="E56" s="39">
        <f t="shared" si="16"/>
        <v>-3705754.47</v>
      </c>
      <c r="F56" s="61">
        <f t="shared" si="16"/>
        <v>0</v>
      </c>
      <c r="G56" s="39">
        <f t="shared" si="16"/>
        <v>0</v>
      </c>
      <c r="H56" s="61">
        <f t="shared" si="16"/>
        <v>-7488946</v>
      </c>
      <c r="I56" s="39">
        <f t="shared" si="16"/>
        <v>-3158665.7399999998</v>
      </c>
      <c r="J56" s="61">
        <f t="shared" ref="J56:AO56" si="17">SUM(J54:J55)</f>
        <v>2</v>
      </c>
      <c r="K56" s="39">
        <f t="shared" si="17"/>
        <v>-547088.73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9155983</v>
      </c>
      <c r="F70" s="64">
        <f>'TIE-OUT'!H70+RECLASS!H70</f>
        <v>0</v>
      </c>
      <c r="G70" s="68">
        <f>'TIE-OUT'!I70+RECLASS!I70</f>
        <v>-1948054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11104037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-8513318.9399999995</v>
      </c>
      <c r="F71" s="81">
        <f>'TIE-OUT'!H71+RECLASS!H71</f>
        <v>0</v>
      </c>
      <c r="G71" s="82">
        <f>'TIE-OUT'!I71+RECLASS!I71</f>
        <v>-8513318.9399999995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642664.06000000052</v>
      </c>
      <c r="F72" s="61">
        <f t="shared" si="22"/>
        <v>0</v>
      </c>
      <c r="G72" s="39">
        <f t="shared" si="22"/>
        <v>-10461372.939999999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11104037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185518.68</v>
      </c>
      <c r="F74" s="60">
        <f>'TIE-OUT'!H74+RECLASS!H74</f>
        <v>0</v>
      </c>
      <c r="G74" s="60">
        <f>'TIE-OUT'!I74+RECLASS!I74</f>
        <v>185518.68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1388451.4575000075</v>
      </c>
      <c r="F82" s="91">
        <f>F16+F24+F29+F36+F43+F45+F47+F49</f>
        <v>0</v>
      </c>
      <c r="G82" s="92">
        <f>SUM(G72:G81)+G16+G24+G29+G36+G43+G45+G47+G49+G51+G56+G61+G66</f>
        <v>-9896370.3000000007</v>
      </c>
      <c r="H82" s="91">
        <f>H16+H24+H29+H36+H43+H45+H47+H49</f>
        <v>0</v>
      </c>
      <c r="I82" s="137">
        <f>SUM(I72:I81)+I16+I24+I29+I36+I43+I45+I47+I49+I51+I56+I61+I66</f>
        <v>508436.6324999989</v>
      </c>
      <c r="J82" s="91">
        <f>J16+J24+J29+J36+J43+J45+J47+J49</f>
        <v>0</v>
      </c>
      <c r="K82" s="137">
        <f>SUM(K72:K81)+K16+K24+K29+K36+K43+K45+K47+K49+K51+K56+K61+K66</f>
        <v>10776385.125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I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3" width="10.554687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200010649</v>
      </c>
      <c r="E11" s="38">
        <f>SUM(G11,I11,K11,M11,O11,Q11,S11,U11,W11,Y11,AA11,AC11,AE11)</f>
        <v>544325654.31999993</v>
      </c>
      <c r="F11" s="60">
        <f>'TIE-OUT'!J11+RECLASS!H11</f>
        <v>0</v>
      </c>
      <c r="G11" s="38">
        <f>'TIE-OUT'!K11+RECLASS!I11</f>
        <v>0</v>
      </c>
      <c r="H11" s="118">
        <f>+Actuals!E244</f>
        <v>197305664</v>
      </c>
      <c r="I11" s="119">
        <f>+Actuals!F244</f>
        <v>536010571.90999997</v>
      </c>
      <c r="J11" s="118">
        <f>+Actuals!G244</f>
        <v>2704985</v>
      </c>
      <c r="K11" s="119">
        <f>+Actuals!H244</f>
        <v>8315082.4099999992</v>
      </c>
      <c r="L11" s="118">
        <f>+Actuals!I244</f>
        <v>0</v>
      </c>
      <c r="M11" s="119">
        <f>+Actuals!J244</f>
        <v>0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3306029.27</v>
      </c>
      <c r="F12" s="60">
        <f>'TIE-OUT'!J12+RECLASS!H12</f>
        <v>0</v>
      </c>
      <c r="G12" s="38">
        <f>'TIE-OUT'!K12+RECLASS!I12</f>
        <v>3306029.27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'TIE-OUT'!J13+RECLASS!H13</f>
        <v>0</v>
      </c>
      <c r="G13" s="38">
        <f>'TIE-OUT'!K13+RECLASS!I13</f>
        <v>0</v>
      </c>
      <c r="H13" s="118">
        <f>+Actuals!E246</f>
        <v>14505729</v>
      </c>
      <c r="I13" s="119">
        <f>+Actuals!F246</f>
        <v>39605175</v>
      </c>
      <c r="J13" s="118">
        <f>+Actuals!G246</f>
        <v>44423</v>
      </c>
      <c r="K13" s="119">
        <f>+Actuals!H246</f>
        <v>134252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3704959.57</v>
      </c>
      <c r="J15" s="118">
        <f>+Actuals!G248</f>
        <v>0</v>
      </c>
      <c r="K15" s="119">
        <f>+Actuals!H248</f>
        <v>291832.76</v>
      </c>
      <c r="L15" s="118">
        <f>+Actuals!I248</f>
        <v>0</v>
      </c>
      <c r="M15" s="119">
        <f>+Actuals!J248</f>
        <v>0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214560801</v>
      </c>
      <c r="E16" s="39">
        <f t="shared" si="1"/>
        <v>591367902.91999996</v>
      </c>
      <c r="F16" s="61">
        <f t="shared" si="1"/>
        <v>0</v>
      </c>
      <c r="G16" s="39">
        <f t="shared" si="1"/>
        <v>3306029.27</v>
      </c>
      <c r="H16" s="61">
        <f t="shared" si="1"/>
        <v>211811393</v>
      </c>
      <c r="I16" s="39">
        <f t="shared" si="1"/>
        <v>579320706.48000002</v>
      </c>
      <c r="J16" s="61">
        <f t="shared" ref="J16:AO16" si="2">SUM(J11:J15)</f>
        <v>2749408</v>
      </c>
      <c r="K16" s="39">
        <f t="shared" si="2"/>
        <v>8741167.1699999999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-199561466</v>
      </c>
      <c r="E19" s="38">
        <f t="shared" si="3"/>
        <v>-532477646.12</v>
      </c>
      <c r="F19" s="64">
        <f>'TIE-OUT'!J19+RECLASS!H19</f>
        <v>0</v>
      </c>
      <c r="G19" s="68">
        <f>'TIE-OUT'!K19+RECLASS!I19</f>
        <v>0</v>
      </c>
      <c r="H19" s="118">
        <f>+Actuals!E249</f>
        <v>-197512953</v>
      </c>
      <c r="I19" s="119">
        <f>+Actuals!F249</f>
        <v>-529355597.60000002</v>
      </c>
      <c r="J19" s="118">
        <f>+Actuals!G249</f>
        <v>-2048513</v>
      </c>
      <c r="K19" s="119">
        <f>+Actuals!H249</f>
        <v>-3122048.52</v>
      </c>
      <c r="L19" s="118">
        <f>+Actuals!I249</f>
        <v>0</v>
      </c>
      <c r="M19" s="119">
        <f>+Actuals!J249</f>
        <v>0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-5577675.8399999999</v>
      </c>
      <c r="F20" s="60">
        <f>'TIE-OUT'!J20+RECLASS!H20</f>
        <v>0</v>
      </c>
      <c r="G20" s="38">
        <f>'TIE-OUT'!K20+RECLASS!I20</f>
        <v>-5577675.8399999999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-14312104</v>
      </c>
      <c r="E21" s="38">
        <f t="shared" si="3"/>
        <v>-41309129</v>
      </c>
      <c r="F21" s="60">
        <f>'TIE-OUT'!J21+RECLASS!H21</f>
        <v>0</v>
      </c>
      <c r="G21" s="38">
        <f>'TIE-OUT'!K21+RECLASS!I21</f>
        <v>0</v>
      </c>
      <c r="H21" s="118">
        <f>+Actuals!E251</f>
        <v>-14226249</v>
      </c>
      <c r="I21" s="119">
        <f>+Actuals!F251</f>
        <v>-41084728</v>
      </c>
      <c r="J21" s="118">
        <f>+Actuals!G251</f>
        <v>-85855</v>
      </c>
      <c r="K21" s="119">
        <f>+Actuals!H251</f>
        <v>-224401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1368078</v>
      </c>
      <c r="E23" s="38">
        <f t="shared" si="3"/>
        <v>3596677.0620000004</v>
      </c>
      <c r="F23" s="81">
        <f>'TIE-OUT'!J23+RECLASS!H23</f>
        <v>0</v>
      </c>
      <c r="G23" s="82">
        <f>'TIE-OUT'!K23+RECLASS!I23</f>
        <v>0</v>
      </c>
      <c r="H23" s="118">
        <f>+Actuals!E253</f>
        <v>1361359</v>
      </c>
      <c r="I23" s="119">
        <f>+Actuals!F253</f>
        <v>3579012.8110000002</v>
      </c>
      <c r="J23" s="118">
        <f>+Actuals!G253</f>
        <v>6719</v>
      </c>
      <c r="K23" s="119">
        <f>+Actuals!H253</f>
        <v>17664.251</v>
      </c>
      <c r="L23" s="118">
        <f>+Actuals!I253</f>
        <v>0</v>
      </c>
      <c r="M23" s="119">
        <f>+Actuals!J253</f>
        <v>0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-212505492</v>
      </c>
      <c r="E24" s="39">
        <f t="shared" si="4"/>
        <v>-575767773.898</v>
      </c>
      <c r="F24" s="61">
        <f t="shared" si="4"/>
        <v>0</v>
      </c>
      <c r="G24" s="39">
        <f t="shared" si="4"/>
        <v>-5577675.8399999999</v>
      </c>
      <c r="H24" s="61">
        <f t="shared" si="4"/>
        <v>-210377843</v>
      </c>
      <c r="I24" s="39">
        <f t="shared" si="4"/>
        <v>-566861312.78900003</v>
      </c>
      <c r="J24" s="61">
        <f t="shared" ref="J24:AO24" si="5">SUM(J19:J23)</f>
        <v>-2127649</v>
      </c>
      <c r="K24" s="39">
        <f t="shared" si="5"/>
        <v>-3328785.2689999999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781501</v>
      </c>
      <c r="E27" s="38">
        <f>SUM(G27,I27,K27,M27,O27,Q27,S27,U27,W27,Y27,AA27,AC27,AE27)</f>
        <v>2125712.02</v>
      </c>
      <c r="F27" s="64">
        <f>'TIE-OUT'!J27+RECLASS!H27</f>
        <v>0</v>
      </c>
      <c r="G27" s="68">
        <f>'TIE-OUT'!K27+RECLASS!I27</f>
        <v>0</v>
      </c>
      <c r="H27" s="118">
        <f>+Actuals!E254</f>
        <v>778143</v>
      </c>
      <c r="I27" s="119">
        <f>+Actuals!F254</f>
        <v>2116022</v>
      </c>
      <c r="J27" s="118">
        <f>+Actuals!G254</f>
        <v>3358</v>
      </c>
      <c r="K27" s="119">
        <f>+Actuals!H254</f>
        <v>9690.02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-491982</v>
      </c>
      <c r="E28" s="38">
        <f>SUM(G28,I28,K28,M28,O28,Q28,S28,U28,W28,Y28,AA28,AC28,AE28)</f>
        <v>-1308762.77</v>
      </c>
      <c r="F28" s="81">
        <f>'TIE-OUT'!J28+RECLASS!H28</f>
        <v>0</v>
      </c>
      <c r="G28" s="82">
        <f>'TIE-OUT'!K28+RECLASS!I28</f>
        <v>0</v>
      </c>
      <c r="H28" s="118">
        <f>+Actuals!E255</f>
        <v>-493423</v>
      </c>
      <c r="I28" s="119">
        <f>+Actuals!F255</f>
        <v>-1312703.19</v>
      </c>
      <c r="J28" s="118">
        <f>+Actuals!G255</f>
        <v>1441</v>
      </c>
      <c r="K28" s="119">
        <f>+Actuals!H255</f>
        <v>3940.42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289519</v>
      </c>
      <c r="E29" s="39">
        <f t="shared" si="6"/>
        <v>816949.25</v>
      </c>
      <c r="F29" s="61">
        <f t="shared" si="6"/>
        <v>0</v>
      </c>
      <c r="G29" s="39">
        <f t="shared" si="6"/>
        <v>0</v>
      </c>
      <c r="H29" s="61">
        <f t="shared" si="6"/>
        <v>284720</v>
      </c>
      <c r="I29" s="39">
        <f t="shared" si="6"/>
        <v>803318.81</v>
      </c>
      <c r="J29" s="61">
        <f t="shared" ref="J29:AO29" si="7">SUM(J27:J28)</f>
        <v>4799</v>
      </c>
      <c r="K29" s="39">
        <f t="shared" si="7"/>
        <v>13630.44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-486645</v>
      </c>
      <c r="E32" s="38">
        <f t="shared" si="8"/>
        <v>-1279389.7049999998</v>
      </c>
      <c r="F32" s="64">
        <f>'TIE-OUT'!J32+RECLASS!H32</f>
        <v>0</v>
      </c>
      <c r="G32" s="68">
        <f>'TIE-OUT'!K32+RECLASS!I32</f>
        <v>0</v>
      </c>
      <c r="H32" s="118">
        <f>+Actuals!E256</f>
        <v>84069</v>
      </c>
      <c r="I32" s="119">
        <f>+Actuals!F256</f>
        <v>221017.40100000001</v>
      </c>
      <c r="J32" s="118">
        <f>+Actuals!G256</f>
        <v>-570714</v>
      </c>
      <c r="K32" s="119">
        <f>+Actuals!H256</f>
        <v>-1500407.1059999999</v>
      </c>
      <c r="L32" s="118">
        <f>+Actuals!I256</f>
        <v>0</v>
      </c>
      <c r="M32" s="119">
        <f>+Actuals!J256</f>
        <v>0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-397497</v>
      </c>
      <c r="E33" s="38">
        <f t="shared" si="8"/>
        <v>-1085638.6100000001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-397497</v>
      </c>
      <c r="K33" s="119">
        <f>+Actuals!H257</f>
        <v>-1085638.6100000001</v>
      </c>
      <c r="L33" s="118">
        <f>+Actuals!I257</f>
        <v>0</v>
      </c>
      <c r="M33" s="119">
        <f>+Actuals!J257</f>
        <v>0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162357</v>
      </c>
      <c r="E34" s="38">
        <f t="shared" si="8"/>
        <v>401370.06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162357</v>
      </c>
      <c r="K34" s="119">
        <f>+Actuals!H258</f>
        <v>401370.06</v>
      </c>
      <c r="L34" s="118">
        <f>+Actuals!I258</f>
        <v>0</v>
      </c>
      <c r="M34" s="119">
        <f>+Actuals!J258</f>
        <v>0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-721785</v>
      </c>
      <c r="E36" s="39">
        <f t="shared" si="9"/>
        <v>-1963658.2549999999</v>
      </c>
      <c r="F36" s="61">
        <f t="shared" si="9"/>
        <v>0</v>
      </c>
      <c r="G36" s="39">
        <f t="shared" si="9"/>
        <v>0</v>
      </c>
      <c r="H36" s="61">
        <f t="shared" si="9"/>
        <v>84069</v>
      </c>
      <c r="I36" s="39">
        <f t="shared" si="9"/>
        <v>221017.40100000001</v>
      </c>
      <c r="J36" s="61">
        <f t="shared" ref="J36:AO36" si="10">SUM(J32:J35)</f>
        <v>-805854</v>
      </c>
      <c r="K36" s="39">
        <f t="shared" si="10"/>
        <v>-2184675.656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39</v>
      </c>
      <c r="E39" s="38">
        <f t="shared" si="11"/>
        <v>102.52999999999884</v>
      </c>
      <c r="F39" s="64">
        <f>'TIE-OUT'!J39+RECLASS!H39</f>
        <v>0</v>
      </c>
      <c r="G39" s="68">
        <f>'TIE-OUT'!K39+RECLASS!I39</f>
        <v>0</v>
      </c>
      <c r="H39" s="118">
        <f>+Actuals!E260</f>
        <v>86490</v>
      </c>
      <c r="I39" s="119">
        <f>+Actuals!F260</f>
        <v>227382.21</v>
      </c>
      <c r="J39" s="118">
        <f>+Actuals!G260</f>
        <v>-86451</v>
      </c>
      <c r="K39" s="119">
        <f>+Actuals!H260</f>
        <v>-227279.68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-1643354</v>
      </c>
      <c r="E40" s="38">
        <f t="shared" si="11"/>
        <v>-3130997.37</v>
      </c>
      <c r="F40" s="60">
        <f>'TIE-OUT'!J40+RECLASS!H40</f>
        <v>0</v>
      </c>
      <c r="G40" s="38">
        <f>'TIE-OUT'!K40+RECLASS!I40</f>
        <v>0</v>
      </c>
      <c r="H40" s="118">
        <f>+Actuals!E261</f>
        <v>-1466369</v>
      </c>
      <c r="I40" s="119">
        <f>+Actuals!F261</f>
        <v>-2695450.25</v>
      </c>
      <c r="J40" s="118">
        <f>+Actuals!G261</f>
        <v>-176985</v>
      </c>
      <c r="K40" s="119">
        <f>+Actuals!H261</f>
        <v>-435547.12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-1643354</v>
      </c>
      <c r="E42" s="39">
        <f t="shared" si="12"/>
        <v>-3130997.37</v>
      </c>
      <c r="F42" s="61">
        <f t="shared" si="12"/>
        <v>0</v>
      </c>
      <c r="G42" s="39">
        <f t="shared" si="12"/>
        <v>0</v>
      </c>
      <c r="H42" s="61">
        <f t="shared" si="12"/>
        <v>-1466369</v>
      </c>
      <c r="I42" s="39">
        <f t="shared" si="12"/>
        <v>-2695450.25</v>
      </c>
      <c r="J42" s="61">
        <f t="shared" ref="J42:AO42" si="13">SUM(J40:J41)</f>
        <v>-176985</v>
      </c>
      <c r="K42" s="39">
        <f t="shared" si="13"/>
        <v>-435547.12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-1643315</v>
      </c>
      <c r="E43" s="39">
        <f t="shared" si="14"/>
        <v>-3130894.8400000003</v>
      </c>
      <c r="F43" s="61">
        <f t="shared" si="14"/>
        <v>0</v>
      </c>
      <c r="G43" s="39">
        <f t="shared" si="14"/>
        <v>0</v>
      </c>
      <c r="H43" s="61">
        <f t="shared" si="14"/>
        <v>-1379879</v>
      </c>
      <c r="I43" s="39">
        <f t="shared" si="14"/>
        <v>-2468068.04</v>
      </c>
      <c r="J43" s="61">
        <f t="shared" ref="J43:AO43" si="15">J42+J39</f>
        <v>-263436</v>
      </c>
      <c r="K43" s="39">
        <f t="shared" si="15"/>
        <v>-662826.80000000005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'TIE-OUT'!J49+RECLASS!H49</f>
        <v>0</v>
      </c>
      <c r="G49" s="38">
        <f>'TIE-OUT'!K49+RECLASS!I49</f>
        <v>0</v>
      </c>
      <c r="H49" s="118">
        <f>+Actuals!E265</f>
        <v>-422460</v>
      </c>
      <c r="I49" s="119">
        <f>+Actuals!F265</f>
        <v>-1110647.3400000001</v>
      </c>
      <c r="J49" s="118">
        <f>+Actuals!G265</f>
        <v>442732</v>
      </c>
      <c r="K49" s="119">
        <f>+Actuals!H265</f>
        <v>1163942.4280000001</v>
      </c>
      <c r="L49" s="118">
        <f>+Actuals!I265</f>
        <v>0</v>
      </c>
      <c r="M49" s="119">
        <f>+Actuals!J265</f>
        <v>0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'TIE-OUT'!J51+RECLASS!H51</f>
        <v>0</v>
      </c>
      <c r="G51" s="38">
        <f>'TIE-OUT'!K51+RECLASS!I51</f>
        <v>0</v>
      </c>
      <c r="H51" s="118">
        <f>+Actuals!E266</f>
        <v>-1361359</v>
      </c>
      <c r="I51" s="119">
        <f>+Actuals!F266</f>
        <v>-3579012.8110000002</v>
      </c>
      <c r="J51" s="118">
        <f>+Actuals!G266</f>
        <v>-6719</v>
      </c>
      <c r="K51" s="119">
        <f>+Actuals!H266</f>
        <v>-17664.251</v>
      </c>
      <c r="L51" s="118">
        <f>+Actuals!I266</f>
        <v>0</v>
      </c>
      <c r="M51" s="119">
        <f>+Actuals!J266</f>
        <v>0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'TIE-OUT'!J54+RECLASS!H54</f>
        <v>0</v>
      </c>
      <c r="G54" s="68">
        <f>'TIE-OUT'!K54+RECLASS!I54</f>
        <v>0</v>
      </c>
      <c r="H54" s="118">
        <f>+Actuals!E267</f>
        <v>-156628547</v>
      </c>
      <c r="I54" s="119">
        <f>+Actuals!F267</f>
        <v>-2152001.3199999998</v>
      </c>
      <c r="J54" s="118">
        <f>+Actuals!G267</f>
        <v>21908879</v>
      </c>
      <c r="K54" s="119">
        <f>+Actuals!H267</f>
        <v>-158391.46</v>
      </c>
      <c r="L54" s="118">
        <f>+Actuals!I267</f>
        <v>0</v>
      </c>
      <c r="M54" s="119">
        <f>+Actuals!J267</f>
        <v>0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-7995911.4199999999</v>
      </c>
      <c r="J55" s="118">
        <f>+Actuals!G268</f>
        <v>0</v>
      </c>
      <c r="K55" s="119">
        <f>+Actuals!H268</f>
        <v>-66720.37</v>
      </c>
      <c r="L55" s="118">
        <f>+Actuals!I268</f>
        <v>0</v>
      </c>
      <c r="M55" s="119">
        <f>+Actuals!J268</f>
        <v>0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-134719668</v>
      </c>
      <c r="E56" s="39">
        <f t="shared" si="16"/>
        <v>-10373024.57</v>
      </c>
      <c r="F56" s="61">
        <f t="shared" si="16"/>
        <v>0</v>
      </c>
      <c r="G56" s="39">
        <f t="shared" si="16"/>
        <v>0</v>
      </c>
      <c r="H56" s="61">
        <f t="shared" si="16"/>
        <v>-156628547</v>
      </c>
      <c r="I56" s="39">
        <f t="shared" si="16"/>
        <v>-10147912.74</v>
      </c>
      <c r="J56" s="61">
        <f t="shared" ref="J56:AO56" si="17">SUM(J54:J55)</f>
        <v>21908879</v>
      </c>
      <c r="K56" s="39">
        <f t="shared" si="17"/>
        <v>-225111.83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86158.06</v>
      </c>
      <c r="J59" s="118">
        <f>+Actuals!G269</f>
        <v>0</v>
      </c>
      <c r="K59" s="119">
        <f>+Actuals!H269</f>
        <v>-21516.69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64641.369999999995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86158.06</v>
      </c>
      <c r="J61" s="61">
        <f t="shared" ref="J61:AO61" si="19">SUM(J59:J60)</f>
        <v>0</v>
      </c>
      <c r="K61" s="39">
        <f t="shared" si="19"/>
        <v>-21516.69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'TIE-OUT'!J70+RECLASS!H70</f>
        <v>0</v>
      </c>
      <c r="G70" s="68">
        <f>'TIE-OUT'!K70+RECLASS!I70</f>
        <v>1165617.6100000001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'TIE-OUT'!J71+RECLASS!H71</f>
        <v>0</v>
      </c>
      <c r="G71" s="82">
        <f>'TIE-OUT'!K71+RECLASS!I71</f>
        <v>-563222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602395.6100000001</v>
      </c>
      <c r="F72" s="61">
        <f t="shared" si="22"/>
        <v>0</v>
      </c>
      <c r="G72" s="39">
        <f t="shared" si="22"/>
        <v>602395.6100000001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-1187463.9100000001</v>
      </c>
      <c r="F74" s="60">
        <f>'TIE-OUT'!J74+RECLASS!H74</f>
        <v>0</v>
      </c>
      <c r="G74" s="60">
        <f>'TIE-OUT'!K74+RECLASS!I74</f>
        <v>-1122366.8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-65097.11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-34400</v>
      </c>
      <c r="F75" s="60">
        <f>'TIE-OUT'!J75+RECLASS!H75</f>
        <v>0</v>
      </c>
      <c r="G75" s="60">
        <f>'TIE-OUT'!K75+RECLASS!I75</f>
        <v>-34400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76730.420000000013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-8316.2099999999991</v>
      </c>
      <c r="J76" s="118">
        <f>+Actuals!G278</f>
        <v>0</v>
      </c>
      <c r="K76" s="119">
        <f>+Actuals!H278</f>
        <v>85046.63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-105000</v>
      </c>
      <c r="F77" s="60">
        <f>'TIE-OUT'!J77+RECLASS!H77</f>
        <v>0</v>
      </c>
      <c r="G77" s="60">
        <f>'TIE-OUT'!K77+RECLASS!I77</f>
        <v>-105000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-202500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+Actuals!F282-202500</f>
        <v>-202500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451805.31999999995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228262.05</v>
      </c>
      <c r="J81" s="118">
        <f>+Actuals!G283</f>
        <v>0</v>
      </c>
      <c r="K81" s="119">
        <f>+Actuals!H283</f>
        <v>223543.27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-2927672.5569999879</v>
      </c>
      <c r="F82" s="91">
        <f>F16+F24+F29+F36+F43+F45+F47+F49</f>
        <v>0</v>
      </c>
      <c r="G82" s="92">
        <f>SUM(G72:G81)+G16+G24+G29+G36+G43+G45+G47+G49+G51+G56+G61+G66</f>
        <v>-2931017.76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137">
        <f>SUM(K72:K81)+K16+K24+K29+K36+K43+K45+K47+K49+K51+K56+K61+K66</f>
        <v>3721652.3319999999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65999.69</v>
      </c>
      <c r="F86" s="145">
        <f>'TIE-OUT'!J86+RECLASS!H86</f>
        <v>0</v>
      </c>
      <c r="G86" s="145">
        <f>'TIE-OUT'!K86+RECLASS!I86</f>
        <v>330612.69</v>
      </c>
      <c r="H86" s="145">
        <v>0</v>
      </c>
      <c r="I86" s="145">
        <v>0</v>
      </c>
      <c r="J86" s="145">
        <v>0</v>
      </c>
      <c r="K86" s="145">
        <v>-264613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65999.69</v>
      </c>
      <c r="F89" s="160">
        <f t="shared" si="26"/>
        <v>0</v>
      </c>
      <c r="G89" s="160">
        <f t="shared" si="26"/>
        <v>330612.69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-264613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-2861672.866999988</v>
      </c>
      <c r="F91" s="160">
        <f t="shared" si="29"/>
        <v>0</v>
      </c>
      <c r="G91" s="160">
        <f t="shared" si="29"/>
        <v>-2600405.0699999998</v>
      </c>
      <c r="H91" s="160">
        <f t="shared" si="29"/>
        <v>0</v>
      </c>
      <c r="I91" s="160">
        <f t="shared" si="29"/>
        <v>-3718307.1289999825</v>
      </c>
      <c r="J91" s="160">
        <f t="shared" si="29"/>
        <v>0</v>
      </c>
      <c r="K91" s="160">
        <f t="shared" si="29"/>
        <v>3457039.3319999999</v>
      </c>
      <c r="L91" s="160">
        <f t="shared" si="29"/>
        <v>0</v>
      </c>
      <c r="M91" s="160">
        <f t="shared" si="29"/>
        <v>0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G7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41" width="15.44140625" hidden="1" customWidth="1"/>
    <col min="42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5562</v>
      </c>
      <c r="E11" s="15">
        <f>G11+I11+K11+M11+O11</f>
        <v>-4773.9199999999983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+Actuals!G44+5562</f>
        <v>5562</v>
      </c>
      <c r="K11" s="119">
        <f>+Actuals!H44+15005</f>
        <v>-4773.9199999999983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-147054.67000000001</v>
      </c>
      <c r="F12" s="58">
        <f>'TIE-OUT'!L12+RECLASS!J12</f>
        <v>0</v>
      </c>
      <c r="G12" s="15">
        <f>'TIE-OUT'!M12+RECLASS!K12</f>
        <v>-147054.67000000001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5562</v>
      </c>
      <c r="E16" s="23">
        <f t="shared" si="1"/>
        <v>-151828.59000000003</v>
      </c>
      <c r="F16" s="59">
        <f t="shared" si="1"/>
        <v>0</v>
      </c>
      <c r="G16" s="23">
        <f t="shared" si="1"/>
        <v>-147054.67000000001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5562</v>
      </c>
      <c r="K16" s="39">
        <f t="shared" si="2"/>
        <v>-4773.9199999999983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-65719.960000000006</v>
      </c>
      <c r="F20" s="58">
        <f>'TIE-OUT'!L20+RECLASS!J20</f>
        <v>0</v>
      </c>
      <c r="G20" s="15">
        <f>'TIE-OUT'!M20+RECLASS!K20</f>
        <v>-65719.960000000006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-65719.960000000006</v>
      </c>
      <c r="F24" s="59">
        <f t="shared" si="4"/>
        <v>0</v>
      </c>
      <c r="G24" s="23">
        <f t="shared" si="4"/>
        <v>-65719.960000000006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3835</v>
      </c>
      <c r="E27" s="15">
        <f>G27+I27+K27+M27+O27</f>
        <v>10440</v>
      </c>
      <c r="F27" s="84">
        <f>'TIE-OUT'!L27+RECLASS!J27</f>
        <v>0</v>
      </c>
      <c r="G27" s="85">
        <f>'TIE-OUT'!M27+RECLASS!K27</f>
        <v>0</v>
      </c>
      <c r="H27" s="118">
        <f>+Actuals!E54+15733</f>
        <v>15733</v>
      </c>
      <c r="I27" s="119">
        <f>+Actuals!F54+44731</f>
        <v>44731</v>
      </c>
      <c r="J27" s="118">
        <f>+Actuals!G54-11898</f>
        <v>-11898</v>
      </c>
      <c r="K27" s="119">
        <f>+Actuals!H54-34291</f>
        <v>-34291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-9397</v>
      </c>
      <c r="E28" s="15">
        <f>G28+I28+K28+M28+O28</f>
        <v>-25445</v>
      </c>
      <c r="F28" s="97">
        <f>'TIE-OUT'!L28+RECLASS!J28</f>
        <v>0</v>
      </c>
      <c r="G28" s="98">
        <f>'TIE-OUT'!M28+RECLASS!K28</f>
        <v>0</v>
      </c>
      <c r="H28" s="118">
        <f>+Actuals!E55-15733</f>
        <v>-15733</v>
      </c>
      <c r="I28" s="119">
        <f>+Actuals!F55-44731</f>
        <v>-44731</v>
      </c>
      <c r="J28" s="118">
        <f>+Actuals!G55+6336</f>
        <v>6336</v>
      </c>
      <c r="K28" s="119">
        <f>+Actuals!H55+19286</f>
        <v>19286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-5562</v>
      </c>
      <c r="E29" s="23">
        <f t="shared" si="6"/>
        <v>-15005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-5562</v>
      </c>
      <c r="K29" s="39">
        <f t="shared" si="7"/>
        <v>-15005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-232553.55000000005</v>
      </c>
      <c r="F82" s="91">
        <f>F16+F24+F29+F36+F43+F45+F47+F49</f>
        <v>0</v>
      </c>
      <c r="G82" s="92">
        <f>SUM(G72:G81)+G16+G24+G29+G36+G43+G45+G47+G49+G51+G56+G61+G66</f>
        <v>-212774.63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-19778.919999999998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200016211</v>
      </c>
      <c r="E11" s="38">
        <f>SUM(G11,I11,K11,M11,O11,Q11,S11,U11,W11,Y11,AA11,AC11,AE11)</f>
        <v>544320880.39999998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197305664</v>
      </c>
      <c r="I11" s="38">
        <f>'EAST-EGM-GL'!I11+'EAST-LRC-GL'!I11</f>
        <v>536010571.90999997</v>
      </c>
      <c r="J11" s="60">
        <f>'EAST-EGM-GL'!J11+'EAST-LRC-GL'!J11</f>
        <v>2710547</v>
      </c>
      <c r="K11" s="38">
        <f>'EAST-EGM-GL'!K11+'EAST-LRC-GL'!K11</f>
        <v>8310308.4899999993</v>
      </c>
      <c r="L11" s="60">
        <f>'EAST-EGM-GL'!L11+'EAST-LRC-GL'!L11</f>
        <v>0</v>
      </c>
      <c r="M11" s="38">
        <f>'EAST-EGM-GL'!M11+'EAST-LRC-GL'!M11</f>
        <v>0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3158974.6</v>
      </c>
      <c r="F12" s="60">
        <f>('TIE-OUT'!L12+'TIE-OUT'!J12)+(RECLASS!J12+RECLASS!H12)</f>
        <v>0</v>
      </c>
      <c r="G12" s="38">
        <f>('TIE-OUT'!M12+'TIE-OUT'!K12)+(RECLASS!K12+RECLASS!I12)</f>
        <v>3158974.6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14505729</v>
      </c>
      <c r="I13" s="38">
        <f>'EAST-EGM-GL'!I13+'EAST-LRC-GL'!I13</f>
        <v>39605175</v>
      </c>
      <c r="J13" s="60">
        <f>'EAST-EGM-GL'!J13+'EAST-LRC-GL'!J13</f>
        <v>44423</v>
      </c>
      <c r="K13" s="38">
        <f>'EAST-EGM-GL'!K13+'EAST-LRC-GL'!K13</f>
        <v>134252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3704959.57</v>
      </c>
      <c r="J15" s="60">
        <f>'EAST-EGM-GL'!J15+'EAST-LRC-GL'!J15</f>
        <v>0</v>
      </c>
      <c r="K15" s="38">
        <f>'EAST-EGM-GL'!K15+'EAST-LRC-GL'!K15</f>
        <v>291832.76</v>
      </c>
      <c r="L15" s="60">
        <f>'EAST-EGM-GL'!L15+'EAST-LRC-GL'!L15</f>
        <v>0</v>
      </c>
      <c r="M15" s="38">
        <f>'EAST-EGM-GL'!M15+'EAST-LRC-GL'!M15</f>
        <v>0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214566363</v>
      </c>
      <c r="E16" s="39">
        <f t="shared" si="1"/>
        <v>591216074.33000004</v>
      </c>
      <c r="F16" s="61">
        <f t="shared" si="1"/>
        <v>0</v>
      </c>
      <c r="G16" s="39">
        <f t="shared" si="1"/>
        <v>3158974.6</v>
      </c>
      <c r="H16" s="61">
        <f t="shared" si="1"/>
        <v>211811393</v>
      </c>
      <c r="I16" s="39">
        <f t="shared" si="1"/>
        <v>579320706.48000002</v>
      </c>
      <c r="J16" s="61">
        <f t="shared" si="1"/>
        <v>2754970</v>
      </c>
      <c r="K16" s="39">
        <f t="shared" si="1"/>
        <v>8736393.2499999981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-199561466</v>
      </c>
      <c r="E19" s="38">
        <f t="shared" si="2"/>
        <v>-532477646.12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-197512953</v>
      </c>
      <c r="I19" s="38">
        <f>'EAST-EGM-GL'!I19+'EAST-LRC-GL'!I19</f>
        <v>-529355597.60000002</v>
      </c>
      <c r="J19" s="60">
        <f>'EAST-EGM-GL'!J19+'EAST-LRC-GL'!J19</f>
        <v>-2048513</v>
      </c>
      <c r="K19" s="38">
        <f>'EAST-EGM-GL'!K19+'EAST-LRC-GL'!K19</f>
        <v>-3122048.52</v>
      </c>
      <c r="L19" s="60">
        <f>'EAST-EGM-GL'!L19+'EAST-LRC-GL'!L19</f>
        <v>0</v>
      </c>
      <c r="M19" s="38">
        <f>'EAST-EGM-GL'!M19+'EAST-LRC-GL'!M19</f>
        <v>0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-5643395.7999999998</v>
      </c>
      <c r="F20" s="60">
        <f>('TIE-OUT'!L20+'TIE-OUT'!J20)+(RECLASS!J20+RECLASS!H20)</f>
        <v>0</v>
      </c>
      <c r="G20" s="38">
        <f>('TIE-OUT'!M20+'TIE-OUT'!K20)+(RECLASS!K20+RECLASS!I20)</f>
        <v>-5643395.7999999998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-14312104</v>
      </c>
      <c r="E21" s="38">
        <f t="shared" si="2"/>
        <v>-41309129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-14226249</v>
      </c>
      <c r="I21" s="38">
        <f>'EAST-EGM-GL'!I21+'EAST-LRC-GL'!I21</f>
        <v>-41084728</v>
      </c>
      <c r="J21" s="60">
        <f>'EAST-EGM-GL'!J21+'EAST-LRC-GL'!J21</f>
        <v>-85855</v>
      </c>
      <c r="K21" s="38">
        <f>'EAST-EGM-GL'!K21+'EAST-LRC-GL'!K21</f>
        <v>-224401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1368078</v>
      </c>
      <c r="E23" s="38">
        <f t="shared" si="2"/>
        <v>3596677.0620000004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1361359</v>
      </c>
      <c r="I23" s="38">
        <f>'EAST-EGM-GL'!I23+'EAST-LRC-GL'!I23</f>
        <v>3579012.8110000002</v>
      </c>
      <c r="J23" s="60">
        <f>'EAST-EGM-GL'!J23+'EAST-LRC-GL'!J23</f>
        <v>6719</v>
      </c>
      <c r="K23" s="38">
        <f>'EAST-EGM-GL'!K23+'EAST-LRC-GL'!K23</f>
        <v>17664.251</v>
      </c>
      <c r="L23" s="60">
        <f>'EAST-EGM-GL'!L23+'EAST-LRC-GL'!L23</f>
        <v>0</v>
      </c>
      <c r="M23" s="38">
        <f>'EAST-EGM-GL'!M23+'EAST-LRC-GL'!M23</f>
        <v>0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-212505492</v>
      </c>
      <c r="E24" s="39">
        <f t="shared" si="3"/>
        <v>-575833493.85799992</v>
      </c>
      <c r="F24" s="61">
        <f t="shared" si="3"/>
        <v>0</v>
      </c>
      <c r="G24" s="39">
        <f t="shared" si="3"/>
        <v>-5643395.7999999998</v>
      </c>
      <c r="H24" s="61">
        <f t="shared" si="3"/>
        <v>-210377843</v>
      </c>
      <c r="I24" s="39">
        <f t="shared" si="3"/>
        <v>-566861312.78900003</v>
      </c>
      <c r="J24" s="61">
        <f t="shared" si="3"/>
        <v>-2127649</v>
      </c>
      <c r="K24" s="39">
        <f t="shared" si="3"/>
        <v>-3328785.2689999999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785336</v>
      </c>
      <c r="E27" s="38">
        <f>SUM(G27,I27,K27,M27,O27,Q27,S27,U27,W27,Y27,AA27,AC27,AE27)</f>
        <v>2136152.02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793876</v>
      </c>
      <c r="I27" s="38">
        <f>'EAST-EGM-GL'!I27+'EAST-LRC-GL'!I27</f>
        <v>2160753</v>
      </c>
      <c r="J27" s="60">
        <f>'EAST-EGM-GL'!J27+'EAST-LRC-GL'!J27</f>
        <v>-8540</v>
      </c>
      <c r="K27" s="38">
        <f>'EAST-EGM-GL'!K27+'EAST-LRC-GL'!K27</f>
        <v>-24600.98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-501379</v>
      </c>
      <c r="E28" s="38">
        <f>SUM(G28,I28,K28,M28,O28,Q28,S28,U28,W28,Y28,AA28,AC28,AE28)</f>
        <v>-1334207.77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-509156</v>
      </c>
      <c r="I28" s="38">
        <f>'EAST-EGM-GL'!I28+'EAST-LRC-GL'!I28</f>
        <v>-1357434.19</v>
      </c>
      <c r="J28" s="60">
        <f>'EAST-EGM-GL'!J28+'EAST-LRC-GL'!J28</f>
        <v>7777</v>
      </c>
      <c r="K28" s="38">
        <f>'EAST-EGM-GL'!K28+'EAST-LRC-GL'!K28</f>
        <v>23226.42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283957</v>
      </c>
      <c r="E29" s="39">
        <f t="shared" si="4"/>
        <v>801944.25</v>
      </c>
      <c r="F29" s="61">
        <f t="shared" si="4"/>
        <v>0</v>
      </c>
      <c r="G29" s="39">
        <f t="shared" si="4"/>
        <v>0</v>
      </c>
      <c r="H29" s="61">
        <f t="shared" si="4"/>
        <v>284720</v>
      </c>
      <c r="I29" s="39">
        <f t="shared" si="4"/>
        <v>803318.81</v>
      </c>
      <c r="J29" s="61">
        <f t="shared" si="4"/>
        <v>-763</v>
      </c>
      <c r="K29" s="39">
        <f t="shared" si="4"/>
        <v>-1374.5600000000013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-486645</v>
      </c>
      <c r="E32" s="38">
        <f t="shared" si="5"/>
        <v>-1279389.7049999998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84069</v>
      </c>
      <c r="I32" s="38">
        <f>'EAST-EGM-GL'!I32+'EAST-LRC-GL'!I32</f>
        <v>221017.40100000001</v>
      </c>
      <c r="J32" s="60">
        <f>'EAST-EGM-GL'!J32+'EAST-LRC-GL'!J32</f>
        <v>-570714</v>
      </c>
      <c r="K32" s="38">
        <f>'EAST-EGM-GL'!K32+'EAST-LRC-GL'!K32</f>
        <v>-1500407.1059999999</v>
      </c>
      <c r="L32" s="60">
        <f>'EAST-EGM-GL'!L32+'EAST-LRC-GL'!L32</f>
        <v>0</v>
      </c>
      <c r="M32" s="38">
        <f>'EAST-EGM-GL'!M32+'EAST-LRC-GL'!M32</f>
        <v>0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-397497</v>
      </c>
      <c r="E33" s="38">
        <f t="shared" si="5"/>
        <v>-1085638.6100000001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-397497</v>
      </c>
      <c r="K33" s="38">
        <f>'EAST-EGM-GL'!K33+'EAST-LRC-GL'!K33</f>
        <v>-1085638.6100000001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162357</v>
      </c>
      <c r="E34" s="38">
        <f t="shared" si="5"/>
        <v>401370.06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162357</v>
      </c>
      <c r="K34" s="38">
        <f>'EAST-EGM-GL'!K34+'EAST-LRC-GL'!K34</f>
        <v>401370.06</v>
      </c>
      <c r="L34" s="60">
        <f>'EAST-EGM-GL'!L34+'EAST-LRC-GL'!L34</f>
        <v>0</v>
      </c>
      <c r="M34" s="38">
        <f>'EAST-EGM-GL'!M34+'EAST-LRC-GL'!M34</f>
        <v>0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-721785</v>
      </c>
      <c r="E36" s="39">
        <f t="shared" si="6"/>
        <v>-1963658.2549999999</v>
      </c>
      <c r="F36" s="61">
        <f t="shared" si="6"/>
        <v>0</v>
      </c>
      <c r="G36" s="39">
        <f t="shared" si="6"/>
        <v>0</v>
      </c>
      <c r="H36" s="61">
        <f t="shared" si="6"/>
        <v>84069</v>
      </c>
      <c r="I36" s="39">
        <f t="shared" si="6"/>
        <v>221017.40100000001</v>
      </c>
      <c r="J36" s="61">
        <f t="shared" si="6"/>
        <v>-805854</v>
      </c>
      <c r="K36" s="39">
        <f t="shared" si="6"/>
        <v>-2184675.656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</v>
      </c>
      <c r="E39" s="38">
        <f t="shared" si="7"/>
        <v>102.52999999999884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86490</v>
      </c>
      <c r="I39" s="38">
        <f>'EAST-EGM-GL'!I39+'EAST-LRC-GL'!I39</f>
        <v>227382.21</v>
      </c>
      <c r="J39" s="60">
        <f>'EAST-EGM-GL'!J39+'EAST-LRC-GL'!J39</f>
        <v>-86451</v>
      </c>
      <c r="K39" s="38">
        <f>'EAST-EGM-GL'!K39+'EAST-LRC-GL'!K39</f>
        <v>-227279.68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-1643354</v>
      </c>
      <c r="E40" s="38">
        <f t="shared" si="7"/>
        <v>-3130997.37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-1466369</v>
      </c>
      <c r="I40" s="38">
        <f>'EAST-EGM-GL'!I40+'EAST-LRC-GL'!I40</f>
        <v>-2695450.25</v>
      </c>
      <c r="J40" s="60">
        <f>'EAST-EGM-GL'!J40+'EAST-LRC-GL'!J40</f>
        <v>-176985</v>
      </c>
      <c r="K40" s="38">
        <f>'EAST-EGM-GL'!K40+'EAST-LRC-GL'!K40</f>
        <v>-435547.12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-1643354</v>
      </c>
      <c r="E42" s="39">
        <f t="shared" si="8"/>
        <v>-3130997.37</v>
      </c>
      <c r="F42" s="61">
        <f t="shared" si="8"/>
        <v>0</v>
      </c>
      <c r="G42" s="39">
        <f t="shared" si="8"/>
        <v>0</v>
      </c>
      <c r="H42" s="61">
        <f t="shared" si="8"/>
        <v>-1466369</v>
      </c>
      <c r="I42" s="39">
        <f t="shared" si="8"/>
        <v>-2695450.25</v>
      </c>
      <c r="J42" s="61">
        <f t="shared" si="8"/>
        <v>-176985</v>
      </c>
      <c r="K42" s="39">
        <f t="shared" si="8"/>
        <v>-435547.12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-1643315</v>
      </c>
      <c r="E43" s="39">
        <f t="shared" si="9"/>
        <v>-3130894.8400000003</v>
      </c>
      <c r="F43" s="61">
        <f t="shared" si="9"/>
        <v>0</v>
      </c>
      <c r="G43" s="39">
        <f t="shared" si="9"/>
        <v>0</v>
      </c>
      <c r="H43" s="61">
        <f t="shared" si="9"/>
        <v>-1379879</v>
      </c>
      <c r="I43" s="39">
        <f t="shared" si="9"/>
        <v>-2468068.04</v>
      </c>
      <c r="J43" s="61">
        <f t="shared" si="9"/>
        <v>-263436</v>
      </c>
      <c r="K43" s="39">
        <f t="shared" si="9"/>
        <v>-662826.80000000005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-422460</v>
      </c>
      <c r="I49" s="38">
        <f>'EAST-EGM-GL'!I49+'EAST-LRC-GL'!I49</f>
        <v>-1110647.3400000001</v>
      </c>
      <c r="J49" s="60">
        <f>'EAST-EGM-GL'!J49+'EAST-LRC-GL'!J49</f>
        <v>442732</v>
      </c>
      <c r="K49" s="38">
        <f>'EAST-EGM-GL'!K49+'EAST-LRC-GL'!K49</f>
        <v>1163942.4280000001</v>
      </c>
      <c r="L49" s="60">
        <f>'EAST-EGM-GL'!L49+'EAST-LRC-GL'!L49</f>
        <v>0</v>
      </c>
      <c r="M49" s="38">
        <f>'EAST-EGM-GL'!M49+'EAST-LRC-GL'!M49</f>
        <v>0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-1361359</v>
      </c>
      <c r="I51" s="38">
        <f>'EAST-EGM-GL'!I51+'EAST-LRC-GL'!I51</f>
        <v>-3579012.8110000002</v>
      </c>
      <c r="J51" s="60">
        <f>'EAST-EGM-GL'!J51+'EAST-LRC-GL'!J51</f>
        <v>-6719</v>
      </c>
      <c r="K51" s="38">
        <f>'EAST-EGM-GL'!K51+'EAST-LRC-GL'!K51</f>
        <v>-17664.251</v>
      </c>
      <c r="L51" s="60">
        <f>'EAST-EGM-GL'!L51+'EAST-LRC-GL'!L51</f>
        <v>0</v>
      </c>
      <c r="M51" s="38">
        <f>'EAST-EGM-GL'!M51+'EAST-LRC-GL'!M51</f>
        <v>0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-156628547</v>
      </c>
      <c r="I54" s="38">
        <f>'EAST-EGM-GL'!I54+'EAST-LRC-GL'!I54</f>
        <v>-2152001.3199999998</v>
      </c>
      <c r="J54" s="60">
        <f>'EAST-EGM-GL'!J54+'EAST-LRC-GL'!J54</f>
        <v>21908879</v>
      </c>
      <c r="K54" s="38">
        <f>'EAST-EGM-GL'!K54+'EAST-LRC-GL'!K54</f>
        <v>-158391.46</v>
      </c>
      <c r="L54" s="60">
        <f>'EAST-EGM-GL'!L54+'EAST-LRC-GL'!L54</f>
        <v>0</v>
      </c>
      <c r="M54" s="38">
        <f>'EAST-EGM-GL'!M54+'EAST-LRC-GL'!M54</f>
        <v>0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-7995911.4199999999</v>
      </c>
      <c r="J55" s="60">
        <f>'EAST-EGM-GL'!J55+'EAST-LRC-GL'!J55</f>
        <v>0</v>
      </c>
      <c r="K55" s="38">
        <f>'EAST-EGM-GL'!K55+'EAST-LRC-GL'!K55</f>
        <v>-66720.37</v>
      </c>
      <c r="L55" s="60">
        <f>'EAST-EGM-GL'!L55+'EAST-LRC-GL'!L55</f>
        <v>0</v>
      </c>
      <c r="M55" s="38">
        <f>'EAST-EGM-GL'!M55+'EAST-LRC-GL'!M55</f>
        <v>0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-134719668</v>
      </c>
      <c r="E56" s="39">
        <f t="shared" si="10"/>
        <v>-10373024.57</v>
      </c>
      <c r="F56" s="61">
        <f t="shared" si="10"/>
        <v>0</v>
      </c>
      <c r="G56" s="39">
        <f t="shared" si="10"/>
        <v>0</v>
      </c>
      <c r="H56" s="61">
        <f t="shared" si="10"/>
        <v>-156628547</v>
      </c>
      <c r="I56" s="39">
        <f t="shared" si="10"/>
        <v>-10147912.74</v>
      </c>
      <c r="J56" s="61">
        <f t="shared" si="10"/>
        <v>21908879</v>
      </c>
      <c r="K56" s="39">
        <f t="shared" si="10"/>
        <v>-225111.83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86158.06</v>
      </c>
      <c r="J59" s="60">
        <f>'EAST-EGM-GL'!J59+'EAST-LRC-GL'!J59</f>
        <v>0</v>
      </c>
      <c r="K59" s="38">
        <f>'EAST-EGM-GL'!K59+'EAST-LRC-GL'!K59</f>
        <v>-21516.69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64641.369999999995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86158.06</v>
      </c>
      <c r="J61" s="61">
        <f t="shared" si="11"/>
        <v>0</v>
      </c>
      <c r="K61" s="39">
        <f t="shared" si="11"/>
        <v>-21516.69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('TIE-OUT'!L70+'TIE-OUT'!J70)+(RECLASS!J70+RECLASS!H70)</f>
        <v>0</v>
      </c>
      <c r="G70" s="68">
        <f>('TIE-OUT'!M70+'TIE-OUT'!K70)+(RECLASS!K70+RECLASS!I70)</f>
        <v>1165617.6100000001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('TIE-OUT'!L71+'TIE-OUT'!J71)+(RECLASS!J71+RECLASS!H71)</f>
        <v>0</v>
      </c>
      <c r="G71" s="82">
        <f>('TIE-OUT'!M71+'TIE-OUT'!K71)+(RECLASS!K71+RECLASS!I71)</f>
        <v>-563222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602395.6100000001</v>
      </c>
      <c r="F72" s="61">
        <f t="shared" si="13"/>
        <v>0</v>
      </c>
      <c r="G72" s="39">
        <f t="shared" si="13"/>
        <v>602395.6100000001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-1187463.9100000001</v>
      </c>
      <c r="F74" s="60">
        <f>('TIE-OUT'!L74+'TIE-OUT'!J74)+(RECLASS!J74+RECLASS!H74)</f>
        <v>0</v>
      </c>
      <c r="G74" s="60">
        <f>('TIE-OUT'!M74+'TIE-OUT'!K74)+(RECLASS!K74+RECLASS!I74)</f>
        <v>-1122366.8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-65097.11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-34400</v>
      </c>
      <c r="F75" s="60">
        <f>('TIE-OUT'!L75+'TIE-OUT'!J75)+(RECLASS!J75+RECLASS!H75)</f>
        <v>0</v>
      </c>
      <c r="G75" s="60">
        <f>('TIE-OUT'!M75+'TIE-OUT'!K75)+(RECLASS!K75+RECLASS!I75)</f>
        <v>-34400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76730.420000000013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-8316.2099999999991</v>
      </c>
      <c r="J76" s="60">
        <f>'EAST-EGM-GL'!J76+'EAST-LRC-GL'!J76</f>
        <v>0</v>
      </c>
      <c r="K76" s="38">
        <f>'EAST-EGM-GL'!K76+'EAST-LRC-GL'!K76</f>
        <v>85046.63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-105000</v>
      </c>
      <c r="F77" s="60">
        <f>('TIE-OUT'!L77+'TIE-OUT'!J77)+(RECLASS!J77+RECLASS!H77)</f>
        <v>0</v>
      </c>
      <c r="G77" s="60">
        <f>('TIE-OUT'!M77+'TIE-OUT'!K77)+(RECLASS!K77+RECLASS!I77)</f>
        <v>-105000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-202500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-202500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451805.31999999995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228262.05</v>
      </c>
      <c r="J81" s="60">
        <f>'EAST-EGM-GL'!J81+'EAST-LRC-GL'!J81</f>
        <v>0</v>
      </c>
      <c r="K81" s="38">
        <f>'EAST-EGM-GL'!K81+'EAST-LRC-GL'!K81</f>
        <v>223543.27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-3160226.106999821</v>
      </c>
      <c r="F82" s="91">
        <f>F16+F24+F29+F36+F43+F45+F47+F49</f>
        <v>0</v>
      </c>
      <c r="G82" s="92">
        <f>SUM(G72:G81)+G16+G24+G29+G36+G43+G45+G47+G49+G51+G56+G61+G66</f>
        <v>-3143792.3899999997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92">
        <f>SUM(K72:K81)+K16+K24+K29+K36+K43+K45+K47+K49+K51+K56+K61+K66</f>
        <v>3701873.4119999981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-3160226.1069999877</v>
      </c>
      <c r="G84" s="14">
        <f>+'EAST-LRC-GL'!G82+'EAST-EGM-GL'!G82</f>
        <v>-3143792.3899999997</v>
      </c>
      <c r="I84" s="14">
        <f>+'EAST-LRC-GL'!I82+'EAST-EGM-GL'!I82</f>
        <v>-3718307.1289999825</v>
      </c>
      <c r="K84" s="14">
        <f>+'EAST-LRC-GL'!K82+'EAST-EGM-GL'!K82</f>
        <v>3701873.412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65999.69</v>
      </c>
      <c r="F86" s="145">
        <f>'EAST-EGM-GL'!F86+'EAST-LRC-GL'!F86</f>
        <v>0</v>
      </c>
      <c r="G86" s="145">
        <f>'EAST-EGM-GL'!G86+'EAST-LRC-GL'!G86</f>
        <v>330612.69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-264613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65999.69</v>
      </c>
      <c r="F89" s="155">
        <f t="shared" si="16"/>
        <v>0</v>
      </c>
      <c r="G89" s="155">
        <f t="shared" si="16"/>
        <v>330612.69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-264613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-3094226.4169998211</v>
      </c>
      <c r="F91" s="160">
        <f t="shared" si="19"/>
        <v>0</v>
      </c>
      <c r="G91" s="160">
        <f t="shared" si="19"/>
        <v>-2813179.6999999997</v>
      </c>
      <c r="H91" s="160">
        <f t="shared" si="19"/>
        <v>0</v>
      </c>
      <c r="I91" s="160">
        <f t="shared" si="19"/>
        <v>-3718307.1289999825</v>
      </c>
      <c r="J91" s="160">
        <f t="shared" si="19"/>
        <v>0</v>
      </c>
      <c r="K91" s="160">
        <f t="shared" si="19"/>
        <v>3437260.4119999981</v>
      </c>
      <c r="L91" s="160">
        <f t="shared" si="19"/>
        <v>0</v>
      </c>
      <c r="M91" s="160">
        <f t="shared" si="19"/>
        <v>0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G75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13854441</v>
      </c>
      <c r="E11" s="38">
        <f>SUM(G11,I11,K11,M11,O11,Q11,S11,U11,W11,Y11,AA11,AC11,AE11)</f>
        <v>37795452.32</v>
      </c>
      <c r="F11" s="60">
        <f>'TIE-OUT'!V11+RECLASS!T11</f>
        <v>0</v>
      </c>
      <c r="G11" s="38">
        <f>'TIE-OUT'!W11+RECLASS!U11</f>
        <v>0</v>
      </c>
      <c r="H11" s="118">
        <f>+Actuals!E444</f>
        <v>14094413</v>
      </c>
      <c r="I11" s="119">
        <f>+Actuals!F444</f>
        <v>38590088.68</v>
      </c>
      <c r="J11" s="118">
        <f>+Actuals!G444</f>
        <v>-239972</v>
      </c>
      <c r="K11" s="119">
        <f>+Actuals!H444</f>
        <v>-794636.36</v>
      </c>
      <c r="L11" s="118">
        <f>+Actuals!I444</f>
        <v>0</v>
      </c>
      <c r="M11" s="119">
        <f>+Actuals!J444</f>
        <v>0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-3186873.06</v>
      </c>
      <c r="F12" s="60">
        <f>'TIE-OUT'!V12+RECLASS!T12</f>
        <v>0</v>
      </c>
      <c r="G12" s="38">
        <f>'TIE-OUT'!W12+RECLASS!U12</f>
        <v>-3186873.06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'TIE-OUT'!V13+RECLASS!T13</f>
        <v>0</v>
      </c>
      <c r="G13" s="38">
        <f>'TIE-OUT'!W13+RECLASS!U13</f>
        <v>0</v>
      </c>
      <c r="H13" s="118">
        <f>+Actuals!E446</f>
        <v>429232</v>
      </c>
      <c r="I13" s="119">
        <f>+Actuals!F446</f>
        <v>1157267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1875810</v>
      </c>
      <c r="J15" s="118">
        <f>+Actuals!G448</f>
        <v>0</v>
      </c>
      <c r="K15" s="119">
        <f>+Actuals!H448</f>
        <v>465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14283673</v>
      </c>
      <c r="E16" s="39">
        <f t="shared" si="1"/>
        <v>37642121.259999998</v>
      </c>
      <c r="F16" s="61">
        <f t="shared" si="1"/>
        <v>0</v>
      </c>
      <c r="G16" s="39">
        <f t="shared" si="1"/>
        <v>-3186873.06</v>
      </c>
      <c r="H16" s="61">
        <f t="shared" si="1"/>
        <v>14523645</v>
      </c>
      <c r="I16" s="39">
        <f t="shared" si="1"/>
        <v>41623165.68</v>
      </c>
      <c r="J16" s="61">
        <f t="shared" ref="J16:AO16" si="2">SUM(J11:J15)</f>
        <v>-239972</v>
      </c>
      <c r="K16" s="39">
        <f t="shared" si="2"/>
        <v>-794171.36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-4695131</v>
      </c>
      <c r="E19" s="38">
        <f t="shared" si="3"/>
        <v>-11979028.949999999</v>
      </c>
      <c r="F19" s="64">
        <f>'TIE-OUT'!V19+RECLASS!T19</f>
        <v>0</v>
      </c>
      <c r="G19" s="68">
        <f>'TIE-OUT'!W19+RECLASS!U19</f>
        <v>0</v>
      </c>
      <c r="H19" s="118">
        <f>+Actuals!E449</f>
        <v>-4564560</v>
      </c>
      <c r="I19" s="119">
        <f>+Actuals!F449</f>
        <v>-11643619.66</v>
      </c>
      <c r="J19" s="118">
        <f>+Actuals!G449</f>
        <v>-130571</v>
      </c>
      <c r="K19" s="119">
        <f>+Actuals!H449</f>
        <v>-335409.28999999998</v>
      </c>
      <c r="L19" s="118">
        <f>+Actuals!I449</f>
        <v>0</v>
      </c>
      <c r="M19" s="119">
        <f>+Actuals!J449</f>
        <v>0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1741459.37</v>
      </c>
      <c r="F20" s="60">
        <f>'TIE-OUT'!V20+RECLASS!T20</f>
        <v>0</v>
      </c>
      <c r="G20" s="38">
        <f>'TIE-OUT'!W20+RECLASS!U20</f>
        <v>1741459.37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-21000</v>
      </c>
      <c r="E21" s="38">
        <f t="shared" si="3"/>
        <v>-55982</v>
      </c>
      <c r="F21" s="60">
        <f>'TIE-OUT'!V21+RECLASS!T21</f>
        <v>0</v>
      </c>
      <c r="G21" s="38">
        <f>'TIE-OUT'!W21+RECLASS!U21</f>
        <v>0</v>
      </c>
      <c r="H21" s="118">
        <f>+Actuals!E451</f>
        <v>-19000</v>
      </c>
      <c r="I21" s="119">
        <f>+Actuals!F451</f>
        <v>-50650</v>
      </c>
      <c r="J21" s="118">
        <f>+Actuals!G451</f>
        <v>-2000</v>
      </c>
      <c r="K21" s="119">
        <f>+Actuals!H451</f>
        <v>-5332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19392</v>
      </c>
      <c r="E23" s="38">
        <f t="shared" si="3"/>
        <v>49255.679999999993</v>
      </c>
      <c r="F23" s="81">
        <f>'TIE-OUT'!V23+RECLASS!T23</f>
        <v>0</v>
      </c>
      <c r="G23" s="82">
        <f>'TIE-OUT'!W23+RECLASS!U23</f>
        <v>0</v>
      </c>
      <c r="H23" s="118">
        <f>+Actuals!E453</f>
        <v>15521</v>
      </c>
      <c r="I23" s="119">
        <f>+Actuals!F453</f>
        <v>39423.339999999997</v>
      </c>
      <c r="J23" s="118">
        <f>+Actuals!G453</f>
        <v>3871</v>
      </c>
      <c r="K23" s="119">
        <f>+Actuals!H453</f>
        <v>9832.34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-4696739</v>
      </c>
      <c r="E24" s="39">
        <f t="shared" si="4"/>
        <v>-10244295.899999999</v>
      </c>
      <c r="F24" s="61">
        <f t="shared" si="4"/>
        <v>0</v>
      </c>
      <c r="G24" s="39">
        <f t="shared" si="4"/>
        <v>1741459.37</v>
      </c>
      <c r="H24" s="61">
        <f t="shared" si="4"/>
        <v>-4568039</v>
      </c>
      <c r="I24" s="39">
        <f t="shared" si="4"/>
        <v>-11654846.32</v>
      </c>
      <c r="J24" s="61">
        <f t="shared" ref="J24:AO24" si="5">SUM(J19:J23)</f>
        <v>-128700</v>
      </c>
      <c r="K24" s="39">
        <f t="shared" si="5"/>
        <v>-330908.94999999995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9811423</v>
      </c>
      <c r="E27" s="38">
        <f>SUM(G27,I27,K27,M27,O27,Q27,S27,U27,W27,Y27,AA27,AC27,AE27)</f>
        <v>27513588.5</v>
      </c>
      <c r="F27" s="64">
        <f>'TIE-OUT'!V27+RECLASS!T27</f>
        <v>0</v>
      </c>
      <c r="G27" s="68">
        <f>'TIE-OUT'!W27+RECLASS!U27</f>
        <v>0</v>
      </c>
      <c r="H27" s="118">
        <f>+Actuals!E454</f>
        <v>9231229</v>
      </c>
      <c r="I27" s="119">
        <f>+Actuals!F454</f>
        <v>25897214.210000001</v>
      </c>
      <c r="J27" s="118">
        <f>+Actuals!G454</f>
        <v>580194</v>
      </c>
      <c r="K27" s="119">
        <f>+Actuals!H454</f>
        <v>1616374.29</v>
      </c>
      <c r="L27" s="118">
        <f>+Actuals!I454</f>
        <v>0</v>
      </c>
      <c r="M27" s="119">
        <f>+Actuals!J454</f>
        <v>0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-19127789</v>
      </c>
      <c r="E28" s="38">
        <f>SUM(G28,I28,K28,M28,O28,Q28,S28,U28,W28,Y28,AA28,AC28,AE28)</f>
        <v>-53611488</v>
      </c>
      <c r="F28" s="81">
        <f>'TIE-OUT'!V28+RECLASS!T28</f>
        <v>0</v>
      </c>
      <c r="G28" s="82">
        <f>'TIE-OUT'!W28+RECLASS!U28</f>
        <v>0</v>
      </c>
      <c r="H28" s="118">
        <f>+Actuals!E455</f>
        <v>-10208075</v>
      </c>
      <c r="I28" s="119">
        <f>+Actuals!F455</f>
        <v>-28614529.800000001</v>
      </c>
      <c r="J28" s="118">
        <f>+Actuals!G455</f>
        <v>-8919714</v>
      </c>
      <c r="K28" s="119">
        <f>+Actuals!H455</f>
        <v>-24996958.199999999</v>
      </c>
      <c r="L28" s="118">
        <f>+Actuals!I455</f>
        <v>0</v>
      </c>
      <c r="M28" s="119">
        <f>+Actuals!J455</f>
        <v>0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-9316366</v>
      </c>
      <c r="E29" s="39">
        <f t="shared" si="6"/>
        <v>-26097899.5</v>
      </c>
      <c r="F29" s="61">
        <f t="shared" si="6"/>
        <v>0</v>
      </c>
      <c r="G29" s="39">
        <f t="shared" si="6"/>
        <v>0</v>
      </c>
      <c r="H29" s="61">
        <f t="shared" si="6"/>
        <v>-976846</v>
      </c>
      <c r="I29" s="39">
        <f t="shared" si="6"/>
        <v>-2717315.59</v>
      </c>
      <c r="J29" s="61">
        <f t="shared" ref="J29:AO29" si="7">SUM(J27:J28)</f>
        <v>-8339520</v>
      </c>
      <c r="K29" s="39">
        <f t="shared" si="7"/>
        <v>-23380583.91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-234896</v>
      </c>
      <c r="E32" s="38">
        <f t="shared" si="8"/>
        <v>-596635.83999999985</v>
      </c>
      <c r="F32" s="64">
        <f>'TIE-OUT'!V32+RECLASS!T32</f>
        <v>0</v>
      </c>
      <c r="G32" s="68">
        <f>'TIE-OUT'!W32+RECLASS!U32</f>
        <v>0</v>
      </c>
      <c r="H32" s="118">
        <f>+Actuals!E456</f>
        <v>-8940288</v>
      </c>
      <c r="I32" s="119">
        <f>+Actuals!F456</f>
        <v>-22708331.52</v>
      </c>
      <c r="J32" s="118">
        <f>+Actuals!G456</f>
        <v>8705392</v>
      </c>
      <c r="K32" s="119">
        <f>+Actuals!H456</f>
        <v>22111695.68</v>
      </c>
      <c r="L32" s="118">
        <f>+Actuals!I456</f>
        <v>0</v>
      </c>
      <c r="M32" s="119">
        <f>+Actuals!J456</f>
        <v>0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-234896</v>
      </c>
      <c r="E36" s="39">
        <f t="shared" si="9"/>
        <v>-596635.83999999985</v>
      </c>
      <c r="F36" s="61">
        <f t="shared" si="9"/>
        <v>0</v>
      </c>
      <c r="G36" s="39">
        <f t="shared" si="9"/>
        <v>0</v>
      </c>
      <c r="H36" s="61">
        <f t="shared" si="9"/>
        <v>-8940288</v>
      </c>
      <c r="I36" s="39">
        <f t="shared" si="9"/>
        <v>-22708331.52</v>
      </c>
      <c r="J36" s="61">
        <f t="shared" ref="J36:AO36" si="10">SUM(J32:J35)</f>
        <v>8705392</v>
      </c>
      <c r="K36" s="39">
        <f t="shared" si="10"/>
        <v>22111695.68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171553</v>
      </c>
      <c r="E39" s="38">
        <f t="shared" si="11"/>
        <v>435744.62</v>
      </c>
      <c r="F39" s="64">
        <f>'TIE-OUT'!V39+RECLASS!T39</f>
        <v>0</v>
      </c>
      <c r="G39" s="68">
        <f>'TIE-OUT'!W39+RECLASS!U39</f>
        <v>0</v>
      </c>
      <c r="H39" s="118">
        <f>+Actuals!E460</f>
        <v>173286</v>
      </c>
      <c r="I39" s="119">
        <f>+Actuals!F460</f>
        <v>440146.44</v>
      </c>
      <c r="J39" s="118">
        <f>+Actuals!G460</f>
        <v>-1733</v>
      </c>
      <c r="K39" s="119">
        <f>+Actuals!H460</f>
        <v>-4401.82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171553</v>
      </c>
      <c r="E43" s="39">
        <f t="shared" si="14"/>
        <v>435744.62</v>
      </c>
      <c r="F43" s="61">
        <f t="shared" si="14"/>
        <v>0</v>
      </c>
      <c r="G43" s="39">
        <f t="shared" si="14"/>
        <v>0</v>
      </c>
      <c r="H43" s="61">
        <f t="shared" si="14"/>
        <v>173286</v>
      </c>
      <c r="I43" s="39">
        <f t="shared" si="14"/>
        <v>440146.44</v>
      </c>
      <c r="J43" s="61">
        <f t="shared" ref="J43:AO43" si="15">J42+J39</f>
        <v>-1733</v>
      </c>
      <c r="K43" s="39">
        <f t="shared" si="15"/>
        <v>-4401.82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-207225</v>
      </c>
      <c r="E49" s="38">
        <f>SUM(G49,I49,K49,M49,O49,Q49,S49,U49,W49,Y49,AA49,AC49,AE49)</f>
        <v>-526351.5</v>
      </c>
      <c r="F49" s="60">
        <f>'TIE-OUT'!V49+RECLASS!T49</f>
        <v>0</v>
      </c>
      <c r="G49" s="38">
        <f>'TIE-OUT'!W49+RECLASS!U49</f>
        <v>0</v>
      </c>
      <c r="H49" s="118">
        <f>+Actuals!E465</f>
        <v>-211758</v>
      </c>
      <c r="I49" s="119">
        <f>+Actuals!F465</f>
        <v>-537865.31999999995</v>
      </c>
      <c r="J49" s="118">
        <f>+Actuals!G465</f>
        <v>4533</v>
      </c>
      <c r="K49" s="119">
        <f>+Actuals!H465</f>
        <v>11513.819999999949</v>
      </c>
      <c r="L49" s="118">
        <f>+Actuals!I465</f>
        <v>0</v>
      </c>
      <c r="M49" s="119">
        <f>+Actuals!J465</f>
        <v>0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'TIE-OUT'!V51+RECLASS!T51</f>
        <v>0</v>
      </c>
      <c r="G51" s="38">
        <f>'TIE-OUT'!W51+RECLASS!U51</f>
        <v>0</v>
      </c>
      <c r="H51" s="118">
        <f>+Actuals!E466</f>
        <v>-15521</v>
      </c>
      <c r="I51" s="119">
        <f>+Actuals!F466</f>
        <v>-39423.339999999997</v>
      </c>
      <c r="J51" s="118">
        <f>+Actuals!G466</f>
        <v>-3871</v>
      </c>
      <c r="K51" s="119">
        <f>+Actuals!H466</f>
        <v>-9832.34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-336775.86</v>
      </c>
      <c r="F54" s="64">
        <f>'TIE-OUT'!V54+RECLASS!T54</f>
        <v>0</v>
      </c>
      <c r="G54" s="68">
        <f>'TIE-OUT'!W54+RECLASS!U54</f>
        <v>0</v>
      </c>
      <c r="H54" s="118">
        <f>+Actuals!E467</f>
        <v>-9443043</v>
      </c>
      <c r="I54" s="119">
        <f>+Actuals!F467</f>
        <v>-206392.49</v>
      </c>
      <c r="J54" s="118">
        <f>+Actuals!G467</f>
        <v>-9162445</v>
      </c>
      <c r="K54" s="119">
        <f>+Actuals!H467</f>
        <v>-130383.37</v>
      </c>
      <c r="L54" s="118">
        <f>+Actuals!I467</f>
        <v>0</v>
      </c>
      <c r="M54" s="119">
        <f>+Actuals!J467</f>
        <v>0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-166300</v>
      </c>
      <c r="J55" s="118">
        <f>+Actuals!G468</f>
        <v>0</v>
      </c>
      <c r="K55" s="119">
        <f>+Actuals!H468</f>
        <v>-8000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-18605488</v>
      </c>
      <c r="E56" s="39">
        <f t="shared" si="16"/>
        <v>-511075.86</v>
      </c>
      <c r="F56" s="61">
        <f t="shared" si="16"/>
        <v>0</v>
      </c>
      <c r="G56" s="39">
        <f t="shared" si="16"/>
        <v>0</v>
      </c>
      <c r="H56" s="61">
        <f t="shared" si="16"/>
        <v>-9443043</v>
      </c>
      <c r="I56" s="39">
        <f t="shared" si="16"/>
        <v>-372692.49</v>
      </c>
      <c r="J56" s="61">
        <f t="shared" ref="J56:AO56" si="17">SUM(J54:J55)</f>
        <v>-9162445</v>
      </c>
      <c r="K56" s="39">
        <f t="shared" si="17"/>
        <v>-138383.37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-546.73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-546.73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-546.73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-546.73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'TIE-OUT'!V70+RECLASS!T70</f>
        <v>0</v>
      </c>
      <c r="G70" s="68">
        <f>'TIE-OUT'!W70+RECLASS!U70</f>
        <v>-8691498.1899999995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'TIE-OUT'!V71+RECLASS!T71</f>
        <v>0</v>
      </c>
      <c r="G71" s="82">
        <f>'TIE-OUT'!W71+RECLASS!U71</f>
        <v>7489614.6200000001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-1201883.5699999994</v>
      </c>
      <c r="F72" s="61">
        <f t="shared" si="22"/>
        <v>0</v>
      </c>
      <c r="G72" s="39">
        <f t="shared" si="22"/>
        <v>-1201883.5699999994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-63468.65</v>
      </c>
      <c r="F74" s="60">
        <f>'TIE-OUT'!V74+RECLASS!T74</f>
        <v>0</v>
      </c>
      <c r="G74" s="60">
        <f>'TIE-OUT'!W74+RECLASS!U74</f>
        <v>-63468.65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</v>
      </c>
      <c r="F75" s="60">
        <f>'TIE-OUT'!V75+RECLASS!T75</f>
        <v>0</v>
      </c>
      <c r="G75" s="60">
        <f>'TIE-OUT'!W75+RECLASS!U75</f>
        <v>2600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-2726.01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-1075</v>
      </c>
      <c r="J76" s="118">
        <f>+Actuals!G478</f>
        <v>0</v>
      </c>
      <c r="K76" s="119">
        <f>+Actuals!H478</f>
        <v>-1651.01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-1213673.3599999971</v>
      </c>
      <c r="F82" s="91">
        <f>F16+F24+F29+F36+F43+F45+F47+F49</f>
        <v>0</v>
      </c>
      <c r="G82" s="92">
        <f>SUM(G72:G81)+G16+G24+G29+G36+G43+G45+G47+G49+G51+G56+G61+G66</f>
        <v>-2708165.9099999992</v>
      </c>
      <c r="H82" s="91">
        <f>H16+H24+H29+H36+H43+H45+H47+H49</f>
        <v>0</v>
      </c>
      <c r="I82" s="92">
        <f>SUM(I72:I81)+I16+I24+I29+I36+I43+I45+I47+I49+I51+I56+I61+I66</f>
        <v>4031762.54</v>
      </c>
      <c r="J82" s="91">
        <f>J16+J24+J29+J36+J43+J45+J47+J49</f>
        <v>0</v>
      </c>
      <c r="K82" s="140">
        <f>SUM(K72:K81)+K16+K24+K29+K36+K43+K45+K47+K49+K51+K56+K61+K66</f>
        <v>-2537269.9900000007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409408.67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409408.67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409408.67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409408.67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-804264.68999999715</v>
      </c>
      <c r="F91" s="155">
        <f t="shared" si="29"/>
        <v>0</v>
      </c>
      <c r="G91" s="155">
        <f t="shared" si="29"/>
        <v>-2708165.9099999992</v>
      </c>
      <c r="H91" s="155">
        <f t="shared" si="29"/>
        <v>0</v>
      </c>
      <c r="I91" s="155">
        <f t="shared" si="29"/>
        <v>4031762.54</v>
      </c>
      <c r="J91" s="155">
        <f t="shared" si="29"/>
        <v>0</v>
      </c>
      <c r="K91" s="155">
        <f t="shared" si="29"/>
        <v>-2127861.3200000008</v>
      </c>
      <c r="L91" s="155">
        <f t="shared" si="29"/>
        <v>0</v>
      </c>
      <c r="M91" s="155">
        <f t="shared" si="29"/>
        <v>0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G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135076</v>
      </c>
      <c r="E11" s="38">
        <f>SUM(G11,I11,K11,M11,O11,Q11,S11,U11,W11,Y11,AA11,AC11,AE11)</f>
        <v>354034.19999999995</v>
      </c>
      <c r="F11" s="60">
        <f>'TIE-OUT'!T11+RECLASS!R11</f>
        <v>0</v>
      </c>
      <c r="G11" s="38">
        <f>'TIE-OUT'!U11+RECLASS!S11</f>
        <v>0</v>
      </c>
      <c r="H11" s="118">
        <f>+Actuals!E4</f>
        <v>134382</v>
      </c>
      <c r="I11" s="119">
        <f>+Actuals!F4</f>
        <v>352215.22</v>
      </c>
      <c r="J11" s="118">
        <f>+Actuals!G4</f>
        <v>694</v>
      </c>
      <c r="K11" s="119">
        <f>+Actuals!H4</f>
        <v>1818.98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135076</v>
      </c>
      <c r="E16" s="39">
        <f t="shared" si="1"/>
        <v>351132.6</v>
      </c>
      <c r="F16" s="61">
        <f t="shared" si="1"/>
        <v>0</v>
      </c>
      <c r="G16" s="39">
        <f t="shared" si="1"/>
        <v>-2901.6</v>
      </c>
      <c r="H16" s="61">
        <f t="shared" si="1"/>
        <v>134382</v>
      </c>
      <c r="I16" s="39">
        <f t="shared" si="1"/>
        <v>352215.22</v>
      </c>
      <c r="J16" s="61">
        <f t="shared" si="1"/>
        <v>694</v>
      </c>
      <c r="K16" s="39">
        <f t="shared" si="1"/>
        <v>1818.98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-248769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+Actuals!F9-248769</f>
        <v>-248769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-248769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-248769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-135076</v>
      </c>
      <c r="E28" s="38">
        <f>SUM(G28,I28,K28,M28,O28,Q28,S28,U28,W28,Y28,AA28,AC28,AE28)</f>
        <v>-351197.60000000003</v>
      </c>
      <c r="F28" s="81">
        <f>'TIE-OUT'!T28+RECLASS!R28</f>
        <v>0</v>
      </c>
      <c r="G28" s="82">
        <f>'TIE-OUT'!U28+RECLASS!S28</f>
        <v>0</v>
      </c>
      <c r="H28" s="118">
        <f>+Actuals!E15</f>
        <v>-134382</v>
      </c>
      <c r="I28" s="119">
        <f>+Actuals!F15</f>
        <v>-349393.2</v>
      </c>
      <c r="J28" s="118">
        <f>+Actuals!G15</f>
        <v>-694</v>
      </c>
      <c r="K28" s="119">
        <f>+Actuals!H15</f>
        <v>-1804.4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-135076</v>
      </c>
      <c r="E29" s="39">
        <f t="shared" si="4"/>
        <v>-351197.60000000003</v>
      </c>
      <c r="F29" s="61">
        <f t="shared" si="4"/>
        <v>0</v>
      </c>
      <c r="G29" s="39">
        <f t="shared" si="4"/>
        <v>0</v>
      </c>
      <c r="H29" s="61">
        <f t="shared" si="4"/>
        <v>-134382</v>
      </c>
      <c r="I29" s="39">
        <f t="shared" si="4"/>
        <v>-349393.2</v>
      </c>
      <c r="J29" s="61">
        <f t="shared" si="4"/>
        <v>-694</v>
      </c>
      <c r="K29" s="39">
        <f t="shared" si="4"/>
        <v>-1804.4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-248834.00000000006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-245946.98000000004</v>
      </c>
      <c r="J82" s="91">
        <f>J16+J24+J29+J36+J43+J45+J47+J49</f>
        <v>0</v>
      </c>
      <c r="K82" s="110">
        <f>SUM(K72:K81)+K16+K24+K29+K36+K43+K45+K47+K49+K51+K56+K61+K66</f>
        <v>14.579999999999927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I69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3" width="10.3320312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44563002</v>
      </c>
      <c r="E11" s="38">
        <f>SUM(G11,I11,K11,M11,O11,Q11,S11,U11,W11,Y11,AA11,AC11,AE11)</f>
        <v>115067617</v>
      </c>
      <c r="F11" s="60">
        <f>'TIE-OUT'!X11+RECLASS!V11</f>
        <v>0</v>
      </c>
      <c r="G11" s="38">
        <f>'TIE-OUT'!Y11+RECLASS!W11</f>
        <v>0</v>
      </c>
      <c r="H11" s="118">
        <v>45084225</v>
      </c>
      <c r="I11" s="118">
        <v>111681555</v>
      </c>
      <c r="J11" s="118">
        <v>-521223</v>
      </c>
      <c r="K11" s="119">
        <v>3386062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-289230.28000000003</v>
      </c>
      <c r="F12" s="60">
        <f>'TIE-OUT'!X12+RECLASS!V12</f>
        <v>0</v>
      </c>
      <c r="G12" s="38">
        <f>'TIE-OUT'!Y12+RECLASS!W12</f>
        <v>-289230.28000000003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44563002</v>
      </c>
      <c r="E16" s="39">
        <f t="shared" si="1"/>
        <v>114778386.72</v>
      </c>
      <c r="F16" s="61">
        <f t="shared" si="1"/>
        <v>0</v>
      </c>
      <c r="G16" s="39">
        <f t="shared" si="1"/>
        <v>-289230.28000000003</v>
      </c>
      <c r="H16" s="61">
        <f t="shared" si="1"/>
        <v>45084225</v>
      </c>
      <c r="I16" s="61">
        <f t="shared" si="1"/>
        <v>111681555</v>
      </c>
      <c r="J16" s="61">
        <f t="shared" si="1"/>
        <v>-521223</v>
      </c>
      <c r="K16" s="39">
        <f t="shared" si="1"/>
        <v>3386062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-61360160</v>
      </c>
      <c r="E19" s="38">
        <f t="shared" si="2"/>
        <v>-155163168</v>
      </c>
      <c r="F19" s="64">
        <f>'TIE-OUT'!X19+RECLASS!V19</f>
        <v>0</v>
      </c>
      <c r="G19" s="68">
        <f>'TIE-OUT'!Y19+RECLASS!W19</f>
        <v>0</v>
      </c>
      <c r="H19" s="118">
        <v>-60424070</v>
      </c>
      <c r="I19" s="118">
        <v>-153125367</v>
      </c>
      <c r="J19" s="118">
        <v>-936090</v>
      </c>
      <c r="K19" s="119">
        <v>-2037801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-714575.09</v>
      </c>
      <c r="F20" s="60">
        <f>'TIE-OUT'!X20+RECLASS!V20</f>
        <v>0</v>
      </c>
      <c r="G20" s="38">
        <f>'TIE-OUT'!Y20+RECLASS!W20</f>
        <v>-714575.09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-61360160</v>
      </c>
      <c r="E24" s="39">
        <f t="shared" si="3"/>
        <v>-155877743.09</v>
      </c>
      <c r="F24" s="61">
        <f t="shared" si="3"/>
        <v>0</v>
      </c>
      <c r="G24" s="39">
        <f t="shared" si="3"/>
        <v>-714575.09</v>
      </c>
      <c r="H24" s="61">
        <f t="shared" si="3"/>
        <v>-60424070</v>
      </c>
      <c r="I24" s="61">
        <f t="shared" si="3"/>
        <v>-153125367</v>
      </c>
      <c r="J24" s="61">
        <f t="shared" si="3"/>
        <v>-936090</v>
      </c>
      <c r="K24" s="39">
        <f t="shared" si="3"/>
        <v>-2037801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19678389</v>
      </c>
      <c r="E27" s="38">
        <f>SUM(G27,I27,K27,M27,O27,Q27,S27,U27,W27,Y27,AA27,AC27,AE27)</f>
        <v>55045940</v>
      </c>
      <c r="F27" s="64">
        <f>'TIE-OUT'!X27+RECLASS!V27</f>
        <v>0</v>
      </c>
      <c r="G27" s="68">
        <f>'TIE-OUT'!Y27+RECLASS!W27</f>
        <v>0</v>
      </c>
      <c r="H27" s="118">
        <f>10927259+138722</f>
        <v>11065981</v>
      </c>
      <c r="I27" s="118">
        <f>30593434+359290</f>
        <v>30952724</v>
      </c>
      <c r="J27" s="118">
        <f>8616054-3646</f>
        <v>8612408</v>
      </c>
      <c r="K27" s="119">
        <f>24101308-8092</f>
        <v>24093216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-12499515</v>
      </c>
      <c r="E28" s="38">
        <f>SUM(G28,I28,K28,M28,O28,Q28,S28,U28,W28,Y28,AA28,AC28,AE28)</f>
        <v>-34817790</v>
      </c>
      <c r="F28" s="81">
        <f>'TIE-OUT'!X28+RECLASS!V28</f>
        <v>0</v>
      </c>
      <c r="G28" s="82">
        <f>'TIE-OUT'!Y28+RECLASS!W28</f>
        <v>0</v>
      </c>
      <c r="H28" s="118">
        <v>-11821524</v>
      </c>
      <c r="I28" s="118">
        <v>-32918497</v>
      </c>
      <c r="J28" s="118">
        <v>-677991</v>
      </c>
      <c r="K28" s="119">
        <v>-1899293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7178874</v>
      </c>
      <c r="E29" s="39">
        <f t="shared" si="4"/>
        <v>20228150</v>
      </c>
      <c r="F29" s="61">
        <f t="shared" si="4"/>
        <v>0</v>
      </c>
      <c r="G29" s="39">
        <f t="shared" si="4"/>
        <v>0</v>
      </c>
      <c r="H29" s="61">
        <f t="shared" si="4"/>
        <v>-755543</v>
      </c>
      <c r="I29" s="61">
        <f t="shared" si="4"/>
        <v>-1965773</v>
      </c>
      <c r="J29" s="61">
        <f t="shared" si="4"/>
        <v>7934417</v>
      </c>
      <c r="K29" s="39">
        <f t="shared" si="4"/>
        <v>22193923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448185</v>
      </c>
      <c r="E32" s="38">
        <f t="shared" si="5"/>
        <v>1138390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448185</v>
      </c>
      <c r="K32" s="119">
        <v>1138390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448185</v>
      </c>
      <c r="E36" s="39">
        <f t="shared" si="6"/>
        <v>1138390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448185</v>
      </c>
      <c r="K36" s="39">
        <f t="shared" si="6"/>
        <v>1138390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9497858</v>
      </c>
      <c r="E39" s="38">
        <f t="shared" si="7"/>
        <v>24743820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9497858</v>
      </c>
      <c r="K39" s="119">
        <v>24743820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9497858</v>
      </c>
      <c r="E43" s="39">
        <f t="shared" si="9"/>
        <v>24743820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61">
        <f t="shared" si="9"/>
        <v>0</v>
      </c>
      <c r="J43" s="61">
        <f t="shared" si="9"/>
        <v>9497858</v>
      </c>
      <c r="K43" s="39">
        <f t="shared" si="9"/>
        <v>24743820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-327759</v>
      </c>
      <c r="E49" s="38">
        <f>SUM(G49,I49,K49,M49,O49,Q49,S49,U49,W49,Y49,AA49,AC49,AE49)</f>
        <v>-832507</v>
      </c>
      <c r="F49" s="60">
        <f>'TIE-OUT'!X49+RECLASS!V49</f>
        <v>0</v>
      </c>
      <c r="G49" s="38">
        <f>'TIE-OUT'!Y49+RECLASS!W49</f>
        <v>0</v>
      </c>
      <c r="H49" s="118">
        <v>16095388</v>
      </c>
      <c r="I49" s="118">
        <v>40882286</v>
      </c>
      <c r="J49" s="118">
        <v>-16423147</v>
      </c>
      <c r="K49" s="119">
        <v>-41714793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-1465893</v>
      </c>
      <c r="F54" s="64">
        <f>'TIE-OUT'!X54+RECLASS!V54</f>
        <v>0</v>
      </c>
      <c r="G54" s="68">
        <f>'TIE-OUT'!Y54+RECLASS!W54</f>
        <v>-1293893</v>
      </c>
      <c r="H54" s="118">
        <v>0</v>
      </c>
      <c r="I54" s="118">
        <v>0</v>
      </c>
      <c r="J54" s="118">
        <v>0</v>
      </c>
      <c r="K54" s="215">
        <v>-172000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-1465893</v>
      </c>
      <c r="F56" s="61">
        <f t="shared" si="10"/>
        <v>0</v>
      </c>
      <c r="G56" s="39">
        <f t="shared" si="10"/>
        <v>-1293893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-172000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50000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50000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-937682.58999999985</v>
      </c>
      <c r="F74" s="60">
        <f>'TIE-OUT'!X74+RECLASS!V74</f>
        <v>0</v>
      </c>
      <c r="G74" s="60">
        <f>'TIE-OUT'!Y74+RECLASS!W74</f>
        <v>6332577.4100000001</v>
      </c>
      <c r="H74" s="118">
        <v>0</v>
      </c>
      <c r="I74" s="118">
        <v>0</v>
      </c>
      <c r="J74" s="118">
        <v>0</v>
      </c>
      <c r="K74" s="215">
        <f>-698-4761944-2007691-499927</f>
        <v>-7270260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-158829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-158829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1666092.0399999917</v>
      </c>
      <c r="F82" s="91">
        <f>F16+F24+F29+F36+F43+F45+F47+F49</f>
        <v>0</v>
      </c>
      <c r="G82" s="92">
        <f>SUM(G72:G81)+G16+G24+G29+G36+G43+G45+G47+G49+G51+G56+G61+G66</f>
        <v>4034879.04</v>
      </c>
      <c r="H82" s="91">
        <f>H16+H24+H29+H36+H43+H45+H47+H49</f>
        <v>0</v>
      </c>
      <c r="I82" s="92">
        <f>SUM(I72:I81)+I16+I24+I29+I36+I43+I45+I47+I49+I51+I56+I61+I66</f>
        <v>-2636128</v>
      </c>
      <c r="J82" s="91">
        <f>J16+J24+J29+J36+J43+J45+J47+J49</f>
        <v>0</v>
      </c>
      <c r="K82" s="110">
        <f>SUM(K72:K81)+K16+K24+K29+K36+K43+K45+K47+K49+K51+K56+K61+K66</f>
        <v>267341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170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1446999.6300000001</v>
      </c>
      <c r="F86" s="145">
        <f>'TIE-OUT'!X86+RECLASS!V86</f>
        <v>0</v>
      </c>
      <c r="G86" s="146">
        <f>'TIE-OUT'!Y86+RECLASS!W86</f>
        <v>106137.63000000008</v>
      </c>
      <c r="H86" s="145">
        <v>0</v>
      </c>
      <c r="I86" s="145">
        <v>0</v>
      </c>
      <c r="J86" s="145">
        <v>0</v>
      </c>
      <c r="K86" s="145">
        <v>1340862</v>
      </c>
      <c r="L86" s="145">
        <v>0</v>
      </c>
      <c r="M86" s="145">
        <v>0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'TIE-OUT'!X88+RECLASS!V88</f>
        <v>0</v>
      </c>
      <c r="G88" s="147">
        <f>'TIE-OUT'!Y88+RECLASS!W88</f>
        <v>-1455000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-8000.3699999998789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1340862</v>
      </c>
      <c r="L89" s="155">
        <f>SUM(L86:L88)</f>
        <v>0</v>
      </c>
      <c r="M89" s="155">
        <f>SUM(M86:M88)</f>
        <v>0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1658091.6699999918</v>
      </c>
      <c r="F91" s="155">
        <f t="shared" si="17"/>
        <v>0</v>
      </c>
      <c r="G91" s="155">
        <f t="shared" si="17"/>
        <v>2686016.67</v>
      </c>
      <c r="H91" s="155">
        <f t="shared" si="17"/>
        <v>0</v>
      </c>
      <c r="I91" s="155">
        <f t="shared" si="17"/>
        <v>-2636128</v>
      </c>
      <c r="J91" s="155">
        <f t="shared" si="17"/>
        <v>0</v>
      </c>
      <c r="K91" s="155">
        <f t="shared" si="17"/>
        <v>1608203</v>
      </c>
      <c r="L91" s="155">
        <f>+L82+L89</f>
        <v>0</v>
      </c>
      <c r="M91" s="155">
        <f>+M82+M89</f>
        <v>0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58552519</v>
      </c>
      <c r="E11" s="38">
        <f>SUM(G11,I11,K11,M11,O11,Q11,S11,U11,W11,Y11,AA11,AC11,AE11)</f>
        <v>153217103.52000001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59313020</v>
      </c>
      <c r="I11" s="38">
        <f>'TX-EGM-GL'!I11+'TX-HPLR-GL '!I11+'TX-HPLC-GL'!I11</f>
        <v>150623858.90000001</v>
      </c>
      <c r="J11" s="60">
        <f>'TX-EGM-GL'!J11+'TX-HPLR-GL '!J11+'TX-HPLC-GL'!J11</f>
        <v>-760501</v>
      </c>
      <c r="K11" s="38">
        <f>'TX-EGM-GL'!K11+'TX-HPLR-GL '!K11+'TX-HPLC-GL'!K11</f>
        <v>2593244.62</v>
      </c>
      <c r="L11" s="60">
        <f>'TX-EGM-GL'!L11+'TX-HPLR-GL '!L11+'TX-HPLC-GL'!L11</f>
        <v>0</v>
      </c>
      <c r="M11" s="38">
        <f>'TX-EGM-GL'!M11+'TX-HPLR-GL '!M11+'TX-HPLC-GL'!M11</f>
        <v>0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-3479004.9400000004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-3479004.9400000004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429232</v>
      </c>
      <c r="I13" s="38">
        <f>'TX-EGM-GL'!I13+'TX-HPLR-GL '!I13+'TX-HPLC-GL'!I13</f>
        <v>1157267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1875810</v>
      </c>
      <c r="J15" s="60">
        <f>'TX-EGM-GL'!J15+'TX-HPLR-GL '!J15+'TX-HPLC-GL'!J15</f>
        <v>0</v>
      </c>
      <c r="K15" s="38">
        <f>'TX-EGM-GL'!K15+'TX-HPLR-GL '!K15+'TX-HPLC-GL'!K15</f>
        <v>465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58981751</v>
      </c>
      <c r="E16" s="39">
        <f t="shared" si="1"/>
        <v>152771640.58000001</v>
      </c>
      <c r="F16" s="61">
        <f t="shared" si="1"/>
        <v>0</v>
      </c>
      <c r="G16" s="39">
        <f t="shared" si="1"/>
        <v>-3479004.9400000004</v>
      </c>
      <c r="H16" s="61">
        <f t="shared" si="1"/>
        <v>59742252</v>
      </c>
      <c r="I16" s="39">
        <f t="shared" si="1"/>
        <v>153656935.90000001</v>
      </c>
      <c r="J16" s="61">
        <f t="shared" si="1"/>
        <v>-760501</v>
      </c>
      <c r="K16" s="39">
        <f t="shared" si="1"/>
        <v>2593709.62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-66055291</v>
      </c>
      <c r="E19" s="38">
        <f t="shared" si="2"/>
        <v>-167390965.94999999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-64988630</v>
      </c>
      <c r="I19" s="38">
        <f>'TX-EGM-GL'!I19+'TX-HPLR-GL '!I19+'TX-HPLC-GL'!I19</f>
        <v>-165017755.66</v>
      </c>
      <c r="J19" s="60">
        <f>'TX-EGM-GL'!J19+'TX-HPLR-GL '!J19+'TX-HPLC-GL'!J19</f>
        <v>-1066661</v>
      </c>
      <c r="K19" s="38">
        <f>'TX-EGM-GL'!K19+'TX-HPLR-GL '!K19+'TX-HPLC-GL'!K19</f>
        <v>-2373210.29</v>
      </c>
      <c r="L19" s="60">
        <f>'TX-EGM-GL'!L19+'TX-HPLR-GL '!L19+'TX-HPLC-GL'!L19</f>
        <v>0</v>
      </c>
      <c r="M19" s="38">
        <f>'TX-EGM-GL'!M19+'TX-HPLR-GL '!M19+'TX-HPLC-GL'!M19</f>
        <v>0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1026884.2800000001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1026884.2800000001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-21000</v>
      </c>
      <c r="E21" s="38">
        <f t="shared" si="2"/>
        <v>-55982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-19000</v>
      </c>
      <c r="I21" s="38">
        <f>'TX-EGM-GL'!I21+'TX-HPLR-GL '!I21+'TX-HPLC-GL'!I21</f>
        <v>-50650</v>
      </c>
      <c r="J21" s="60">
        <f>'TX-EGM-GL'!J21+'TX-HPLR-GL '!J21+'TX-HPLC-GL'!J21</f>
        <v>-2000</v>
      </c>
      <c r="K21" s="38">
        <f>'TX-EGM-GL'!K21+'TX-HPLR-GL '!K21+'TX-HPLC-GL'!K21</f>
        <v>-5332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19392</v>
      </c>
      <c r="E23" s="38">
        <f t="shared" si="2"/>
        <v>49255.679999999993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15521</v>
      </c>
      <c r="I23" s="38">
        <f>'TX-EGM-GL'!I23+'TX-HPLR-GL '!I23+'TX-HPLC-GL'!I23</f>
        <v>39423.339999999997</v>
      </c>
      <c r="J23" s="60">
        <f>'TX-EGM-GL'!J23+'TX-HPLR-GL '!J23+'TX-HPLC-GL'!J23</f>
        <v>3871</v>
      </c>
      <c r="K23" s="38">
        <f>'TX-EGM-GL'!K23+'TX-HPLR-GL '!K23+'TX-HPLC-GL'!K23</f>
        <v>9832.34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-66056899</v>
      </c>
      <c r="E24" s="39">
        <f t="shared" si="3"/>
        <v>-166370807.98999998</v>
      </c>
      <c r="F24" s="61">
        <f t="shared" si="3"/>
        <v>0</v>
      </c>
      <c r="G24" s="39">
        <f t="shared" si="3"/>
        <v>1026884.2800000001</v>
      </c>
      <c r="H24" s="61">
        <f t="shared" si="3"/>
        <v>-64992109</v>
      </c>
      <c r="I24" s="39">
        <f t="shared" si="3"/>
        <v>-165028982.31999999</v>
      </c>
      <c r="J24" s="61">
        <f t="shared" si="3"/>
        <v>-1064790</v>
      </c>
      <c r="K24" s="39">
        <f t="shared" si="3"/>
        <v>-2368709.9500000002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29489812</v>
      </c>
      <c r="E27" s="38">
        <f>SUM(G27,I27,K27,M27,O27,Q27,S27,U27,W27,Y27,AA27,AC27,AE27)</f>
        <v>82559528.5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20297210</v>
      </c>
      <c r="I27" s="38">
        <f>'TX-EGM-GL'!I27+'TX-HPLR-GL '!I27+'TX-HPLC-GL'!I27</f>
        <v>56849938.210000001</v>
      </c>
      <c r="J27" s="60">
        <f>'TX-EGM-GL'!J27+'TX-HPLR-GL '!J27+'TX-HPLC-GL'!J27</f>
        <v>9192602</v>
      </c>
      <c r="K27" s="38">
        <f>'TX-EGM-GL'!K27+'TX-HPLR-GL '!K27+'TX-HPLC-GL'!K27</f>
        <v>25709590.289999999</v>
      </c>
      <c r="L27" s="60">
        <f>'TX-EGM-GL'!L27+'TX-HPLR-GL '!L27+'TX-HPLC-GL'!L27</f>
        <v>0</v>
      </c>
      <c r="M27" s="38">
        <f>'TX-EGM-GL'!M27+'TX-HPLR-GL '!M27+'TX-HPLC-GL'!M27</f>
        <v>0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-31762380</v>
      </c>
      <c r="E28" s="38">
        <f>SUM(G28,I28,K28,M28,O28,Q28,S28,U28,W28,Y28,AA28,AC28,AE28)</f>
        <v>-88780475.599999994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-22163981</v>
      </c>
      <c r="I28" s="38">
        <f>'TX-EGM-GL'!I28+'TX-HPLR-GL '!I28+'TX-HPLC-GL'!I28</f>
        <v>-61882420</v>
      </c>
      <c r="J28" s="60">
        <f>'TX-EGM-GL'!J28+'TX-HPLR-GL '!J28+'TX-HPLC-GL'!J28</f>
        <v>-9598399</v>
      </c>
      <c r="K28" s="38">
        <f>'TX-EGM-GL'!K28+'TX-HPLR-GL '!K28+'TX-HPLC-GL'!K28</f>
        <v>-26898055.599999998</v>
      </c>
      <c r="L28" s="60">
        <f>'TX-EGM-GL'!L28+'TX-HPLR-GL '!L28+'TX-HPLC-GL'!L28</f>
        <v>0</v>
      </c>
      <c r="M28" s="38">
        <f>'TX-EGM-GL'!M28+'TX-HPLR-GL '!M28+'TX-HPLC-GL'!M28</f>
        <v>0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-2272568</v>
      </c>
      <c r="E29" s="39">
        <f t="shared" si="4"/>
        <v>-6220947.099999994</v>
      </c>
      <c r="F29" s="61">
        <f t="shared" si="4"/>
        <v>0</v>
      </c>
      <c r="G29" s="39">
        <f t="shared" si="4"/>
        <v>0</v>
      </c>
      <c r="H29" s="61">
        <f t="shared" si="4"/>
        <v>-1866771</v>
      </c>
      <c r="I29" s="39">
        <f t="shared" si="4"/>
        <v>-5032481.7899999991</v>
      </c>
      <c r="J29" s="61">
        <f t="shared" si="4"/>
        <v>-405797</v>
      </c>
      <c r="K29" s="39">
        <f t="shared" si="4"/>
        <v>-1188465.3099999987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213289</v>
      </c>
      <c r="E32" s="38">
        <f t="shared" si="5"/>
        <v>541754.16000000015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-8940288</v>
      </c>
      <c r="I32" s="38">
        <f>'TX-EGM-GL'!I32+'TX-HPLR-GL '!I32+'TX-HPLC-GL'!I32</f>
        <v>-22708331.52</v>
      </c>
      <c r="J32" s="60">
        <f>'TX-EGM-GL'!J32+'TX-HPLR-GL '!J32+'TX-HPLC-GL'!J32</f>
        <v>9153577</v>
      </c>
      <c r="K32" s="38">
        <f>'TX-EGM-GL'!K32+'TX-HPLR-GL '!K32+'TX-HPLC-GL'!K32</f>
        <v>23250085.68</v>
      </c>
      <c r="L32" s="60">
        <f>'TX-EGM-GL'!L32+'TX-HPLR-GL '!L32+'TX-HPLC-GL'!L32</f>
        <v>0</v>
      </c>
      <c r="M32" s="38">
        <f>'TX-EGM-GL'!M32+'TX-HPLR-GL '!M32+'TX-HPLC-GL'!M32</f>
        <v>0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213289</v>
      </c>
      <c r="E36" s="39">
        <f t="shared" si="6"/>
        <v>541754.16000000015</v>
      </c>
      <c r="F36" s="61">
        <f t="shared" si="6"/>
        <v>0</v>
      </c>
      <c r="G36" s="39">
        <f t="shared" si="6"/>
        <v>0</v>
      </c>
      <c r="H36" s="61">
        <f t="shared" si="6"/>
        <v>-8940288</v>
      </c>
      <c r="I36" s="39">
        <f t="shared" si="6"/>
        <v>-22708331.52</v>
      </c>
      <c r="J36" s="61">
        <f t="shared" si="6"/>
        <v>9153577</v>
      </c>
      <c r="K36" s="39">
        <f t="shared" si="6"/>
        <v>23250085.68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9669411</v>
      </c>
      <c r="E39" s="38">
        <f t="shared" si="7"/>
        <v>25179564.620000001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173286</v>
      </c>
      <c r="I39" s="38">
        <f>'TX-EGM-GL'!I39+'TX-HPLR-GL '!I39+'TX-HPLC-GL'!I39</f>
        <v>440146.44</v>
      </c>
      <c r="J39" s="60">
        <f>'TX-EGM-GL'!J39+'TX-HPLR-GL '!J39+'TX-HPLC-GL'!J39</f>
        <v>9496125</v>
      </c>
      <c r="K39" s="38">
        <f>'TX-EGM-GL'!K39+'TX-HPLR-GL '!K39+'TX-HPLC-GL'!K39</f>
        <v>24739418.18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9669411</v>
      </c>
      <c r="E43" s="39">
        <f t="shared" si="9"/>
        <v>25179564.620000001</v>
      </c>
      <c r="F43" s="61">
        <f t="shared" si="9"/>
        <v>0</v>
      </c>
      <c r="G43" s="39">
        <f t="shared" si="9"/>
        <v>0</v>
      </c>
      <c r="H43" s="61">
        <f t="shared" si="9"/>
        <v>173286</v>
      </c>
      <c r="I43" s="39">
        <f t="shared" si="9"/>
        <v>440146.44</v>
      </c>
      <c r="J43" s="61">
        <f t="shared" si="9"/>
        <v>9496125</v>
      </c>
      <c r="K43" s="39">
        <f t="shared" si="9"/>
        <v>24739418.18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-534984</v>
      </c>
      <c r="E49" s="38">
        <f>SUM(G49,I49,K49,M49,O49,Q49,S49,U49,W49,Y49,AA49,AC49,AE49)</f>
        <v>-1358858.5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15883630</v>
      </c>
      <c r="I49" s="38">
        <f>'TX-EGM-GL'!I49+'TX-HPLR-GL '!I49+'TX-HPLC-GL'!I49</f>
        <v>40344420.68</v>
      </c>
      <c r="J49" s="60">
        <f>'TX-EGM-GL'!J49+'TX-HPLR-GL '!J49+'TX-HPLC-GL'!J49</f>
        <v>-16418614</v>
      </c>
      <c r="K49" s="38">
        <f>'TX-EGM-GL'!K49+'TX-HPLR-GL '!K49+'TX-HPLC-GL'!K49</f>
        <v>-41703279.18</v>
      </c>
      <c r="L49" s="60">
        <f>'TX-EGM-GL'!L49+'TX-HPLR-GL '!L49+'TX-HPLC-GL'!L49</f>
        <v>0</v>
      </c>
      <c r="M49" s="38">
        <f>'TX-EGM-GL'!M49+'TX-HPLR-GL '!M49+'TX-HPLC-GL'!M49</f>
        <v>0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-15521</v>
      </c>
      <c r="I51" s="38">
        <f>'TX-EGM-GL'!I51+'TX-HPLR-GL '!I51+'TX-HPLC-GL'!I51</f>
        <v>-39423.339999999997</v>
      </c>
      <c r="J51" s="60">
        <f>'TX-EGM-GL'!J51+'TX-HPLR-GL '!J51+'TX-HPLC-GL'!J51</f>
        <v>-3871</v>
      </c>
      <c r="K51" s="38">
        <f>'TX-EGM-GL'!K51+'TX-HPLR-GL '!K51+'TX-HPLC-GL'!K51</f>
        <v>-9832.34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-1802668.8599999999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-1293893</v>
      </c>
      <c r="H54" s="60">
        <f>'TX-EGM-GL'!H54+'TX-HPLR-GL '!H54+'TX-HPLC-GL'!H54</f>
        <v>-9443043</v>
      </c>
      <c r="I54" s="38">
        <f>'TX-EGM-GL'!I54+'TX-HPLR-GL '!I54+'TX-HPLC-GL'!I54</f>
        <v>-206392.49</v>
      </c>
      <c r="J54" s="60">
        <f>'TX-EGM-GL'!J54+'TX-HPLR-GL '!J54+'TX-HPLC-GL'!J54</f>
        <v>-9162445</v>
      </c>
      <c r="K54" s="38">
        <f>'TX-EGM-GL'!K54+'TX-HPLR-GL '!K54+'TX-HPLC-GL'!K54</f>
        <v>-302383.37</v>
      </c>
      <c r="L54" s="60">
        <f>'TX-EGM-GL'!L54+'TX-HPLR-GL '!L54+'TX-HPLC-GL'!L54</f>
        <v>0</v>
      </c>
      <c r="M54" s="38">
        <f>'TX-EGM-GL'!M54+'TX-HPLR-GL '!M54+'TX-HPLC-GL'!M54</f>
        <v>0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-166300</v>
      </c>
      <c r="J55" s="60">
        <f>'TX-EGM-GL'!J55+'TX-HPLR-GL '!J55+'TX-HPLC-GL'!J55</f>
        <v>0</v>
      </c>
      <c r="K55" s="38">
        <f>'TX-EGM-GL'!K55+'TX-HPLR-GL '!K55+'TX-HPLC-GL'!K55</f>
        <v>-8000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-18605488</v>
      </c>
      <c r="E56" s="39">
        <f t="shared" si="10"/>
        <v>-1976968.8599999999</v>
      </c>
      <c r="F56" s="61">
        <f t="shared" si="10"/>
        <v>0</v>
      </c>
      <c r="G56" s="39">
        <f t="shared" si="10"/>
        <v>-1293893</v>
      </c>
      <c r="H56" s="61">
        <f t="shared" si="10"/>
        <v>-9443043</v>
      </c>
      <c r="I56" s="39">
        <f t="shared" si="10"/>
        <v>-372692.49</v>
      </c>
      <c r="J56" s="61">
        <f t="shared" si="10"/>
        <v>-9162445</v>
      </c>
      <c r="K56" s="39">
        <f t="shared" si="10"/>
        <v>-310383.37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49453.27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50000</v>
      </c>
      <c r="J64" s="60">
        <f>'TX-EGM-GL'!J64+'TX-HPLR-GL '!J64+'TX-HPLC-GL'!J64</f>
        <v>0</v>
      </c>
      <c r="K64" s="38">
        <f>'TX-EGM-GL'!K64+'TX-HPLR-GL '!K64+'TX-HPLC-GL'!K64</f>
        <v>-546.73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49453.27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-546.73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-8691498.1899999995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7489614.6200000001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-1201883.5699999994</v>
      </c>
      <c r="F72" s="61">
        <f t="shared" si="13"/>
        <v>0</v>
      </c>
      <c r="G72" s="39">
        <f t="shared" si="13"/>
        <v>-1201883.5699999994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-1001151.2400000002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6269108.7599999998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-7270260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2600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2600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-2726.01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-1075</v>
      </c>
      <c r="J76" s="60">
        <f>'TX-EGM-GL'!J76+'TX-HPLR-GL '!J76+'TX-HPLC-GL'!J76</f>
        <v>0</v>
      </c>
      <c r="K76" s="38">
        <f>'TX-EGM-GL'!K76+'TX-HPLR-GL '!K76+'TX-HPLC-GL'!K76</f>
        <v>-1651.01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-158829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-158829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203584.68000004764</v>
      </c>
      <c r="F82" s="91">
        <f>F16+F24+F29+F36+F43+F45+F47+F49</f>
        <v>0</v>
      </c>
      <c r="G82" s="92">
        <f>SUM(G72:G81)+G16+G24+G29+G36+G43+G45+G47+G49+G51+G56+G61+G66</f>
        <v>1323811.5300000003</v>
      </c>
      <c r="H82" s="91">
        <f>H16+H24+H29+H36+H43+H45+H47+H49</f>
        <v>0</v>
      </c>
      <c r="I82" s="92">
        <f>SUM(I72:I81)+I16+I24+I29+I36+I43+I45+I47+I49+I51+I56+I61+I66</f>
        <v>1149687.560000008</v>
      </c>
      <c r="J82" s="91">
        <f>J16+J24+J29+J36+J43+J45+J47+J49</f>
        <v>0</v>
      </c>
      <c r="K82" s="92">
        <f>SUM(K72:K81)+K16+K24+K29+K36+K43+K45+K47+K49+K51+K56+K61+K66</f>
        <v>-2269914.4099999988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1856408.3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106137.63000000008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1750270.67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-1455000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401408.30000000005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1750270.67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604992.98000004771</v>
      </c>
      <c r="F91" s="155">
        <f t="shared" si="19"/>
        <v>0</v>
      </c>
      <c r="G91" s="155">
        <f t="shared" si="19"/>
        <v>-25050.839999999618</v>
      </c>
      <c r="H91" s="155">
        <f t="shared" si="19"/>
        <v>0</v>
      </c>
      <c r="I91" s="155">
        <f t="shared" si="19"/>
        <v>1149687.560000008</v>
      </c>
      <c r="J91" s="155">
        <f>+J82+J89</f>
        <v>0</v>
      </c>
      <c r="K91" s="155">
        <f>+K82+K89</f>
        <v>-519643.73999999883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G72" activePane="bottomRight" state="frozen"/>
      <selection activeCell="J9" sqref="J9"/>
      <selection pane="topRight" activeCell="J9" sqref="J9"/>
      <selection pane="bottomLeft" activeCell="J9" sqref="J9"/>
      <selection pane="bottomRight" activeCell="K74" sqref="K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41709641</v>
      </c>
      <c r="E11" s="38">
        <f>SUM(G11,I11,K11,M11,O11,Q11,S11,U11,W11,Y11,AA11,AC11,AE11)</f>
        <v>102647484.3</v>
      </c>
      <c r="F11" s="60">
        <f>'TIE-OUT'!P11+RECLASS!R11</f>
        <v>0</v>
      </c>
      <c r="G11" s="38">
        <f>'TIE-OUT'!Q11+RECLASS!S11</f>
        <v>0</v>
      </c>
      <c r="H11" s="118">
        <f>+Actuals!E484</f>
        <v>41747236</v>
      </c>
      <c r="I11" s="119">
        <f>+Actuals!F484</f>
        <v>102813600.33</v>
      </c>
      <c r="J11" s="118">
        <f>+Actuals!G484</f>
        <v>-37595</v>
      </c>
      <c r="K11" s="119">
        <f>+Actuals!H484</f>
        <v>-166116.03</v>
      </c>
      <c r="L11" s="118">
        <f>+Actuals!I484</f>
        <v>0</v>
      </c>
      <c r="M11" s="119">
        <f>+Actuals!J484</f>
        <v>0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11346039.58</v>
      </c>
      <c r="F12" s="60">
        <f>'TIE-OUT'!P12+RECLASS!R12</f>
        <v>0</v>
      </c>
      <c r="G12" s="38">
        <f>'TIE-OUT'!Q12+RECLASS!S12</f>
        <v>11346039.58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83100</v>
      </c>
      <c r="F13" s="60">
        <f>'TIE-OUT'!P13+RECLASS!R13</f>
        <v>0</v>
      </c>
      <c r="G13" s="38">
        <f>'TIE-OUT'!Q13+RECLASS!S13</f>
        <v>0</v>
      </c>
      <c r="H13" s="118">
        <f>+Actuals!E486</f>
        <v>30000</v>
      </c>
      <c r="I13" s="119">
        <f>+Actuals!F486</f>
        <v>83100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'TIE-OUT'!Q14+RECLASS!S14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1128693.02</v>
      </c>
      <c r="F15" s="81">
        <f>'TIE-OUT'!P15+RECLASS!R15</f>
        <v>0</v>
      </c>
      <c r="G15" s="82">
        <f>'TIE-OUT'!Q15+RECLASS!S15</f>
        <v>0</v>
      </c>
      <c r="H15" s="118">
        <f>+Actuals!E488</f>
        <v>0</v>
      </c>
      <c r="I15" s="119">
        <f>+Actuals!F488</f>
        <v>1126286.8600000001</v>
      </c>
      <c r="J15" s="118">
        <f>+Actuals!G488</f>
        <v>0</v>
      </c>
      <c r="K15" s="119">
        <f>+Actuals!H488</f>
        <v>2406.16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41739641</v>
      </c>
      <c r="E16" s="39">
        <f t="shared" si="1"/>
        <v>115205316.89999999</v>
      </c>
      <c r="F16" s="61">
        <f t="shared" si="1"/>
        <v>0</v>
      </c>
      <c r="G16" s="39">
        <f t="shared" si="1"/>
        <v>11346039.58</v>
      </c>
      <c r="H16" s="61">
        <f t="shared" si="1"/>
        <v>41777236</v>
      </c>
      <c r="I16" s="39">
        <f t="shared" si="1"/>
        <v>104022987.19</v>
      </c>
      <c r="J16" s="61">
        <f t="shared" ref="J16:AO16" si="2">SUM(J11:J15)</f>
        <v>-37595</v>
      </c>
      <c r="K16" s="39">
        <f t="shared" si="2"/>
        <v>-163709.87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-44702195</v>
      </c>
      <c r="E19" s="38">
        <f t="shared" si="3"/>
        <v>-113701035.76000001</v>
      </c>
      <c r="F19" s="64">
        <f>'TIE-OUT'!P19+RECLASS!R19</f>
        <v>0</v>
      </c>
      <c r="G19" s="68">
        <f>'TIE-OUT'!Q19+RECLASS!S19</f>
        <v>0</v>
      </c>
      <c r="H19" s="118">
        <f>+Actuals!E489</f>
        <v>-44689424</v>
      </c>
      <c r="I19" s="119">
        <f>+Actuals!F489</f>
        <v>-113277209.69000001</v>
      </c>
      <c r="J19" s="118">
        <f>+Actuals!G489</f>
        <v>-12771</v>
      </c>
      <c r="K19" s="119">
        <f>+Actuals!H489</f>
        <v>-423826.07</v>
      </c>
      <c r="L19" s="118">
        <f>+Actuals!I489</f>
        <v>0</v>
      </c>
      <c r="M19" s="119">
        <f>+Actuals!J489</f>
        <v>0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-2403190.42</v>
      </c>
      <c r="F20" s="60">
        <f>'TIE-OUT'!P20+RECLASS!R20</f>
        <v>0</v>
      </c>
      <c r="G20" s="38">
        <f>'TIE-OUT'!Q20+RECLASS!S20</f>
        <v>-2403190.42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-82500</v>
      </c>
      <c r="F21" s="60">
        <f>'TIE-OUT'!P21+RECLASS!R21</f>
        <v>0</v>
      </c>
      <c r="G21" s="38">
        <f>'TIE-OUT'!Q21+RECLASS!S21</f>
        <v>0</v>
      </c>
      <c r="H21" s="118">
        <f>+Actuals!E491</f>
        <v>-30000</v>
      </c>
      <c r="I21" s="119">
        <f>+Actuals!F491</f>
        <v>-82500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'TIE-OUT'!Q22+RECLASS!S22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336956</v>
      </c>
      <c r="E23" s="38">
        <f t="shared" si="3"/>
        <v>816107.43199999991</v>
      </c>
      <c r="F23" s="81">
        <f>'TIE-OUT'!P23+RECLASS!R23</f>
        <v>0</v>
      </c>
      <c r="G23" s="82">
        <f>'TIE-OUT'!Q23+RECLASS!S23</f>
        <v>0</v>
      </c>
      <c r="H23" s="118">
        <f>+Actuals!E493</f>
        <v>331180</v>
      </c>
      <c r="I23" s="119">
        <f>+Actuals!F493</f>
        <v>802117.96</v>
      </c>
      <c r="J23" s="118">
        <f>+Actuals!G493</f>
        <v>5776</v>
      </c>
      <c r="K23" s="119">
        <f>+Actuals!H493</f>
        <v>13989.472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-44395239</v>
      </c>
      <c r="E24" s="39">
        <f t="shared" si="4"/>
        <v>-115370618.74800001</v>
      </c>
      <c r="F24" s="61">
        <f t="shared" si="4"/>
        <v>0</v>
      </c>
      <c r="G24" s="39">
        <f t="shared" si="4"/>
        <v>-2403190.42</v>
      </c>
      <c r="H24" s="61">
        <f t="shared" si="4"/>
        <v>-44388244</v>
      </c>
      <c r="I24" s="39">
        <f t="shared" si="4"/>
        <v>-112557591.73000002</v>
      </c>
      <c r="J24" s="61">
        <f t="shared" ref="J24:AO24" si="5">SUM(J19:J23)</f>
        <v>-6995</v>
      </c>
      <c r="K24" s="39">
        <f t="shared" si="5"/>
        <v>-409836.598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1205247</v>
      </c>
      <c r="E27" s="38">
        <f>SUM(G27,I27,K27,M27,O27,Q27,S27,U27,W27,Y27,AA27,AC27,AE27)</f>
        <v>3264180.5</v>
      </c>
      <c r="F27" s="64">
        <f>'TIE-OUT'!P27+RECLASS!R27</f>
        <v>0</v>
      </c>
      <c r="G27" s="68">
        <f>'TIE-OUT'!Q27+RECLASS!S27</f>
        <v>0</v>
      </c>
      <c r="H27" s="118">
        <f>+Actuals!E494</f>
        <v>1205247</v>
      </c>
      <c r="I27" s="119">
        <f>+Actuals!F494</f>
        <v>3264180.5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-60000</v>
      </c>
      <c r="E28" s="38">
        <f>SUM(G28,I28,K28,M28,O28,Q28,S28,U28,W28,Y28,AA28,AC28,AE28)</f>
        <v>-157200</v>
      </c>
      <c r="F28" s="81">
        <f>'TIE-OUT'!P28+RECLASS!R28</f>
        <v>0</v>
      </c>
      <c r="G28" s="82">
        <f>'TIE-OUT'!Q28+RECLASS!S28</f>
        <v>0</v>
      </c>
      <c r="H28" s="118">
        <f>+Actuals!E495</f>
        <v>-60000</v>
      </c>
      <c r="I28" s="119">
        <f>+Actuals!F495</f>
        <v>-157200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1145247</v>
      </c>
      <c r="E29" s="39">
        <f t="shared" si="6"/>
        <v>3106980.5</v>
      </c>
      <c r="F29" s="61">
        <f t="shared" si="6"/>
        <v>0</v>
      </c>
      <c r="G29" s="39">
        <f t="shared" si="6"/>
        <v>0</v>
      </c>
      <c r="H29" s="61">
        <f t="shared" si="6"/>
        <v>1145247</v>
      </c>
      <c r="I29" s="39">
        <f t="shared" si="6"/>
        <v>3106980.5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-44552</v>
      </c>
      <c r="E32" s="38">
        <f t="shared" si="8"/>
        <v>-107904.944</v>
      </c>
      <c r="F32" s="64">
        <f>'TIE-OUT'!P32+RECLASS!R32</f>
        <v>0</v>
      </c>
      <c r="G32" s="68">
        <f>'TIE-OUT'!Q32+RECLASS!S32</f>
        <v>0</v>
      </c>
      <c r="H32" s="118">
        <f>+Actuals!E496</f>
        <v>-91202</v>
      </c>
      <c r="I32" s="119">
        <f>+Actuals!F496</f>
        <v>-220891.24400000001</v>
      </c>
      <c r="J32" s="118">
        <f>+Actuals!G496</f>
        <v>46650</v>
      </c>
      <c r="K32" s="119">
        <f>+Actuals!H496</f>
        <v>112986.3</v>
      </c>
      <c r="L32" s="118">
        <f>+Actuals!I496</f>
        <v>0</v>
      </c>
      <c r="M32" s="119">
        <f>+Actuals!J496</f>
        <v>0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-1989</v>
      </c>
      <c r="E33" s="38">
        <f t="shared" si="8"/>
        <v>-5274.4</v>
      </c>
      <c r="F33" s="60">
        <f>'TIE-OUT'!P33+RECLASS!R33</f>
        <v>0</v>
      </c>
      <c r="G33" s="38">
        <f>'TIE-OUT'!Q33+RECLASS!S33</f>
        <v>0</v>
      </c>
      <c r="H33" s="118">
        <f>+Actuals!E497</f>
        <v>0</v>
      </c>
      <c r="I33" s="119">
        <f>+Actuals!F497</f>
        <v>0</v>
      </c>
      <c r="J33" s="118">
        <f>+Actuals!G497</f>
        <v>-1989</v>
      </c>
      <c r="K33" s="119">
        <f>+Actuals!H497</f>
        <v>-5274.4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1175</v>
      </c>
      <c r="E34" s="38">
        <f t="shared" si="8"/>
        <v>3038.55</v>
      </c>
      <c r="F34" s="60">
        <f>'TIE-OUT'!P34+RECLASS!R34</f>
        <v>0</v>
      </c>
      <c r="G34" s="38">
        <f>'TIE-OUT'!Q34+RECLASS!S34</f>
        <v>0</v>
      </c>
      <c r="H34" s="118">
        <f>+Actuals!E498</f>
        <v>0</v>
      </c>
      <c r="I34" s="119">
        <f>+Actuals!F498</f>
        <v>0</v>
      </c>
      <c r="J34" s="118">
        <f>+Actuals!G498</f>
        <v>1175</v>
      </c>
      <c r="K34" s="119">
        <f>+Actuals!H498</f>
        <v>3038.55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'TIE-OUT'!Q35+RECLASS!S35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-45366</v>
      </c>
      <c r="E36" s="39">
        <f t="shared" si="9"/>
        <v>-110140.79399999999</v>
      </c>
      <c r="F36" s="61">
        <f t="shared" si="9"/>
        <v>0</v>
      </c>
      <c r="G36" s="39">
        <f t="shared" si="9"/>
        <v>0</v>
      </c>
      <c r="H36" s="61">
        <f t="shared" si="9"/>
        <v>-91202</v>
      </c>
      <c r="I36" s="39">
        <f t="shared" si="9"/>
        <v>-220891.24400000001</v>
      </c>
      <c r="J36" s="61">
        <f t="shared" ref="J36:AO36" si="10">SUM(J32:J35)</f>
        <v>45836</v>
      </c>
      <c r="K36" s="39">
        <f t="shared" si="10"/>
        <v>110750.45000000001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1797976</v>
      </c>
      <c r="E39" s="38">
        <f t="shared" si="11"/>
        <v>4354697.8800000008</v>
      </c>
      <c r="F39" s="64">
        <f>'TIE-OUT'!P39+RECLASS!R39</f>
        <v>0</v>
      </c>
      <c r="G39" s="68">
        <f>'TIE-OUT'!Q39+RECLASS!S39</f>
        <v>0</v>
      </c>
      <c r="H39" s="118">
        <f>+Actuals!E500</f>
        <v>1797081</v>
      </c>
      <c r="I39" s="119">
        <f>+Actuals!F500</f>
        <v>4352530.1900000004</v>
      </c>
      <c r="J39" s="118">
        <f>+Actuals!G500</f>
        <v>895</v>
      </c>
      <c r="K39" s="119">
        <f>+Actuals!H500</f>
        <v>2167.69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-77546</v>
      </c>
      <c r="E40" s="38">
        <f t="shared" si="11"/>
        <v>-188375.77</v>
      </c>
      <c r="F40" s="60">
        <f>'TIE-OUT'!P40+RECLASS!R40</f>
        <v>0</v>
      </c>
      <c r="G40" s="38">
        <f>'TIE-OUT'!Q40+RECLASS!S40</f>
        <v>0</v>
      </c>
      <c r="H40" s="118">
        <f>+Actuals!E501</f>
        <v>-77503</v>
      </c>
      <c r="I40" s="119">
        <f>+Actuals!F501</f>
        <v>-188271.31</v>
      </c>
      <c r="J40" s="118">
        <f>+Actuals!G501</f>
        <v>-43</v>
      </c>
      <c r="K40" s="119">
        <f>+Actuals!H501</f>
        <v>-104.46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'TIE-OUT'!Q41+RECLASS!S41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-77546</v>
      </c>
      <c r="E42" s="39">
        <f t="shared" si="12"/>
        <v>-188375.77</v>
      </c>
      <c r="F42" s="61">
        <f t="shared" si="12"/>
        <v>0</v>
      </c>
      <c r="G42" s="39">
        <f t="shared" si="12"/>
        <v>0</v>
      </c>
      <c r="H42" s="61">
        <f t="shared" si="12"/>
        <v>-77503</v>
      </c>
      <c r="I42" s="39">
        <f t="shared" si="12"/>
        <v>-188271.31</v>
      </c>
      <c r="J42" s="61">
        <f t="shared" ref="J42:AO42" si="13">SUM(J40:J41)</f>
        <v>-43</v>
      </c>
      <c r="K42" s="39">
        <f t="shared" si="13"/>
        <v>-104.46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1720430</v>
      </c>
      <c r="E43" s="39">
        <f t="shared" si="14"/>
        <v>4166322.1100000008</v>
      </c>
      <c r="F43" s="61">
        <f t="shared" si="14"/>
        <v>0</v>
      </c>
      <c r="G43" s="39">
        <f t="shared" si="14"/>
        <v>0</v>
      </c>
      <c r="H43" s="61">
        <f t="shared" si="14"/>
        <v>1719578</v>
      </c>
      <c r="I43" s="39">
        <f t="shared" si="14"/>
        <v>4164258.8800000004</v>
      </c>
      <c r="J43" s="61">
        <f t="shared" ref="J43:AO43" si="15">J42+J39</f>
        <v>852</v>
      </c>
      <c r="K43" s="39">
        <f t="shared" si="15"/>
        <v>2063.23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'TIE-OUT'!Q45+RECLASS!S45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'TIE-OUT'!Q47+RECLASS!S47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-164713</v>
      </c>
      <c r="E49" s="38">
        <f>SUM(G49,I49,K49,M49,O49,Q49,S49,U49,W49,Y49,AA49,AC49,AE49)</f>
        <v>-398934.886</v>
      </c>
      <c r="F49" s="60">
        <f>'TIE-OUT'!P49+RECLASS!R49</f>
        <v>0</v>
      </c>
      <c r="G49" s="38">
        <f>'TIE-OUT'!Q49+RECLASS!S49</f>
        <v>0</v>
      </c>
      <c r="H49" s="118">
        <f>+Actuals!E505</f>
        <v>-162615</v>
      </c>
      <c r="I49" s="119">
        <f>+Actuals!F505</f>
        <v>-393853.53</v>
      </c>
      <c r="J49" s="118">
        <f>+Actuals!G505</f>
        <v>-2098</v>
      </c>
      <c r="K49" s="119">
        <f>+Actuals!H505</f>
        <v>-5081.3559999999707</v>
      </c>
      <c r="L49" s="118">
        <f>+Actuals!I505</f>
        <v>0</v>
      </c>
      <c r="M49" s="119">
        <f>+Actuals!J505</f>
        <v>0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-336956</v>
      </c>
      <c r="E51" s="38">
        <f>SUM(G51,I51,K51,M51,O51,Q51,S51,U51,W51,Y51,AA51,AC51,AE51)</f>
        <v>-816107.43199999991</v>
      </c>
      <c r="F51" s="60">
        <f>'TIE-OUT'!P51+RECLASS!R51</f>
        <v>0</v>
      </c>
      <c r="G51" s="38">
        <f>'TIE-OUT'!Q51+RECLASS!S51</f>
        <v>0</v>
      </c>
      <c r="H51" s="118">
        <f>+Actuals!E506</f>
        <v>-331180</v>
      </c>
      <c r="I51" s="119">
        <f>+Actuals!F506</f>
        <v>-802117.96</v>
      </c>
      <c r="J51" s="118">
        <f>+Actuals!G506</f>
        <v>-5776</v>
      </c>
      <c r="K51" s="119">
        <f>+Actuals!H506</f>
        <v>-13989.472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-20464952</v>
      </c>
      <c r="E54" s="38">
        <f>SUM(G54,I54,K54,M54,O54,Q54,S54,U54,W54,Y54,AA54,AC54,AE54)</f>
        <v>-529893.05000000005</v>
      </c>
      <c r="F54" s="64">
        <f>'TIE-OUT'!P54+RECLASS!R54</f>
        <v>0</v>
      </c>
      <c r="G54" s="68">
        <f>'TIE-OUT'!Q54+RECLASS!S54</f>
        <v>0</v>
      </c>
      <c r="H54" s="118">
        <f>+Actuals!E507</f>
        <v>-23086787</v>
      </c>
      <c r="I54" s="119">
        <f>+Actuals!F507</f>
        <v>-421740.94</v>
      </c>
      <c r="J54" s="118">
        <f>+Actuals!G507</f>
        <v>2621835</v>
      </c>
      <c r="K54" s="119">
        <f>+Actuals!H507</f>
        <v>-108152.11</v>
      </c>
      <c r="L54" s="118">
        <f>+Actuals!I507</f>
        <v>0</v>
      </c>
      <c r="M54" s="119">
        <f>+Actuals!J507</f>
        <v>0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-2314183.86</v>
      </c>
      <c r="F55" s="81">
        <f>'TIE-OUT'!P55+RECLASS!R55</f>
        <v>0</v>
      </c>
      <c r="G55" s="82">
        <f>'TIE-OUT'!Q55+RECLASS!S55</f>
        <v>0</v>
      </c>
      <c r="H55" s="118">
        <f>+Actuals!E508</f>
        <v>0</v>
      </c>
      <c r="I55" s="119">
        <f>+Actuals!F508</f>
        <v>-2201051.48</v>
      </c>
      <c r="J55" s="118">
        <f>+Actuals!G508</f>
        <v>0</v>
      </c>
      <c r="K55" s="119">
        <f>+Actuals!H508</f>
        <v>-113132.38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-20464952</v>
      </c>
      <c r="E56" s="39">
        <f t="shared" si="16"/>
        <v>-2844076.91</v>
      </c>
      <c r="F56" s="61">
        <f t="shared" si="16"/>
        <v>0</v>
      </c>
      <c r="G56" s="39">
        <f t="shared" si="16"/>
        <v>0</v>
      </c>
      <c r="H56" s="61">
        <f t="shared" si="16"/>
        <v>-23086787</v>
      </c>
      <c r="I56" s="39">
        <f t="shared" si="16"/>
        <v>-2622792.42</v>
      </c>
      <c r="J56" s="61">
        <f t="shared" ref="J56:AO56" si="17">SUM(J54:J55)</f>
        <v>2621835</v>
      </c>
      <c r="K56" s="39">
        <f t="shared" si="17"/>
        <v>-221284.49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'TIE-OUT'!Q59+RECLASS!S59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'TIE-OUT'!Q60+RECLASS!S60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'TIE-OUT'!Q64+RECLASS!S64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'TIE-OUT'!Q65+RECLASS!S65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4676254</v>
      </c>
      <c r="F70" s="64">
        <f>'TIE-OUT'!P70+RECLASS!R70</f>
        <v>0</v>
      </c>
      <c r="G70" s="68">
        <f>'TIE-OUT'!Q70+RECLASS!S70</f>
        <v>4676254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-2516504.2799999998</v>
      </c>
      <c r="F71" s="81">
        <f>'TIE-OUT'!P71+RECLASS!R71</f>
        <v>0</v>
      </c>
      <c r="G71" s="82">
        <f>'TIE-OUT'!Q71+RECLASS!S71</f>
        <v>-2516504.2799999998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2159749.7200000002</v>
      </c>
      <c r="F72" s="61">
        <f t="shared" si="22"/>
        <v>0</v>
      </c>
      <c r="G72" s="39">
        <f t="shared" si="22"/>
        <v>2159749.7200000002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'TIE-OUT'!Q73+RECLASS!S73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6295309.4400000004</v>
      </c>
      <c r="F74" s="60">
        <f>'TIE-OUT'!P74+RECLASS!R74</f>
        <v>0</v>
      </c>
      <c r="G74" s="60">
        <f>'TIE-OUT'!Q74+RECLASS!S74</f>
        <v>6011074.54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+Actuals!H516+284234.9</f>
        <v>284234.90000000002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'TIE-OUT'!P75+RECLASS!R75</f>
        <v>0</v>
      </c>
      <c r="G75" s="60">
        <f>'TIE-OUT'!Q75+RECLASS!S75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-64399.880000000005</v>
      </c>
      <c r="F76" s="60">
        <f>'TIE-OUT'!P76+RECLASS!R76</f>
        <v>0</v>
      </c>
      <c r="G76" s="60">
        <f>'TIE-OUT'!Q76+RECLASS!S76</f>
        <v>0</v>
      </c>
      <c r="H76" s="118">
        <f>+Actuals!E518</f>
        <v>0</v>
      </c>
      <c r="I76" s="119">
        <f>+Actuals!F518</f>
        <v>-27632.12</v>
      </c>
      <c r="J76" s="118">
        <f>+Actuals!G518</f>
        <v>0</v>
      </c>
      <c r="K76" s="119">
        <f>+Actuals!H518</f>
        <v>-36767.760000000002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'TIE-OUT'!Q77+RECLASS!S77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'TIE-OUT'!Q78+RECLASS!S78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'TIE-OUT'!Q79+RECLASS!S79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'TIE-OUT'!Q80+RECLASS!S80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-1675.1400000000003</v>
      </c>
      <c r="F81" s="60">
        <f>'TIE-OUT'!P81+RECLASS!R81</f>
        <v>0</v>
      </c>
      <c r="G81" s="60">
        <f>'TIE-OUT'!Q81+RECLASS!S81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-8818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11327724.879999982</v>
      </c>
      <c r="F82" s="91">
        <f>F16+F24+F29+F36+F43+F45+F47+F49</f>
        <v>0</v>
      </c>
      <c r="G82" s="92">
        <f>SUM(G72:G81)+G16+G24+G29+G36+G43+G45+G47+G49+G51+G56+G61+G66</f>
        <v>17113673.420000002</v>
      </c>
      <c r="H82" s="91">
        <f>H16+H24+H29+H36+H43+H45+H47+H49</f>
        <v>0</v>
      </c>
      <c r="I82" s="92">
        <f>SUM(I72:I81)+I16+I24+I29+I36+I43+I45+I47+I49+I51+I56+I61+I66</f>
        <v>-5323509.5740000261</v>
      </c>
      <c r="J82" s="91">
        <f>J16+J24+J29+J36+J43+J45+J47+J49</f>
        <v>0</v>
      </c>
      <c r="K82" s="137">
        <f>SUM(K72:K81)+K16+K24+K29+K36+K43+K45+K47+K49+K51+K56+K61+K66</f>
        <v>-462438.9659999999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76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3819633</v>
      </c>
      <c r="E11" s="38">
        <f>SUM(G11,I11,K11,M11,O11,Q11,S11,U11,W11,Y11,AA11,AC11,AE11)</f>
        <v>8930257.1799999997</v>
      </c>
      <c r="F11" s="60">
        <f>'TIE-OUT'!R11+RECLASS!P11</f>
        <v>0</v>
      </c>
      <c r="G11" s="38">
        <f>'TIE-OUT'!S11+RECLASS!Q11</f>
        <v>0</v>
      </c>
      <c r="H11" s="118">
        <f>+Actuals!E204</f>
        <v>3838346</v>
      </c>
      <c r="I11" s="119">
        <f>+Actuals!F204</f>
        <v>8965830.7699999996</v>
      </c>
      <c r="J11" s="118">
        <f>+Actuals!G204</f>
        <v>-18713</v>
      </c>
      <c r="K11" s="119">
        <f>+Actuals!H204</f>
        <v>-35573.589999999997</v>
      </c>
      <c r="L11" s="118">
        <f>+Actuals!I204</f>
        <v>0</v>
      </c>
      <c r="M11" s="119">
        <f>+Actuals!J204</f>
        <v>0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28116.17</v>
      </c>
      <c r="F12" s="60">
        <f>'TIE-OUT'!R12+RECLASS!P12</f>
        <v>0</v>
      </c>
      <c r="G12" s="38">
        <f>'TIE-OUT'!S12+RECLASS!Q12</f>
        <v>28116.17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459648</v>
      </c>
      <c r="E13" s="38">
        <f t="shared" si="0"/>
        <v>1178559</v>
      </c>
      <c r="F13" s="60">
        <f>'TIE-OUT'!R13+RECLASS!P13</f>
        <v>0</v>
      </c>
      <c r="G13" s="38">
        <f>'TIE-OUT'!S13+RECLASS!Q13</f>
        <v>0</v>
      </c>
      <c r="H13" s="118">
        <f>+Actuals!E206</f>
        <v>461027</v>
      </c>
      <c r="I13" s="119">
        <f>+Actuals!F206</f>
        <v>1182269</v>
      </c>
      <c r="J13" s="118">
        <f>+Actuals!G206</f>
        <v>-1379</v>
      </c>
      <c r="K13" s="119">
        <f>+Actuals!H206</f>
        <v>-3710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4279281</v>
      </c>
      <c r="E16" s="39">
        <f t="shared" si="1"/>
        <v>10143064.77</v>
      </c>
      <c r="F16" s="61">
        <f t="shared" si="1"/>
        <v>0</v>
      </c>
      <c r="G16" s="39">
        <f t="shared" si="1"/>
        <v>28116.17</v>
      </c>
      <c r="H16" s="61">
        <f t="shared" si="1"/>
        <v>4299373</v>
      </c>
      <c r="I16" s="39">
        <f t="shared" si="1"/>
        <v>10154232.189999999</v>
      </c>
      <c r="J16" s="61">
        <f t="shared" ref="J16:AO16" si="2">SUM(J11:J15)</f>
        <v>-20092</v>
      </c>
      <c r="K16" s="39">
        <f t="shared" si="2"/>
        <v>-39283.589999999997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-5070845</v>
      </c>
      <c r="E19" s="38">
        <f t="shared" si="3"/>
        <v>-11126900.789999999</v>
      </c>
      <c r="F19" s="64">
        <f>'TIE-OUT'!R19+RECLASS!P19</f>
        <v>0</v>
      </c>
      <c r="G19" s="68">
        <f>'TIE-OUT'!S19+RECLASS!Q19</f>
        <v>0</v>
      </c>
      <c r="H19" s="118">
        <f>+Actuals!E209</f>
        <v>-5133341</v>
      </c>
      <c r="I19" s="119">
        <f>+Actuals!F209</f>
        <v>-11134074.34</v>
      </c>
      <c r="J19" s="118">
        <f>+Actuals!G209</f>
        <v>62496</v>
      </c>
      <c r="K19" s="119">
        <f>+Actuals!H209</f>
        <v>7173.55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-188616.18</v>
      </c>
      <c r="F20" s="60">
        <f>'TIE-OUT'!R20+RECLASS!P20</f>
        <v>0</v>
      </c>
      <c r="G20" s="38">
        <f>'TIE-OUT'!S20+RECLASS!Q20</f>
        <v>-188616.18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-241</v>
      </c>
      <c r="F21" s="60">
        <f>'TIE-OUT'!R21+RECLASS!P21</f>
        <v>0</v>
      </c>
      <c r="G21" s="38">
        <f>'TIE-OUT'!S21+RECLASS!Q21</f>
        <v>0</v>
      </c>
      <c r="H21" s="118">
        <f>+Actuals!E211</f>
        <v>-93</v>
      </c>
      <c r="I21" s="119">
        <f>+Actuals!F211</f>
        <v>-241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4898</v>
      </c>
      <c r="E23" s="38">
        <f t="shared" si="3"/>
        <v>11461.32</v>
      </c>
      <c r="F23" s="81">
        <f>'TIE-OUT'!R23+RECLASS!P23</f>
        <v>0</v>
      </c>
      <c r="G23" s="82">
        <f>'TIE-OUT'!S23+RECLASS!Q23</f>
        <v>0</v>
      </c>
      <c r="H23" s="118">
        <f>+Actuals!E213</f>
        <v>4898</v>
      </c>
      <c r="I23" s="119">
        <f>+Actuals!F213</f>
        <v>11461.32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-5066040</v>
      </c>
      <c r="E24" s="39">
        <f t="shared" si="4"/>
        <v>-11304296.649999999</v>
      </c>
      <c r="F24" s="61">
        <f t="shared" si="4"/>
        <v>0</v>
      </c>
      <c r="G24" s="39">
        <f t="shared" si="4"/>
        <v>-188616.18</v>
      </c>
      <c r="H24" s="61">
        <f t="shared" si="4"/>
        <v>-5128536</v>
      </c>
      <c r="I24" s="39">
        <f t="shared" si="4"/>
        <v>-11122854.02</v>
      </c>
      <c r="J24" s="61">
        <f t="shared" ref="J24:AO24" si="5">SUM(J19:J23)</f>
        <v>62496</v>
      </c>
      <c r="K24" s="39">
        <f t="shared" si="5"/>
        <v>7173.55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23346</v>
      </c>
      <c r="E32" s="38">
        <f t="shared" si="7"/>
        <v>54629.64</v>
      </c>
      <c r="F32" s="64">
        <f>'TIE-OUT'!R32+RECLASS!P32</f>
        <v>0</v>
      </c>
      <c r="G32" s="68">
        <f>'TIE-OUT'!S32+RECLASS!Q32</f>
        <v>0</v>
      </c>
      <c r="H32" s="118">
        <f>+Actuals!E216</f>
        <v>17827</v>
      </c>
      <c r="I32" s="119">
        <f>+Actuals!F216</f>
        <v>41715.18</v>
      </c>
      <c r="J32" s="118">
        <f>+Actuals!G216</f>
        <v>5519</v>
      </c>
      <c r="K32" s="119">
        <f>+Actuals!H216</f>
        <v>12914.46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23346</v>
      </c>
      <c r="E36" s="39">
        <f t="shared" si="8"/>
        <v>54629.64</v>
      </c>
      <c r="F36" s="61">
        <f t="shared" si="8"/>
        <v>0</v>
      </c>
      <c r="G36" s="39">
        <f t="shared" si="8"/>
        <v>0</v>
      </c>
      <c r="H36" s="61">
        <f t="shared" si="8"/>
        <v>17827</v>
      </c>
      <c r="I36" s="39">
        <f t="shared" si="8"/>
        <v>41715.18</v>
      </c>
      <c r="J36" s="61">
        <f t="shared" ref="J36:AO36" si="9">SUM(J32:J35)</f>
        <v>5519</v>
      </c>
      <c r="K36" s="39">
        <f t="shared" si="9"/>
        <v>12914.46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763413</v>
      </c>
      <c r="E49" s="38">
        <f>SUM(G49,I49,K49,M49,O49,Q49,S49,U49,W49,Y49,AA49,AC49,AE49)</f>
        <v>1786386.42</v>
      </c>
      <c r="F49" s="60">
        <f>'TIE-OUT'!R49+RECLASS!P49</f>
        <v>0</v>
      </c>
      <c r="G49" s="38">
        <f>'TIE-OUT'!S49+RECLASS!Q49</f>
        <v>0</v>
      </c>
      <c r="H49" s="118">
        <f>+Actuals!E225</f>
        <v>811336</v>
      </c>
      <c r="I49" s="119">
        <f>+Actuals!F225</f>
        <v>1898526.24</v>
      </c>
      <c r="J49" s="118">
        <f>+Actuals!G225</f>
        <v>-47923</v>
      </c>
      <c r="K49" s="119">
        <f>+Actuals!H225</f>
        <v>-112139.82</v>
      </c>
      <c r="L49" s="118">
        <f>+Actuals!I225</f>
        <v>0</v>
      </c>
      <c r="M49" s="119">
        <f>+Actuals!J225</f>
        <v>0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-4898</v>
      </c>
      <c r="E51" s="38">
        <f>SUM(G51,I51,K51,M51,O51,Q51,S51,U51,W51,Y51,AA51,AC51,AE51)</f>
        <v>-11461.32</v>
      </c>
      <c r="F51" s="60">
        <f>'TIE-OUT'!R51+RECLASS!P51</f>
        <v>0</v>
      </c>
      <c r="G51" s="38">
        <f>'TIE-OUT'!S51+RECLASS!Q51</f>
        <v>0</v>
      </c>
      <c r="H51" s="118">
        <f>+Actuals!E226</f>
        <v>-4898</v>
      </c>
      <c r="I51" s="119">
        <f>+Actuals!F226</f>
        <v>-11461.32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-11546229</v>
      </c>
      <c r="E54" s="38">
        <f>SUM(G54,I54,K54,M54,O54,Q54,S54,U54,W54,Y54,AA54,AC54,AE54)</f>
        <v>-240657.88</v>
      </c>
      <c r="F54" s="64">
        <f>'TIE-OUT'!R54+RECLASS!P54</f>
        <v>0</v>
      </c>
      <c r="G54" s="68">
        <f>'TIE-OUT'!S54+RECLASS!Q54</f>
        <v>0</v>
      </c>
      <c r="H54" s="118">
        <f>+Actuals!E227</f>
        <v>-11660092</v>
      </c>
      <c r="I54" s="119">
        <f>+Actuals!F227</f>
        <v>-245536.4</v>
      </c>
      <c r="J54" s="118">
        <f>+Actuals!G227</f>
        <v>113863</v>
      </c>
      <c r="K54" s="119">
        <f>+Actuals!H227</f>
        <v>4878.5200000000004</v>
      </c>
      <c r="L54" s="118">
        <f>+Actuals!I227</f>
        <v>0</v>
      </c>
      <c r="M54" s="119">
        <f>+Actuals!J227</f>
        <v>0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-748525.54</v>
      </c>
      <c r="F55" s="81">
        <f>'TIE-OUT'!R55+RECLASS!P55</f>
        <v>0</v>
      </c>
      <c r="G55" s="82">
        <f>'TIE-OUT'!S55+RECLASS!Q55</f>
        <v>0</v>
      </c>
      <c r="H55" s="118">
        <f>+Actuals!E228</f>
        <v>0</v>
      </c>
      <c r="I55" s="119">
        <f>+Actuals!F228</f>
        <v>-735080.54</v>
      </c>
      <c r="J55" s="118">
        <f>+Actuals!G228</f>
        <v>0</v>
      </c>
      <c r="K55" s="119">
        <f>+Actuals!H228</f>
        <v>-13445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-11546229</v>
      </c>
      <c r="E56" s="39">
        <f t="shared" si="15"/>
        <v>-989183.42</v>
      </c>
      <c r="F56" s="61">
        <f t="shared" si="15"/>
        <v>0</v>
      </c>
      <c r="G56" s="39">
        <f t="shared" si="15"/>
        <v>0</v>
      </c>
      <c r="H56" s="61">
        <f t="shared" si="15"/>
        <v>-11660092</v>
      </c>
      <c r="I56" s="39">
        <f t="shared" si="15"/>
        <v>-980616.94000000006</v>
      </c>
      <c r="J56" s="61">
        <f t="shared" si="15"/>
        <v>113863</v>
      </c>
      <c r="K56" s="39">
        <f t="shared" si="15"/>
        <v>-8566.48</v>
      </c>
      <c r="L56" s="61">
        <f t="shared" si="15"/>
        <v>0</v>
      </c>
      <c r="M56" s="39">
        <f t="shared" si="15"/>
        <v>0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1275</v>
      </c>
      <c r="F70" s="64">
        <f>'TIE-OUT'!R70+RECLASS!P70</f>
        <v>0</v>
      </c>
      <c r="G70" s="68">
        <f>'TIE-OUT'!S70+RECLASS!Q70</f>
        <v>1275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9099</v>
      </c>
      <c r="F71" s="81">
        <f>'TIE-OUT'!R71+RECLASS!P71</f>
        <v>0</v>
      </c>
      <c r="G71" s="82">
        <f>'TIE-OUT'!S71+RECLASS!Q71</f>
        <v>9099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10374</v>
      </c>
      <c r="F72" s="61">
        <f t="shared" si="18"/>
        <v>0</v>
      </c>
      <c r="G72" s="39">
        <f t="shared" si="18"/>
        <v>10374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45044.78</v>
      </c>
      <c r="F74" s="60">
        <f>'TIE-OUT'!R74+RECLASS!P74</f>
        <v>0</v>
      </c>
      <c r="G74" s="60">
        <f>'TIE-OUT'!S74+RECLASS!Q74</f>
        <v>45044.78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311714</v>
      </c>
      <c r="F81" s="60">
        <f>'TIE-OUT'!R81+RECLASS!P81</f>
        <v>0</v>
      </c>
      <c r="G81" s="60">
        <f>'TIE-OUT'!S81+RECLASS!Q81</f>
        <v>311714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46272.220000000321</v>
      </c>
      <c r="F82" s="91">
        <f>F16+F24+F29+F36+F43+F45+F47+F49</f>
        <v>0</v>
      </c>
      <c r="G82" s="92">
        <f>SUM(G72:G81)+G16+G24+G29+G36+G43+G45+G47+G49+G51+G56+G61+G66</f>
        <v>206632.77000000002</v>
      </c>
      <c r="H82" s="91">
        <f>H16+H24+H29+H36+H43+H45+H47+H49</f>
        <v>0</v>
      </c>
      <c r="I82" s="92">
        <f>SUM(I72:I81)+I16+I24+I29+I36+I43+I45+I47+I49+I51+I56+I61+I66</f>
        <v>-20458.670000000042</v>
      </c>
      <c r="J82" s="91">
        <f>J16+J24+J29+J36+J43+J45+J47+J49</f>
        <v>0</v>
      </c>
      <c r="K82" s="137">
        <f>SUM(K72:K81)+K16+K24+K29+K36+K43+K45+K47+K49+K51+K56+K61+K66</f>
        <v>-139901.88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-324309.77</v>
      </c>
      <c r="F86" s="145">
        <f>'TIE-OUT'!R86+RECLASS!P86</f>
        <v>0</v>
      </c>
      <c r="G86" s="184">
        <f>'TIE-OUT'!S86+RECLASS!Q86</f>
        <v>-324309.77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-324577.77</v>
      </c>
      <c r="F89" s="155">
        <f t="shared" si="22"/>
        <v>0</v>
      </c>
      <c r="G89" s="155">
        <f t="shared" si="22"/>
        <v>-324577.77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-278305.5499999997</v>
      </c>
      <c r="F91" s="155">
        <f t="shared" si="23"/>
        <v>0</v>
      </c>
      <c r="G91" s="155">
        <f t="shared" si="23"/>
        <v>-117945</v>
      </c>
      <c r="H91" s="155">
        <f t="shared" si="23"/>
        <v>0</v>
      </c>
      <c r="I91" s="155">
        <f t="shared" si="23"/>
        <v>-20458.670000000042</v>
      </c>
      <c r="J91" s="155">
        <f t="shared" si="23"/>
        <v>0</v>
      </c>
      <c r="K91" s="155">
        <f t="shared" si="23"/>
        <v>-139901.88</v>
      </c>
      <c r="L91" s="155">
        <f t="shared" si="23"/>
        <v>0</v>
      </c>
      <c r="M91" s="155">
        <f t="shared" si="23"/>
        <v>0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14330584</v>
      </c>
      <c r="E11" s="38">
        <f>SUM(G11,I11,K11,M11,O11,Q11,S11,U11,W11,Y11,AA11,AC11,AE11)</f>
        <v>21731792.859999999</v>
      </c>
      <c r="F11" s="60">
        <f>'TIE-OUT'!AF11+RECLASS!AF11</f>
        <v>0</v>
      </c>
      <c r="G11" s="38">
        <f>'TIE-OUT'!AG11+RECLASS!AG11</f>
        <v>0</v>
      </c>
      <c r="H11" s="118">
        <f>+Actuals!E124</f>
        <v>14183416</v>
      </c>
      <c r="I11" s="121">
        <f>+Actuals!F124</f>
        <v>31782879.629999999</v>
      </c>
      <c r="J11" s="118">
        <f>+Actuals!G124</f>
        <v>147168</v>
      </c>
      <c r="K11" s="121">
        <f>+Actuals!H124</f>
        <v>-10051086.77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12274443</v>
      </c>
      <c r="E13" s="38">
        <f t="shared" si="0"/>
        <v>35784381</v>
      </c>
      <c r="F13" s="60">
        <f>'TIE-OUT'!AF13+RECLASS!AF13</f>
        <v>0</v>
      </c>
      <c r="G13" s="38">
        <f>'TIE-OUT'!AG13+RECLASS!AG13</f>
        <v>0</v>
      </c>
      <c r="H13" s="120">
        <f>+Actuals!E126</f>
        <v>12273916</v>
      </c>
      <c r="I13" s="121">
        <f>+Actuals!F126</f>
        <v>35782782</v>
      </c>
      <c r="J13" s="120">
        <f>+Actuals!G126</f>
        <v>527</v>
      </c>
      <c r="K13" s="121">
        <f>+Actuals!H126</f>
        <v>1599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14525301.859999999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14576704.869999999</v>
      </c>
      <c r="J15" s="120">
        <f>+Actuals!G128</f>
        <v>0</v>
      </c>
      <c r="K15" s="121">
        <f>+Actuals!H128</f>
        <v>-51403.01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26605027</v>
      </c>
      <c r="E16" s="39">
        <f t="shared" si="1"/>
        <v>72041475.719999999</v>
      </c>
      <c r="F16" s="61">
        <f t="shared" si="1"/>
        <v>0</v>
      </c>
      <c r="G16" s="39">
        <f t="shared" si="1"/>
        <v>0</v>
      </c>
      <c r="H16" s="61">
        <f t="shared" si="1"/>
        <v>26457332</v>
      </c>
      <c r="I16" s="39">
        <f t="shared" si="1"/>
        <v>82142366.5</v>
      </c>
      <c r="J16" s="61">
        <f t="shared" ref="J16:AO16" si="2">SUM(J11:J15)</f>
        <v>147695</v>
      </c>
      <c r="K16" s="39">
        <f t="shared" si="2"/>
        <v>-10100890.779999999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-8012439</v>
      </c>
      <c r="E19" s="38">
        <f t="shared" si="3"/>
        <v>-24361711.219999999</v>
      </c>
      <c r="F19" s="64">
        <f>'TIE-OUT'!AF19+RECLASS!AF19</f>
        <v>0</v>
      </c>
      <c r="G19" s="68">
        <f>'TIE-OUT'!AG19+RECLASS!AG19</f>
        <v>0</v>
      </c>
      <c r="H19" s="120">
        <f>+Actuals!E129</f>
        <v>-8013120</v>
      </c>
      <c r="I19" s="121">
        <f>+Actuals!F129</f>
        <v>-22676094.77</v>
      </c>
      <c r="J19" s="120">
        <f>+Actuals!G129</f>
        <v>681</v>
      </c>
      <c r="K19" s="121">
        <f>+Actuals!H129</f>
        <v>-1685616.45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11890740.5</v>
      </c>
      <c r="F20" s="60">
        <f>'TIE-OUT'!AF20+RECLASS!AF20</f>
        <v>0</v>
      </c>
      <c r="G20" s="38">
        <f>'TIE-OUT'!AG20+RECLASS!AG20</f>
        <v>11890740.5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-13763085</v>
      </c>
      <c r="E21" s="38">
        <f t="shared" si="3"/>
        <v>-37529180</v>
      </c>
      <c r="F21" s="60">
        <f>'TIE-OUT'!AF21+RECLASS!AF21</f>
        <v>0</v>
      </c>
      <c r="G21" s="38">
        <f>'TIE-OUT'!AG21+RECLASS!AG21</f>
        <v>0</v>
      </c>
      <c r="H21" s="120">
        <f>+Actuals!E131</f>
        <v>-13718344</v>
      </c>
      <c r="I21" s="121">
        <f>+Actuals!F131</f>
        <v>-37394509</v>
      </c>
      <c r="J21" s="120">
        <f>+Actuals!G131</f>
        <v>-44741</v>
      </c>
      <c r="K21" s="121">
        <f>+Actuals!H131</f>
        <v>-134671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-21775524</v>
      </c>
      <c r="E24" s="39">
        <f t="shared" si="4"/>
        <v>-50000150.719999999</v>
      </c>
      <c r="F24" s="61">
        <f t="shared" si="4"/>
        <v>0</v>
      </c>
      <c r="G24" s="39">
        <f t="shared" si="4"/>
        <v>11890740.5</v>
      </c>
      <c r="H24" s="61">
        <f t="shared" si="4"/>
        <v>-21731464</v>
      </c>
      <c r="I24" s="39">
        <f t="shared" si="4"/>
        <v>-60070603.769999996</v>
      </c>
      <c r="J24" s="61">
        <f t="shared" ref="J24:AO24" si="5">SUM(J19:J23)</f>
        <v>-44060</v>
      </c>
      <c r="K24" s="39">
        <f t="shared" si="5"/>
        <v>-1820287.45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240863</v>
      </c>
      <c r="E39" s="38">
        <f t="shared" si="11"/>
        <v>646717.16</v>
      </c>
      <c r="F39" s="64">
        <f>'TIE-OUT'!AF39+RECLASS!AF39</f>
        <v>0</v>
      </c>
      <c r="G39" s="68">
        <f>'TIE-OUT'!AG39+RECLASS!AG39</f>
        <v>0</v>
      </c>
      <c r="H39" s="120">
        <f>+Actuals!E140</f>
        <v>240863</v>
      </c>
      <c r="I39" s="121">
        <f>+Actuals!F140</f>
        <v>646717.16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-4976934</v>
      </c>
      <c r="E40" s="38">
        <f t="shared" si="11"/>
        <v>-12593779</v>
      </c>
      <c r="F40" s="60">
        <f>'TIE-OUT'!AF40+RECLASS!AF40</f>
        <v>0</v>
      </c>
      <c r="G40" s="38">
        <f>'TIE-OUT'!AG40+RECLASS!AG40</f>
        <v>0</v>
      </c>
      <c r="H40" s="120">
        <f>+Actuals!E141</f>
        <v>-4404868</v>
      </c>
      <c r="I40" s="121">
        <f>+Actuals!F141</f>
        <v>-10990143.939999999</v>
      </c>
      <c r="J40" s="120">
        <f>+Actuals!G141</f>
        <v>-572066</v>
      </c>
      <c r="K40" s="121">
        <f>+Actuals!H141</f>
        <v>-1603635.06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-4976934</v>
      </c>
      <c r="E42" s="39">
        <f t="shared" si="12"/>
        <v>-12593779</v>
      </c>
      <c r="F42" s="61">
        <f t="shared" si="12"/>
        <v>0</v>
      </c>
      <c r="G42" s="39">
        <f t="shared" si="12"/>
        <v>0</v>
      </c>
      <c r="H42" s="61">
        <f t="shared" si="12"/>
        <v>-4404868</v>
      </c>
      <c r="I42" s="39">
        <f t="shared" si="12"/>
        <v>-10990143.939999999</v>
      </c>
      <c r="J42" s="61">
        <f t="shared" ref="J42:AO42" si="13">SUM(J40:J41)</f>
        <v>-572066</v>
      </c>
      <c r="K42" s="39">
        <f t="shared" si="13"/>
        <v>-1603635.06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-4736071</v>
      </c>
      <c r="E43" s="39">
        <f t="shared" si="14"/>
        <v>-11947061.84</v>
      </c>
      <c r="F43" s="61">
        <f t="shared" si="14"/>
        <v>0</v>
      </c>
      <c r="G43" s="39">
        <f t="shared" si="14"/>
        <v>0</v>
      </c>
      <c r="H43" s="61">
        <f t="shared" si="14"/>
        <v>-4164005</v>
      </c>
      <c r="I43" s="39">
        <f t="shared" si="14"/>
        <v>-10343426.779999999</v>
      </c>
      <c r="J43" s="61">
        <f t="shared" ref="J43:AO43" si="15">J42+J39</f>
        <v>-572066</v>
      </c>
      <c r="K43" s="39">
        <f t="shared" si="15"/>
        <v>-1603635.06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-93432</v>
      </c>
      <c r="E49" s="38">
        <f>SUM(G49,I49,K49,M49,O49,Q49,S49,U49,W49,Y49,AA49,AC49,AE49)</f>
        <v>-245632.72800000012</v>
      </c>
      <c r="F49" s="60">
        <f>'TIE-OUT'!AF49+RECLASS!AF49</f>
        <v>0</v>
      </c>
      <c r="G49" s="38">
        <f>'TIE-OUT'!AG49+RECLASS!AG49</f>
        <v>0</v>
      </c>
      <c r="H49" s="120">
        <f>+Actuals!E145</f>
        <v>-561863</v>
      </c>
      <c r="I49" s="121">
        <f>+Actuals!F145</f>
        <v>-1477137.827</v>
      </c>
      <c r="J49" s="120">
        <f>+Actuals!G145</f>
        <v>468431</v>
      </c>
      <c r="K49" s="121">
        <f>+Actuals!H145</f>
        <v>1231505.0989999999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-22435426</v>
      </c>
      <c r="E54" s="38">
        <f>SUM(G54,I54,K54,M54,O54,Q54,S54,U54,W54,Y54,AA54,AC54,AE54)</f>
        <v>-792569.74</v>
      </c>
      <c r="F54" s="64">
        <f>'TIE-OUT'!AF54+RECLASS!AF54</f>
        <v>0</v>
      </c>
      <c r="G54" s="68">
        <f>'TIE-OUT'!AG54+RECLASS!AG54</f>
        <v>0</v>
      </c>
      <c r="H54" s="120">
        <f>+Actuals!E147</f>
        <v>-22051979</v>
      </c>
      <c r="I54" s="121">
        <f>+Actuals!F147</f>
        <v>-780054.11</v>
      </c>
      <c r="J54" s="120">
        <f>+Actuals!G147</f>
        <v>-383447</v>
      </c>
      <c r="K54" s="121">
        <f>+Actuals!H147</f>
        <v>-12515.63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-10468191.139999999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-10518008.109999999</v>
      </c>
      <c r="J55" s="120">
        <f>+Actuals!G148</f>
        <v>0</v>
      </c>
      <c r="K55" s="121">
        <f>+Actuals!H148</f>
        <v>49816.97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-22435426</v>
      </c>
      <c r="E56" s="39">
        <f t="shared" si="16"/>
        <v>-11260760.879999999</v>
      </c>
      <c r="F56" s="61">
        <f t="shared" si="16"/>
        <v>0</v>
      </c>
      <c r="G56" s="39">
        <f t="shared" si="16"/>
        <v>0</v>
      </c>
      <c r="H56" s="61">
        <f t="shared" si="16"/>
        <v>-22051979</v>
      </c>
      <c r="I56" s="39">
        <f t="shared" si="16"/>
        <v>-11298062.219999999</v>
      </c>
      <c r="J56" s="61">
        <f t="shared" ref="J56:AO56" si="17">SUM(J54:J55)</f>
        <v>-383447</v>
      </c>
      <c r="K56" s="39">
        <f t="shared" si="17"/>
        <v>37301.340000000004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-649880.27</v>
      </c>
      <c r="F70" s="64">
        <f>'TIE-OUT'!AF70+RECLASS!AF70</f>
        <v>0</v>
      </c>
      <c r="G70" s="68">
        <f>'TIE-OUT'!AG70+RECLASS!AG70</f>
        <v>-649880.27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2467844.79</v>
      </c>
      <c r="F71" s="81">
        <f>'TIE-OUT'!AF71+RECLASS!AF71</f>
        <v>0</v>
      </c>
      <c r="G71" s="82">
        <f>'TIE-OUT'!AG71+RECLASS!AG71</f>
        <v>2467844.79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1817964.52</v>
      </c>
      <c r="F72" s="61">
        <f t="shared" si="22"/>
        <v>0</v>
      </c>
      <c r="G72" s="39">
        <f t="shared" si="22"/>
        <v>1817964.52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-3806765.99</v>
      </c>
      <c r="F74" s="60">
        <f>'TIE-OUT'!AF74+RECLASS!AF74</f>
        <v>0</v>
      </c>
      <c r="G74" s="60">
        <f>'TIE-OUT'!AG74+RECLASS!AG74</f>
        <v>-3806765.99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-3400931.9179999977</v>
      </c>
      <c r="F82" s="91">
        <f>F16+F24+F29+F36+F43+F45+F47+F49</f>
        <v>0</v>
      </c>
      <c r="G82" s="92">
        <f>SUM(G72:G81)+G16+G24+G29+G36+G43+G45+G47+G49+G51+G56+G61+G66</f>
        <v>9901939.0299999993</v>
      </c>
      <c r="H82" s="91">
        <f>H16+H24+H29+H36+H43+H45+H47+H49</f>
        <v>0</v>
      </c>
      <c r="I82" s="92">
        <f>SUM(I72:I81)+I16+I24+I29+I36+I43+I45+I47+I49+I51+I56+I61+I66</f>
        <v>-1046864.0969999935</v>
      </c>
      <c r="J82" s="91">
        <f>J16+J24+J29+J36+J43+J45+J47+J49</f>
        <v>0</v>
      </c>
      <c r="K82" s="137">
        <f>SUM(K72:K81)+K16+K24+K29+K36+K43+K45+K47+K49+K51+K56+K61+K66</f>
        <v>-12256006.851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38" activePane="bottomRight" state="frozen"/>
      <selection activeCell="J9" sqref="J9"/>
      <selection pane="topRight" activeCell="J9" sqref="J9"/>
      <selection pane="bottomLeft" activeCell="J9" sqref="J9"/>
      <selection pane="bottomRight" activeCell="I41" sqref="I4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-25497116</v>
      </c>
      <c r="F13" s="60">
        <f>'TIE-OUT'!Z13+RECLASS!X13</f>
        <v>0</v>
      </c>
      <c r="G13" s="38">
        <f>'TIE-OUT'!AA13+RECLASS!Y13</f>
        <v>0</v>
      </c>
      <c r="H13" s="60"/>
      <c r="I13" s="38">
        <v>-25325071</v>
      </c>
      <c r="J13" s="60"/>
      <c r="K13" s="213">
        <v>-172045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-25497116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-25325071</v>
      </c>
      <c r="J16" s="61">
        <f t="shared" si="1"/>
        <v>0</v>
      </c>
      <c r="K16" s="214">
        <f t="shared" si="1"/>
        <v>-172045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433044</v>
      </c>
      <c r="F41" s="81">
        <f>'TIE-OUT'!Z41+RECLASS!X41</f>
        <v>0</v>
      </c>
      <c r="G41" s="82">
        <f>'TIE-OUT'!AA41+RECLASS!Y41</f>
        <v>0</v>
      </c>
      <c r="H41" s="60"/>
      <c r="I41" s="38">
        <f>561186+433044</f>
        <v>994230</v>
      </c>
      <c r="J41" s="60"/>
      <c r="K41" s="213">
        <v>-561186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433044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994230</v>
      </c>
      <c r="J42" s="61">
        <f t="shared" si="8"/>
        <v>0</v>
      </c>
      <c r="K42" s="214">
        <f t="shared" si="8"/>
        <v>-561186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433044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994230</v>
      </c>
      <c r="J43" s="61">
        <f t="shared" si="9"/>
        <v>0</v>
      </c>
      <c r="K43" s="214">
        <f t="shared" si="9"/>
        <v>-561186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496833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496833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496833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117015719</v>
      </c>
      <c r="F70" s="64">
        <f>'TIE-OUT'!Z70+RECLASS!X70</f>
        <v>0</v>
      </c>
      <c r="G70" s="68">
        <f>'TIE-OUT'!AA70+RECLASS!Y70</f>
        <v>98380002</v>
      </c>
      <c r="H70" s="60"/>
      <c r="I70" s="38">
        <v>19545008</v>
      </c>
      <c r="J70" s="60"/>
      <c r="K70" s="215">
        <v>-909291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-91335240.049999997</v>
      </c>
      <c r="F71" s="81">
        <f>'TIE-OUT'!Z71+RECLASS!X71</f>
        <v>0</v>
      </c>
      <c r="G71" s="82">
        <f>'TIE-OUT'!AA71+RECLASS!Y71</f>
        <v>-91335240.049999997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25680478.950000003</v>
      </c>
      <c r="F72" s="61">
        <f t="shared" si="13"/>
        <v>0</v>
      </c>
      <c r="G72" s="39">
        <f t="shared" si="13"/>
        <v>7044761.950000003</v>
      </c>
      <c r="H72" s="61">
        <f t="shared" si="13"/>
        <v>0</v>
      </c>
      <c r="I72" s="39">
        <f t="shared" si="13"/>
        <v>19545008</v>
      </c>
      <c r="J72" s="61">
        <f t="shared" si="13"/>
        <v>0</v>
      </c>
      <c r="K72" s="214">
        <f t="shared" si="13"/>
        <v>-909291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-909291</v>
      </c>
      <c r="F73" s="60">
        <f>'TIE-OUT'!Z73+RECLASS!X73</f>
        <v>0</v>
      </c>
      <c r="G73" s="60">
        <f>'TIE-OUT'!AA73+RECLASS!Y73</f>
        <v>-909291</v>
      </c>
      <c r="H73" s="60"/>
      <c r="I73" s="38"/>
      <c r="J73" s="60"/>
      <c r="K73" s="213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2564016</v>
      </c>
      <c r="F74" s="60">
        <f>'TIE-OUT'!Z74+RECLASS!X74</f>
        <v>0</v>
      </c>
      <c r="G74" s="60">
        <f>'TIE-OUT'!AA74+RECLASS!Y74</f>
        <v>2564016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-2158</v>
      </c>
      <c r="F76" s="60">
        <f>'TIE-OUT'!Z76+RECLASS!X76</f>
        <v>0</v>
      </c>
      <c r="G76" s="60">
        <f>'TIE-OUT'!AA76+RECLASS!Y76</f>
        <v>-2158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0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2765806.950000003</v>
      </c>
      <c r="F82" s="91">
        <f>F16+F24+F29+F36+F43+F45+F47+F49</f>
        <v>0</v>
      </c>
      <c r="G82" s="92">
        <f>SUM(G72:G81)+G16+G24+G29+G36+G43+G45+G47+G49+G51+G56+G61+G66</f>
        <v>8697328.950000003</v>
      </c>
      <c r="H82" s="91">
        <f>H16+H24+H29+H36+H43+H45+H47+H49</f>
        <v>0</v>
      </c>
      <c r="I82" s="140">
        <f>SUM(I72:I81)+I16+I24+I29+I36+I43+I45+I47+I49+I51+I56+I61+I66</f>
        <v>-4785833</v>
      </c>
      <c r="J82" s="91">
        <f>J16+J24+J29+J36+J43+J45+J47+J49</f>
        <v>0</v>
      </c>
      <c r="K82" s="140">
        <f>SUM(K72:K81)+K16+K24+K29+K36+K43+K45+K47+K49+K51+K56+K61+K66</f>
        <v>-1145689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25680478.950000003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J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41" width="15.44140625" hidden="1" customWidth="1"/>
    <col min="42" max="42" width="9.10937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47849017</v>
      </c>
      <c r="E11" s="38">
        <f>SUM(G11,I11,K11,M11,O11,Q11,S11,U11,W11,Y11,AA11,AC11,AE11)</f>
        <v>119208706.63000001</v>
      </c>
      <c r="F11" s="60">
        <f>'TIE-OUT'!AB11+RECLASS!Z11</f>
        <v>0</v>
      </c>
      <c r="G11" s="38">
        <f>'TIE-OUT'!AC11+RECLASS!AA11</f>
        <v>0</v>
      </c>
      <c r="H11" s="118">
        <f>+Actuals!E284</f>
        <v>45571314</v>
      </c>
      <c r="I11" s="119">
        <f>+Actuals!F284</f>
        <v>113356518.03000002</v>
      </c>
      <c r="J11" s="118">
        <f>+Actuals!G284</f>
        <v>2277703</v>
      </c>
      <c r="K11" s="119">
        <f>+Actuals!H284</f>
        <v>5852188.5999999996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11259097.26</v>
      </c>
      <c r="F12" s="60">
        <f>'TIE-OUT'!AB12+RECLASS!Z12</f>
        <v>0</v>
      </c>
      <c r="G12" s="38">
        <f>'TIE-OUT'!AC12+RECLASS!AA12</f>
        <v>11259097.26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252282</v>
      </c>
      <c r="E13" s="38">
        <f t="shared" si="0"/>
        <v>757640</v>
      </c>
      <c r="F13" s="60">
        <f>'TIE-OUT'!AB13+RECLASS!Z13</f>
        <v>0</v>
      </c>
      <c r="G13" s="38">
        <f>'TIE-OUT'!AC13+RECLASS!AA13</f>
        <v>0</v>
      </c>
      <c r="H13" s="118">
        <f>+Actuals!E286</f>
        <v>225056</v>
      </c>
      <c r="I13" s="119">
        <f>+Actuals!F286</f>
        <v>676534</v>
      </c>
      <c r="J13" s="118">
        <f>+Actuals!G286</f>
        <v>27226</v>
      </c>
      <c r="K13" s="119">
        <f>+Actuals!H286</f>
        <v>81106</v>
      </c>
      <c r="L13" s="118">
        <f>+Actuals!I286</f>
        <v>0</v>
      </c>
      <c r="M13" s="119">
        <f>+Actuals!J286</f>
        <v>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-64775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-64775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48101299</v>
      </c>
      <c r="E16" s="39">
        <f t="shared" si="1"/>
        <v>131160668.89000002</v>
      </c>
      <c r="F16" s="61">
        <f t="shared" si="1"/>
        <v>0</v>
      </c>
      <c r="G16" s="39">
        <f t="shared" si="1"/>
        <v>11259097.26</v>
      </c>
      <c r="H16" s="61">
        <f t="shared" si="1"/>
        <v>45796370</v>
      </c>
      <c r="I16" s="39">
        <f t="shared" si="1"/>
        <v>113968277.03000002</v>
      </c>
      <c r="J16" s="61">
        <f t="shared" si="1"/>
        <v>2304929</v>
      </c>
      <c r="K16" s="39">
        <f t="shared" si="1"/>
        <v>5933294.5999999996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-47028660</v>
      </c>
      <c r="E19" s="38">
        <f t="shared" si="2"/>
        <v>-118595585.31999999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-44865488</v>
      </c>
      <c r="I19" s="119">
        <f>+Actuals!F289</f>
        <v>-116714515.70999999</v>
      </c>
      <c r="J19" s="118">
        <f>+Actuals!G289</f>
        <v>-2163172</v>
      </c>
      <c r="K19" s="119">
        <f>+Actuals!H289</f>
        <v>-1881069.61</v>
      </c>
      <c r="L19" s="118">
        <f>+Actuals!I289</f>
        <v>0</v>
      </c>
      <c r="M19" s="119">
        <f>+Actuals!J289</f>
        <v>0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-15950612.970000001</v>
      </c>
      <c r="F20" s="60">
        <f>'TIE-OUT'!AB20+RECLASS!Z20</f>
        <v>0</v>
      </c>
      <c r="G20" s="38">
        <f>'TIE-OUT'!AC20+RECLASS!AA20</f>
        <v>-15950612.970000001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-712812</v>
      </c>
      <c r="E21" s="38">
        <f t="shared" si="2"/>
        <v>-2102014</v>
      </c>
      <c r="F21" s="60">
        <f>'TIE-OUT'!AB21+RECLASS!Z21</f>
        <v>0</v>
      </c>
      <c r="G21" s="38">
        <f>'TIE-OUT'!AC21+RECLASS!AA21</f>
        <v>0</v>
      </c>
      <c r="H21" s="118">
        <f>+Actuals!E291</f>
        <v>-712812</v>
      </c>
      <c r="I21" s="119">
        <f>+Actuals!F291</f>
        <v>-2102014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71548</v>
      </c>
      <c r="E23" s="38">
        <f t="shared" si="2"/>
        <v>216074.96</v>
      </c>
      <c r="F23" s="81">
        <f>'TIE-OUT'!AB23+RECLASS!Z23</f>
        <v>0</v>
      </c>
      <c r="G23" s="82">
        <f>'TIE-OUT'!AC23+RECLASS!AA23</f>
        <v>0</v>
      </c>
      <c r="H23" s="118">
        <f>+Actuals!E293</f>
        <v>2308</v>
      </c>
      <c r="I23" s="119">
        <f>+Actuals!F293</f>
        <v>6970.16</v>
      </c>
      <c r="J23" s="118">
        <f>+Actuals!G293</f>
        <v>69240</v>
      </c>
      <c r="K23" s="119">
        <f>+Actuals!H293</f>
        <v>209104.8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-47669924</v>
      </c>
      <c r="E24" s="39">
        <f t="shared" si="3"/>
        <v>-136432137.32999998</v>
      </c>
      <c r="F24" s="61">
        <f t="shared" si="3"/>
        <v>0</v>
      </c>
      <c r="G24" s="39">
        <f t="shared" si="3"/>
        <v>-15950612.970000001</v>
      </c>
      <c r="H24" s="61">
        <f t="shared" si="3"/>
        <v>-45575992</v>
      </c>
      <c r="I24" s="39">
        <f t="shared" si="3"/>
        <v>-118809559.55</v>
      </c>
      <c r="J24" s="61">
        <f t="shared" si="3"/>
        <v>-2093932</v>
      </c>
      <c r="K24" s="39">
        <f t="shared" si="3"/>
        <v>-1671964.81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829820</v>
      </c>
      <c r="E32" s="38">
        <f t="shared" si="5"/>
        <v>2506056.4000000004</v>
      </c>
      <c r="F32" s="64">
        <f>'TIE-OUT'!AB32+RECLASS!Z32</f>
        <v>0</v>
      </c>
      <c r="G32" s="68">
        <f>'TIE-OUT'!AC32+RECLASS!AA32</f>
        <v>0</v>
      </c>
      <c r="H32" s="118">
        <f>+Actuals!E296</f>
        <v>88462</v>
      </c>
      <c r="I32" s="119">
        <f>+Actuals!F296</f>
        <v>267155.24</v>
      </c>
      <c r="J32" s="118">
        <f>+Actuals!G296</f>
        <v>741358</v>
      </c>
      <c r="K32" s="119">
        <f>+Actuals!H296</f>
        <v>2238901.16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829820</v>
      </c>
      <c r="E36" s="39">
        <f t="shared" si="6"/>
        <v>2506056.4000000004</v>
      </c>
      <c r="F36" s="61">
        <f t="shared" si="6"/>
        <v>0</v>
      </c>
      <c r="G36" s="39">
        <f t="shared" si="6"/>
        <v>0</v>
      </c>
      <c r="H36" s="61">
        <f t="shared" si="6"/>
        <v>88462</v>
      </c>
      <c r="I36" s="39">
        <f t="shared" si="6"/>
        <v>267155.24</v>
      </c>
      <c r="J36" s="61">
        <f t="shared" si="6"/>
        <v>741358</v>
      </c>
      <c r="K36" s="39">
        <f t="shared" si="6"/>
        <v>2238901.16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-1261195</v>
      </c>
      <c r="E49" s="38">
        <f>SUM(G49,I49,K49,M49,O49,Q49,S49,U49,W49,Y49,AA49,AC49,AE49)</f>
        <v>-3808808.9000000004</v>
      </c>
      <c r="F49" s="60">
        <f>'TIE-OUT'!AB49+RECLASS!Z49</f>
        <v>0</v>
      </c>
      <c r="G49" s="38">
        <f>'TIE-OUT'!AC49+RECLASS!AA49</f>
        <v>0</v>
      </c>
      <c r="H49" s="118">
        <f>+Actuals!E305</f>
        <v>-308840</v>
      </c>
      <c r="I49" s="119">
        <f>+Actuals!F305</f>
        <v>-932696.8</v>
      </c>
      <c r="J49" s="118">
        <f>+Actuals!G305</f>
        <v>-952355</v>
      </c>
      <c r="K49" s="119">
        <f>+Actuals!H305</f>
        <v>-2876112.1</v>
      </c>
      <c r="L49" s="118">
        <f>+Actuals!I305</f>
        <v>0</v>
      </c>
      <c r="M49" s="119">
        <f>+Actuals!J305</f>
        <v>0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-71548</v>
      </c>
      <c r="E51" s="38">
        <f>SUM(G51,I51,K51,M51,O51,Q51,S51,U51,W51,Y51,AA51,AC51,AE51)</f>
        <v>-216074.96</v>
      </c>
      <c r="F51" s="60">
        <f>'TIE-OUT'!AB51+RECLASS!Z51</f>
        <v>0</v>
      </c>
      <c r="G51" s="38">
        <f>'TIE-OUT'!AC51+RECLASS!AA51</f>
        <v>0</v>
      </c>
      <c r="H51" s="118">
        <f>+Actuals!E306</f>
        <v>-2308</v>
      </c>
      <c r="I51" s="119">
        <f>+Actuals!F306</f>
        <v>-6970.16</v>
      </c>
      <c r="J51" s="118">
        <f>+Actuals!G306</f>
        <v>-69240</v>
      </c>
      <c r="K51" s="119">
        <f>+Actuals!H306</f>
        <v>-209104.8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-100623.67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-100623.67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-100623.67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-100623.67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115486.02</v>
      </c>
      <c r="F70" s="64">
        <f>'TIE-OUT'!AB70+RECLASS!Z70</f>
        <v>0</v>
      </c>
      <c r="G70" s="68">
        <f>'TIE-OUT'!AC70+RECLASS!AA70</f>
        <v>115486.02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-1556139.52</v>
      </c>
      <c r="F71" s="81">
        <f>'TIE-OUT'!AB71+RECLASS!Z71</f>
        <v>0</v>
      </c>
      <c r="G71" s="82">
        <f>'TIE-OUT'!AC71+RECLASS!AA71</f>
        <v>-1556139.52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-1440653.5</v>
      </c>
      <c r="F72" s="61">
        <f t="shared" si="13"/>
        <v>0</v>
      </c>
      <c r="G72" s="183">
        <f t="shared" si="13"/>
        <v>-1440653.5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3133469.86</v>
      </c>
      <c r="F74" s="60">
        <f>'TIE-OUT'!AB74+RECLASS!Z74</f>
        <v>0</v>
      </c>
      <c r="G74" s="60">
        <f>'TIE-OUT'!AC74+RECLASS!AA74</f>
        <v>7670330.29</v>
      </c>
      <c r="H74" s="118">
        <f>+Actuals!E316</f>
        <v>0</v>
      </c>
      <c r="I74" s="230">
        <v>-4500000</v>
      </c>
      <c r="J74" s="118">
        <f>+Actuals!G316</f>
        <v>0</v>
      </c>
      <c r="K74" s="215">
        <f>+Actuals!H316-36860.43</f>
        <v>-36860.43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-474.79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-198.24</v>
      </c>
      <c r="J76" s="118">
        <f>+Actuals!G318</f>
        <v>0</v>
      </c>
      <c r="K76" s="119">
        <f>+Actuals!H318</f>
        <v>-276.55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-5198577.9999999749</v>
      </c>
      <c r="F82" s="91">
        <f>F16+F24+F29+F36+F43+F45+F47+F49</f>
        <v>0</v>
      </c>
      <c r="G82" s="92">
        <f>SUM(G72:G81)+G16+G24+G29+G36+G43+G45+G47+G49+G51+G56+G61+G66</f>
        <v>1538161.08</v>
      </c>
      <c r="H82" s="91">
        <f>H16+H24+H29+H36+H43+H45+H47+H49</f>
        <v>0</v>
      </c>
      <c r="I82" s="92">
        <f>SUM(I72:I81)+I16+I24+I29+I36+I43+I45+I47+I49+I51+I56+I61+I66</f>
        <v>-10013992.479999976</v>
      </c>
      <c r="J82" s="91">
        <f>J16+J24+J29+J36+J43+J45+J47+J49</f>
        <v>0</v>
      </c>
      <c r="K82" s="140">
        <f>SUM(K72:K81)+K16+K24+K29+K36+K43+K45+K47+K49+K51+K56+K61+K66</f>
        <v>3277253.399999999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203566.51</v>
      </c>
      <c r="F86" s="145">
        <f>'TIE-OUT'!AB86+RECLASS!Z86</f>
        <v>0</v>
      </c>
      <c r="G86" s="184">
        <f>'TIE-OUT'!AC86+RECLASS!AA86</f>
        <v>156641.51</v>
      </c>
      <c r="H86" s="145">
        <v>0</v>
      </c>
      <c r="I86" s="145">
        <v>0</v>
      </c>
      <c r="J86" s="145">
        <v>0</v>
      </c>
      <c r="K86" s="145">
        <v>46925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-37567</v>
      </c>
      <c r="F87" s="146">
        <f>'TIE-OUT'!AB87+RECLASS!Z87</f>
        <v>0</v>
      </c>
      <c r="G87" s="185">
        <f>'TIE-OUT'!AC87+RECLASS!AA87</f>
        <v>-21752</v>
      </c>
      <c r="H87" s="146">
        <v>0</v>
      </c>
      <c r="I87" s="146">
        <v>-15815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165999.51</v>
      </c>
      <c r="F89" s="155">
        <f t="shared" si="16"/>
        <v>0</v>
      </c>
      <c r="G89" s="155">
        <f t="shared" si="16"/>
        <v>134889.51</v>
      </c>
      <c r="H89" s="155">
        <f t="shared" si="16"/>
        <v>0</v>
      </c>
      <c r="I89" s="155">
        <f t="shared" si="16"/>
        <v>-15815</v>
      </c>
      <c r="J89" s="155">
        <f t="shared" si="16"/>
        <v>0</v>
      </c>
      <c r="K89" s="155">
        <f t="shared" si="16"/>
        <v>46925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-5032578.4899999751</v>
      </c>
      <c r="F91" s="155">
        <f t="shared" si="19"/>
        <v>0</v>
      </c>
      <c r="G91" s="155">
        <f t="shared" si="19"/>
        <v>1673050.59</v>
      </c>
      <c r="H91" s="155">
        <f t="shared" si="19"/>
        <v>0</v>
      </c>
      <c r="I91" s="155">
        <f t="shared" si="19"/>
        <v>-10029807.479999976</v>
      </c>
      <c r="J91" s="155">
        <f t="shared" si="19"/>
        <v>0</v>
      </c>
      <c r="K91" s="155">
        <f t="shared" si="19"/>
        <v>3324178.399999999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116508088</v>
      </c>
      <c r="E11" s="66">
        <f>'CE-FLSH'!M11</f>
        <v>308538812</v>
      </c>
      <c r="F11" s="60">
        <f>CE_GL!D11</f>
        <v>115914309</v>
      </c>
      <c r="G11" s="38">
        <f>CE_GL!E11</f>
        <v>304782688.54000002</v>
      </c>
      <c r="H11" s="60">
        <f>F11-D11</f>
        <v>-593779</v>
      </c>
      <c r="I11" s="38">
        <f>G11-E11</f>
        <v>-3756123.4599999785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3064902.5199999996</v>
      </c>
      <c r="H12" s="60">
        <f>F12-D12</f>
        <v>0</v>
      </c>
      <c r="I12" s="38">
        <f>G12-E12</f>
        <v>3064902.5199999996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61546610</v>
      </c>
      <c r="E13" s="66">
        <f>'CE-FLSH'!M13</f>
        <v>166771061</v>
      </c>
      <c r="F13" s="60">
        <f>CE_GL!D13</f>
        <v>5275675</v>
      </c>
      <c r="G13" s="38">
        <f>CE_GL!E13</f>
        <v>14120034</v>
      </c>
      <c r="H13" s="60">
        <f t="shared" ref="H13:I15" si="0">F13-D13</f>
        <v>-56270935</v>
      </c>
      <c r="I13" s="38">
        <f t="shared" si="0"/>
        <v>-152651027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2835640.51</v>
      </c>
      <c r="H15" s="60">
        <f t="shared" si="0"/>
        <v>0</v>
      </c>
      <c r="I15" s="38">
        <f t="shared" si="0"/>
        <v>2835640.51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178054698</v>
      </c>
      <c r="E16" s="39">
        <f t="shared" si="1"/>
        <v>475309873</v>
      </c>
      <c r="F16" s="61">
        <f t="shared" si="1"/>
        <v>121189984</v>
      </c>
      <c r="G16" s="39">
        <f t="shared" si="1"/>
        <v>324803265.56999999</v>
      </c>
      <c r="H16" s="61">
        <f t="shared" si="1"/>
        <v>-56864714</v>
      </c>
      <c r="I16" s="39">
        <f t="shared" si="1"/>
        <v>-150506607.42999998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-128554086</v>
      </c>
      <c r="E19" s="66">
        <f>'CE-FLSH'!M19</f>
        <v>-336205659</v>
      </c>
      <c r="F19" s="60">
        <f>CE_GL!D19</f>
        <v>-129460410</v>
      </c>
      <c r="G19" s="38">
        <f>CE_GL!E19</f>
        <v>-339222137.13999999</v>
      </c>
      <c r="H19" s="60">
        <f>F19-D19</f>
        <v>-906324</v>
      </c>
      <c r="I19" s="38">
        <f>G19-E19</f>
        <v>-3016478.1399999857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-12154.06</v>
      </c>
      <c r="H20" s="60">
        <f>F20-D20</f>
        <v>0</v>
      </c>
      <c r="I20" s="38">
        <f>G20-E20</f>
        <v>-12154.06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-49918130</v>
      </c>
      <c r="E21" s="66">
        <f>'CE-FLSH'!M21</f>
        <v>-136924342</v>
      </c>
      <c r="F21" s="60">
        <f>CE_GL!D21</f>
        <v>-3152509</v>
      </c>
      <c r="G21" s="38">
        <f>CE_GL!E21</f>
        <v>-8512491</v>
      </c>
      <c r="H21" s="60">
        <f t="shared" ref="H21:I23" si="2">F21-D21</f>
        <v>46765621</v>
      </c>
      <c r="I21" s="38">
        <f t="shared" si="2"/>
        <v>128411851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289627</v>
      </c>
      <c r="E23" s="66">
        <f>'CE-FLSH'!M23</f>
        <v>779479</v>
      </c>
      <c r="F23" s="60">
        <f>CE_GL!D23</f>
        <v>785293</v>
      </c>
      <c r="G23" s="38">
        <f>CE_GL!E23</f>
        <v>2051970.6089999999</v>
      </c>
      <c r="H23" s="60">
        <f t="shared" si="2"/>
        <v>495666</v>
      </c>
      <c r="I23" s="38">
        <f t="shared" si="2"/>
        <v>1272491.6089999999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-178182589</v>
      </c>
      <c r="E24" s="39">
        <f t="shared" si="3"/>
        <v>-472350522</v>
      </c>
      <c r="F24" s="61">
        <f t="shared" si="3"/>
        <v>-131827626</v>
      </c>
      <c r="G24" s="39">
        <f t="shared" si="3"/>
        <v>-345694811.59099996</v>
      </c>
      <c r="H24" s="61">
        <f t="shared" si="3"/>
        <v>46354963</v>
      </c>
      <c r="I24" s="39">
        <f t="shared" si="3"/>
        <v>126655710.40900001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701344</v>
      </c>
      <c r="G27" s="38">
        <f>CE_GL!E27</f>
        <v>1914308.6099999999</v>
      </c>
      <c r="H27" s="60">
        <f>F27-D27</f>
        <v>701344</v>
      </c>
      <c r="I27" s="38">
        <f>G27-E27</f>
        <v>1914308.6099999999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701344</v>
      </c>
      <c r="G29" s="70">
        <f t="shared" si="4"/>
        <v>1914308.6099999999</v>
      </c>
      <c r="H29" s="69">
        <f t="shared" si="4"/>
        <v>701344</v>
      </c>
      <c r="I29" s="70">
        <f t="shared" si="4"/>
        <v>1914308.6099999999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40279</v>
      </c>
      <c r="E32" s="66">
        <f>'CE-FLSH'!M32</f>
        <v>114717</v>
      </c>
      <c r="F32" s="60">
        <f>CE_GL!D32</f>
        <v>-145316</v>
      </c>
      <c r="G32" s="38">
        <f>CE_GL!E32</f>
        <v>-379710.70799999987</v>
      </c>
      <c r="H32" s="60">
        <f>F32-D32</f>
        <v>-185595</v>
      </c>
      <c r="I32" s="38">
        <f>G32-E32</f>
        <v>-494427.70799999987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-22553</v>
      </c>
      <c r="G33" s="38">
        <f>CE_GL!E33</f>
        <v>-195.82</v>
      </c>
      <c r="H33" s="60">
        <f t="shared" ref="H33:I35" si="5">F33-D33</f>
        <v>-22553</v>
      </c>
      <c r="I33" s="38">
        <f t="shared" si="5"/>
        <v>-195.82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690</v>
      </c>
      <c r="G34" s="38">
        <f>CE_GL!E34</f>
        <v>0</v>
      </c>
      <c r="H34" s="60">
        <f t="shared" si="5"/>
        <v>690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293838</v>
      </c>
      <c r="E35" s="66">
        <f>'CE-FLSH'!M35</f>
        <v>753822</v>
      </c>
      <c r="F35" s="60">
        <f>CE_GL!D35</f>
        <v>0</v>
      </c>
      <c r="G35" s="38">
        <f>CE_GL!E35</f>
        <v>0</v>
      </c>
      <c r="H35" s="60">
        <f t="shared" si="5"/>
        <v>-293838</v>
      </c>
      <c r="I35" s="38">
        <f t="shared" si="5"/>
        <v>-753822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334117</v>
      </c>
      <c r="E36" s="39">
        <f t="shared" si="6"/>
        <v>868539</v>
      </c>
      <c r="F36" s="61">
        <f t="shared" si="6"/>
        <v>-167179</v>
      </c>
      <c r="G36" s="39">
        <f t="shared" si="6"/>
        <v>-379906.52799999987</v>
      </c>
      <c r="H36" s="61">
        <f t="shared" si="6"/>
        <v>-501296</v>
      </c>
      <c r="I36" s="39">
        <f t="shared" si="6"/>
        <v>-1248445.5279999999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7855</v>
      </c>
      <c r="E39" s="66">
        <f>'CE-FLSH'!M39</f>
        <v>20423</v>
      </c>
      <c r="F39" s="60">
        <f>CE_GL!D39</f>
        <v>612458</v>
      </c>
      <c r="G39" s="38">
        <f>CE_GL!E39</f>
        <v>1600352.7599999998</v>
      </c>
      <c r="H39" s="60">
        <f t="shared" ref="H39:I41" si="7">F39-D39</f>
        <v>604603</v>
      </c>
      <c r="I39" s="38">
        <f t="shared" si="7"/>
        <v>1579929.7599999998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-77949</v>
      </c>
      <c r="E40" s="66">
        <f>'CE-FLSH'!M40</f>
        <v>-213870</v>
      </c>
      <c r="F40" s="60">
        <f>CE_GL!D40</f>
        <v>-386875</v>
      </c>
      <c r="G40" s="38">
        <f>CE_GL!E40</f>
        <v>-841937.26</v>
      </c>
      <c r="H40" s="60">
        <f t="shared" si="7"/>
        <v>-308926</v>
      </c>
      <c r="I40" s="38">
        <f t="shared" si="7"/>
        <v>-628067.26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-77949</v>
      </c>
      <c r="E42" s="70">
        <f t="shared" si="8"/>
        <v>-213870</v>
      </c>
      <c r="F42" s="69">
        <f t="shared" si="8"/>
        <v>-386875</v>
      </c>
      <c r="G42" s="70">
        <f t="shared" si="8"/>
        <v>-841937.26</v>
      </c>
      <c r="H42" s="69">
        <f t="shared" si="8"/>
        <v>-308926</v>
      </c>
      <c r="I42" s="70">
        <f t="shared" si="8"/>
        <v>-628067.26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-70094</v>
      </c>
      <c r="E43" s="39">
        <f t="shared" si="9"/>
        <v>-193447</v>
      </c>
      <c r="F43" s="61">
        <f t="shared" si="9"/>
        <v>225583</v>
      </c>
      <c r="G43" s="39">
        <f t="shared" si="9"/>
        <v>758415.49999999977</v>
      </c>
      <c r="H43" s="61">
        <f t="shared" si="9"/>
        <v>295677</v>
      </c>
      <c r="I43" s="39">
        <f t="shared" si="9"/>
        <v>951862.49999999977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-136132</v>
      </c>
      <c r="E49" s="66">
        <f>'CE-FLSH'!M49</f>
        <v>-348742.95759999997</v>
      </c>
      <c r="F49" s="60">
        <f>CE_GL!D49</f>
        <v>9877894</v>
      </c>
      <c r="G49" s="38">
        <f>CE_GL!E49</f>
        <v>25810937.022</v>
      </c>
      <c r="H49" s="60">
        <f>F49-D49</f>
        <v>10014026</v>
      </c>
      <c r="I49" s="38">
        <f>G49-E49</f>
        <v>26159679.979600001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-289627</v>
      </c>
      <c r="E51" s="66">
        <f>'CE-FLSH'!M51</f>
        <v>-779479</v>
      </c>
      <c r="F51" s="60">
        <f>CE_GL!D51</f>
        <v>-785293</v>
      </c>
      <c r="G51" s="38">
        <f>CE_GL!E51</f>
        <v>-2051970.6089999999</v>
      </c>
      <c r="H51" s="60">
        <f>F51-D51</f>
        <v>-495666</v>
      </c>
      <c r="I51" s="38">
        <f>G51-E51</f>
        <v>-1272491.6089999999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-619299</v>
      </c>
      <c r="F54" s="60">
        <f>CE_GL!D54</f>
        <v>-78713620</v>
      </c>
      <c r="G54" s="38">
        <f>CE_GL!E54</f>
        <v>-508166.51</v>
      </c>
      <c r="H54" s="60">
        <f>F54-D54</f>
        <v>-78713620</v>
      </c>
      <c r="I54" s="38">
        <f>G54-E54</f>
        <v>111132.48999999999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-1568114.87</v>
      </c>
      <c r="F55" s="60">
        <f>CE_GL!D55</f>
        <v>0</v>
      </c>
      <c r="G55" s="38">
        <f>CE_GL!E55</f>
        <v>-2141051.4</v>
      </c>
      <c r="H55" s="60">
        <f>F55-D55</f>
        <v>0</v>
      </c>
      <c r="I55" s="38">
        <f>G55-E55</f>
        <v>-572936.5299999998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-2187413.87</v>
      </c>
      <c r="F56" s="61">
        <f t="shared" si="10"/>
        <v>-78713620</v>
      </c>
      <c r="G56" s="39">
        <f t="shared" si="10"/>
        <v>-2649217.91</v>
      </c>
      <c r="H56" s="61">
        <f t="shared" si="10"/>
        <v>-78713620</v>
      </c>
      <c r="I56" s="39">
        <f t="shared" si="10"/>
        <v>-461804.0399999998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5834127.908400001</v>
      </c>
      <c r="F70" s="60">
        <f>CE_GL!D70</f>
        <v>0</v>
      </c>
      <c r="G70" s="38">
        <f>CE_GL!E70</f>
        <v>5834127.9100000001</v>
      </c>
      <c r="H70" s="60">
        <f>F70-D70</f>
        <v>0</v>
      </c>
      <c r="I70" s="38">
        <f>G70-E70</f>
        <v>1.5999991446733475E-3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-4341731</v>
      </c>
      <c r="F71" s="60">
        <f>CE_GL!D71</f>
        <v>0</v>
      </c>
      <c r="G71" s="38">
        <f>CE_GL!E71</f>
        <v>-4506255</v>
      </c>
      <c r="H71" s="60">
        <f>F71-D71</f>
        <v>0</v>
      </c>
      <c r="I71" s="38">
        <f>G71-E71</f>
        <v>-164524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1492396.908400001</v>
      </c>
      <c r="F72" s="69">
        <f t="shared" si="13"/>
        <v>0</v>
      </c>
      <c r="G72" s="70">
        <f t="shared" si="13"/>
        <v>1327872.9100000001</v>
      </c>
      <c r="H72" s="69">
        <f t="shared" si="13"/>
        <v>0</v>
      </c>
      <c r="I72" s="70">
        <f t="shared" si="13"/>
        <v>-164523.99840000086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-2215910</v>
      </c>
      <c r="F74" s="60">
        <f>CE_GL!D74</f>
        <v>0</v>
      </c>
      <c r="G74" s="38">
        <f>CE_GL!E74</f>
        <v>-2688636.37</v>
      </c>
      <c r="H74" s="60">
        <f t="shared" ref="H74:I79" si="14">F74-D74</f>
        <v>0</v>
      </c>
      <c r="I74" s="38">
        <f t="shared" si="14"/>
        <v>-472726.37000000011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76235</v>
      </c>
      <c r="F75" s="60">
        <f>CE_GL!D75</f>
        <v>0</v>
      </c>
      <c r="G75" s="38">
        <f>CE_GL!E75</f>
        <v>76200</v>
      </c>
      <c r="H75" s="60">
        <f t="shared" si="14"/>
        <v>0</v>
      </c>
      <c r="I75" s="38">
        <f t="shared" si="14"/>
        <v>-35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-10031.790000000001</v>
      </c>
      <c r="H76" s="60">
        <f t="shared" si="14"/>
        <v>0</v>
      </c>
      <c r="I76" s="38">
        <f t="shared" si="14"/>
        <v>-10031.790000000001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65633</v>
      </c>
      <c r="F81" s="60">
        <f>CE_GL!D81</f>
        <v>0</v>
      </c>
      <c r="G81" s="38">
        <f>CE_GL!E81</f>
        <v>-67500</v>
      </c>
      <c r="H81" s="60">
        <f>F81-D81</f>
        <v>0</v>
      </c>
      <c r="I81" s="38">
        <f>G81-E81</f>
        <v>-133133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-262837.91920000082</v>
      </c>
      <c r="F82" s="71">
        <f>F16+F24+F29+F36+F43+F45+F47+F49</f>
        <v>0</v>
      </c>
      <c r="G82" s="72">
        <f>SUM(G72:G81)+G16+G24+G29+G36+G43+G45+G47+G49+G51+G56+G61+G66</f>
        <v>1148924.81400003</v>
      </c>
      <c r="H82" s="71">
        <f>H16+H24+H29+H36+H43+H45+H47+H49</f>
        <v>0</v>
      </c>
      <c r="I82" s="72">
        <f>SUM(I72:I81)+I16+I24+I29+I36+I43+I45+I47+I49+I51+I56+I61+I66</f>
        <v>1411762.7332000327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1" sqref="G8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5734577</v>
      </c>
      <c r="E11" s="66">
        <f>'SITHE-FLSH'!M11</f>
        <v>14607219</v>
      </c>
      <c r="F11" s="60">
        <f>SITHE_GL!D11</f>
        <v>5736188</v>
      </c>
      <c r="G11" s="38">
        <f>SITHE_GL!E11</f>
        <v>15995973.51</v>
      </c>
      <c r="H11" s="60">
        <f>F11-D11</f>
        <v>1611</v>
      </c>
      <c r="I11" s="38">
        <f>G11-E11</f>
        <v>1388754.5099999998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-690292.81</v>
      </c>
      <c r="H12" s="60">
        <f>F12-D12</f>
        <v>0</v>
      </c>
      <c r="I12" s="38">
        <f>G12-E12</f>
        <v>-690292.81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5233176</v>
      </c>
      <c r="E13" s="66">
        <f>'SITHE-FLSH'!M13</f>
        <v>14876167</v>
      </c>
      <c r="F13" s="60">
        <f>SITHE_GL!D13</f>
        <v>304676</v>
      </c>
      <c r="G13" s="38">
        <f>SITHE_GL!E13</f>
        <v>873663</v>
      </c>
      <c r="H13" s="60">
        <f t="shared" ref="H13:I15" si="0">F13-D13</f>
        <v>-4928500</v>
      </c>
      <c r="I13" s="38">
        <f t="shared" si="0"/>
        <v>-14002504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10967753</v>
      </c>
      <c r="E16" s="39">
        <f t="shared" si="1"/>
        <v>29483386</v>
      </c>
      <c r="F16" s="61">
        <f t="shared" si="1"/>
        <v>6040864</v>
      </c>
      <c r="G16" s="39">
        <f t="shared" si="1"/>
        <v>16179343.699999999</v>
      </c>
      <c r="H16" s="61">
        <f t="shared" si="1"/>
        <v>-4926889</v>
      </c>
      <c r="I16" s="39">
        <f t="shared" si="1"/>
        <v>-13304042.300000001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-1148538</v>
      </c>
      <c r="E19" s="66">
        <f>'SITHE-FLSH'!M19</f>
        <v>-3191882</v>
      </c>
      <c r="F19" s="60">
        <f>SITHE_GL!D19</f>
        <v>-900825</v>
      </c>
      <c r="G19" s="38">
        <f>SITHE_GL!E19</f>
        <v>-2772444.27</v>
      </c>
      <c r="H19" s="60">
        <f>F19-D19</f>
        <v>247713</v>
      </c>
      <c r="I19" s="38">
        <f>G19-E19</f>
        <v>419437.73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-66483.69</v>
      </c>
      <c r="H20" s="60">
        <f>F20-D20</f>
        <v>0</v>
      </c>
      <c r="I20" s="38">
        <f>G20-E20</f>
        <v>-66483.69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-9900325</v>
      </c>
      <c r="E21" s="66">
        <f>'SITHE-FLSH'!M21</f>
        <v>-26658650</v>
      </c>
      <c r="F21" s="60">
        <f>SITHE_GL!D21</f>
        <v>-2220571</v>
      </c>
      <c r="G21" s="38">
        <f>SITHE_GL!E21</f>
        <v>-5918480</v>
      </c>
      <c r="H21" s="60">
        <f t="shared" ref="H21:I23" si="2">F21-D21</f>
        <v>7679754</v>
      </c>
      <c r="I21" s="38">
        <f t="shared" si="2"/>
        <v>20740170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3504</v>
      </c>
      <c r="E23" s="66">
        <f>'SITHE-FLSH'!M23</f>
        <v>9683</v>
      </c>
      <c r="F23" s="60">
        <f>SITHE_GL!D23</f>
        <v>0</v>
      </c>
      <c r="G23" s="38">
        <f>SITHE_GL!E23</f>
        <v>0</v>
      </c>
      <c r="H23" s="60">
        <f t="shared" si="2"/>
        <v>-3504</v>
      </c>
      <c r="I23" s="38">
        <f t="shared" si="2"/>
        <v>-9683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-11045359</v>
      </c>
      <c r="E24" s="39">
        <f t="shared" si="3"/>
        <v>-29840849</v>
      </c>
      <c r="F24" s="61">
        <f t="shared" si="3"/>
        <v>-3121396</v>
      </c>
      <c r="G24" s="39">
        <f t="shared" si="3"/>
        <v>-8757407.9600000009</v>
      </c>
      <c r="H24" s="61">
        <f t="shared" si="3"/>
        <v>7923963</v>
      </c>
      <c r="I24" s="39">
        <f t="shared" si="3"/>
        <v>21083441.039999999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122429</v>
      </c>
      <c r="E32" s="66">
        <f>'SITHE-FLSH'!M32</f>
        <v>369569</v>
      </c>
      <c r="F32" s="60">
        <f>SITHE_GL!D32</f>
        <v>0</v>
      </c>
      <c r="G32" s="38">
        <f>SITHE_GL!E32</f>
        <v>0</v>
      </c>
      <c r="H32" s="60">
        <f>F32-D32</f>
        <v>-122429</v>
      </c>
      <c r="I32" s="38">
        <f>G32-E32</f>
        <v>-369569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122429</v>
      </c>
      <c r="E36" s="39">
        <f t="shared" si="6"/>
        <v>369569</v>
      </c>
      <c r="F36" s="61">
        <f t="shared" si="6"/>
        <v>0</v>
      </c>
      <c r="G36" s="39">
        <f t="shared" si="6"/>
        <v>0</v>
      </c>
      <c r="H36" s="61">
        <f t="shared" si="6"/>
        <v>-122429</v>
      </c>
      <c r="I36" s="39">
        <f t="shared" si="6"/>
        <v>-369569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-44823</v>
      </c>
      <c r="E49" s="66">
        <f>'SITHE-FLSH'!M49</f>
        <v>-114076.11150695957</v>
      </c>
      <c r="F49" s="60">
        <f>SITHE_GL!D49</f>
        <v>-2919468</v>
      </c>
      <c r="G49" s="38">
        <f>SITHE_GL!E49</f>
        <v>-7430046.0599999996</v>
      </c>
      <c r="H49" s="60">
        <f>F49-D49</f>
        <v>-2874645</v>
      </c>
      <c r="I49" s="38">
        <f>G49-E49</f>
        <v>-7315969.9484930402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-3504</v>
      </c>
      <c r="E51" s="66">
        <f>'SITHE-FLSH'!M51</f>
        <v>-9683</v>
      </c>
      <c r="F51" s="60">
        <f>SITHE_GL!D51</f>
        <v>0</v>
      </c>
      <c r="G51" s="38">
        <f>SITHE_GL!E51</f>
        <v>0</v>
      </c>
      <c r="H51" s="60">
        <f>F51-D51</f>
        <v>3504</v>
      </c>
      <c r="I51" s="38">
        <f>G51-E51</f>
        <v>9683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-11440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11440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-18810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18810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-344118.43359999999</v>
      </c>
      <c r="F70" s="60">
        <f>SITHE_GL!D70</f>
        <v>0</v>
      </c>
      <c r="G70" s="38">
        <f>SITHE_GL!E70</f>
        <v>-344118.43</v>
      </c>
      <c r="H70" s="60">
        <f>F70-D70</f>
        <v>0</v>
      </c>
      <c r="I70" s="38">
        <f>G70-E70</f>
        <v>3.599999996367842E-3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259749</v>
      </c>
      <c r="F71" s="60">
        <f>SITHE_GL!D71</f>
        <v>0</v>
      </c>
      <c r="G71" s="38">
        <f>SITHE_GL!E71</f>
        <v>259749.42</v>
      </c>
      <c r="H71" s="60">
        <f>F71-D71</f>
        <v>0</v>
      </c>
      <c r="I71" s="38">
        <f>G71-E71</f>
        <v>0.42000000001280569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-84369.433599999989</v>
      </c>
      <c r="F72" s="69">
        <f t="shared" si="13"/>
        <v>0</v>
      </c>
      <c r="G72" s="70">
        <f t="shared" si="13"/>
        <v>-84369.00999999998</v>
      </c>
      <c r="H72" s="69">
        <f t="shared" si="13"/>
        <v>0</v>
      </c>
      <c r="I72" s="70">
        <f t="shared" si="13"/>
        <v>0.42360000000917353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-140577</v>
      </c>
      <c r="F74" s="60">
        <f>SITHE_GL!D74</f>
        <v>0</v>
      </c>
      <c r="G74" s="38">
        <f>SITHE_GL!E74</f>
        <v>-550</v>
      </c>
      <c r="H74" s="60">
        <f t="shared" ref="H74:I79" si="14">F74-D74</f>
        <v>0</v>
      </c>
      <c r="I74" s="38">
        <f t="shared" si="14"/>
        <v>140027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330184</v>
      </c>
      <c r="F81" s="60">
        <f>SITHE_GL!D81</f>
        <v>0</v>
      </c>
      <c r="G81" s="38">
        <f>SITHE_GL!E81</f>
        <v>-153274</v>
      </c>
      <c r="H81" s="60">
        <f>F81-D81</f>
        <v>0</v>
      </c>
      <c r="I81" s="38">
        <f>G81-E81</f>
        <v>-483458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-25225.545106960606</v>
      </c>
      <c r="F82" s="71">
        <f>F16+F24+F29+F36+F43+F45+F47+F49</f>
        <v>0</v>
      </c>
      <c r="G82" s="72">
        <f>SUM(G72:G81)+G16+G24+G29+G36+G43+G45+G47+G49+G51+G56+G61+G66</f>
        <v>-246303.33000000101</v>
      </c>
      <c r="H82" s="71">
        <f>H16+H24+H29+H36+H43+H45+H47+H49</f>
        <v>0</v>
      </c>
      <c r="I82" s="72">
        <f>SUM(I72:I81)+I16+I24+I29+I36+I43+I45+I47+I49+I51+I56+I61+I66</f>
        <v>-221077.78489304241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0" sqref="G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15578321</v>
      </c>
      <c r="E11" s="66">
        <f>'ARUBA-FLSH'!M11</f>
        <v>41740995</v>
      </c>
      <c r="F11" s="60">
        <f>ARUBA_GL!D11</f>
        <v>15592377</v>
      </c>
      <c r="G11" s="38">
        <f>ARUBA_GL!E11</f>
        <v>41484047.440000005</v>
      </c>
      <c r="H11" s="60">
        <f>F11-D11</f>
        <v>14056</v>
      </c>
      <c r="I11" s="38">
        <f>G11-E11</f>
        <v>-256947.55999999493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715209.96</v>
      </c>
      <c r="H12" s="60">
        <f>F12-D12</f>
        <v>0</v>
      </c>
      <c r="I12" s="38">
        <f>G12-E12</f>
        <v>715209.96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25594555</v>
      </c>
      <c r="E13" s="66">
        <f>'ARUBA-FLSH'!M13</f>
        <v>71534733</v>
      </c>
      <c r="F13" s="60">
        <f>ARUBA_GL!D13</f>
        <v>691622</v>
      </c>
      <c r="G13" s="38">
        <f>ARUBA_GL!E13</f>
        <v>1971907</v>
      </c>
      <c r="H13" s="60">
        <f t="shared" ref="H13:I15" si="0">F13-D13</f>
        <v>-24902933</v>
      </c>
      <c r="I13" s="38">
        <f t="shared" si="0"/>
        <v>-69562826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3058223</v>
      </c>
      <c r="H15" s="60">
        <f t="shared" si="0"/>
        <v>0</v>
      </c>
      <c r="I15" s="38">
        <f t="shared" si="0"/>
        <v>141936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116192015</v>
      </c>
      <c r="F16" s="61">
        <f t="shared" si="1"/>
        <v>16283999</v>
      </c>
      <c r="G16" s="39">
        <f t="shared" si="1"/>
        <v>47229387.400000006</v>
      </c>
      <c r="H16" s="61">
        <f t="shared" si="1"/>
        <v>-24888877</v>
      </c>
      <c r="I16" s="39">
        <f t="shared" si="1"/>
        <v>-68962627.599999994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-9905967</v>
      </c>
      <c r="E19" s="66">
        <f>'ARUBA-FLSH'!M19</f>
        <v>-25817305</v>
      </c>
      <c r="F19" s="60">
        <f>ARUBA_GL!D19</f>
        <v>-9905988</v>
      </c>
      <c r="G19" s="38">
        <f>ARUBA_GL!E19</f>
        <v>-25985875.800000001</v>
      </c>
      <c r="H19" s="60">
        <f>F19-D19</f>
        <v>-21</v>
      </c>
      <c r="I19" s="38">
        <f>G19-E19</f>
        <v>-168570.80000000075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-335726</v>
      </c>
      <c r="H20" s="60">
        <f>F20-D20</f>
        <v>0</v>
      </c>
      <c r="I20" s="38">
        <f>G20-E20</f>
        <v>-335726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-31542981</v>
      </c>
      <c r="E21" s="66">
        <f>'ARUBA-FLSH'!M21</f>
        <v>-86688382</v>
      </c>
      <c r="F21" s="60">
        <f>ARUBA_GL!D21</f>
        <v>-55556</v>
      </c>
      <c r="G21" s="38">
        <f>ARUBA_GL!E21</f>
        <v>-155961</v>
      </c>
      <c r="H21" s="60">
        <f t="shared" ref="H21:I23" si="2">F21-D21</f>
        <v>31487425</v>
      </c>
      <c r="I21" s="38">
        <f t="shared" si="2"/>
        <v>86532421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277862</v>
      </c>
      <c r="E23" s="66">
        <f>'ARUBA-FLSH'!M23</f>
        <v>758375</v>
      </c>
      <c r="F23" s="60">
        <f>ARUBA_GL!D23</f>
        <v>0</v>
      </c>
      <c r="G23" s="38">
        <f>ARUBA_GL!E23</f>
        <v>0</v>
      </c>
      <c r="H23" s="60">
        <f t="shared" si="2"/>
        <v>-277862</v>
      </c>
      <c r="I23" s="38">
        <f t="shared" si="2"/>
        <v>-758375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-41171086</v>
      </c>
      <c r="E24" s="39">
        <f t="shared" si="3"/>
        <v>-111747312</v>
      </c>
      <c r="F24" s="61">
        <f t="shared" si="3"/>
        <v>-9961544</v>
      </c>
      <c r="G24" s="39">
        <f t="shared" si="3"/>
        <v>-26477562.800000001</v>
      </c>
      <c r="H24" s="61">
        <f t="shared" si="3"/>
        <v>31209542</v>
      </c>
      <c r="I24" s="39">
        <f t="shared" si="3"/>
        <v>85269749.200000003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-1790</v>
      </c>
      <c r="E49" s="66">
        <f>'ARUBA-FLSH'!M49</f>
        <v>-4667.4250000000002</v>
      </c>
      <c r="F49" s="60">
        <f>ARUBA_GL!D49</f>
        <v>-6322455</v>
      </c>
      <c r="G49" s="38">
        <f>ARUBA_GL!E49</f>
        <v>-16485801.4125</v>
      </c>
      <c r="H49" s="60">
        <f>F49-D49</f>
        <v>-6320665</v>
      </c>
      <c r="I49" s="38">
        <f>G49-E49</f>
        <v>-16481133.987499999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-277862</v>
      </c>
      <c r="E51" s="66">
        <f>'ARUBA-FLSH'!M51</f>
        <v>-758375</v>
      </c>
      <c r="F51" s="60">
        <f>ARUBA_GL!D51</f>
        <v>0</v>
      </c>
      <c r="G51" s="38">
        <f>ARUBA_GL!E51</f>
        <v>0</v>
      </c>
      <c r="H51" s="60">
        <f>F51-D51</f>
        <v>277862</v>
      </c>
      <c r="I51" s="38">
        <f>G51-E51</f>
        <v>758375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-134078</v>
      </c>
      <c r="F54" s="60">
        <f>ARUBA_GL!D54</f>
        <v>-7488944</v>
      </c>
      <c r="G54" s="38">
        <f>ARUBA_GL!E54</f>
        <v>-129077.93000000001</v>
      </c>
      <c r="H54" s="60">
        <f>F54-D54</f>
        <v>-7488944</v>
      </c>
      <c r="I54" s="38">
        <f>G54-E54</f>
        <v>5000.0699999999924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-3576676.54</v>
      </c>
      <c r="H55" s="60">
        <f>F55-D55</f>
        <v>0</v>
      </c>
      <c r="I55" s="38">
        <f>G55-E55</f>
        <v>-660389.54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-3050365</v>
      </c>
      <c r="F56" s="61">
        <f t="shared" si="10"/>
        <v>-7488944</v>
      </c>
      <c r="G56" s="39">
        <f t="shared" si="10"/>
        <v>-3705754.47</v>
      </c>
      <c r="H56" s="61">
        <f t="shared" si="10"/>
        <v>-7488944</v>
      </c>
      <c r="I56" s="39">
        <f t="shared" si="10"/>
        <v>-655389.47000000009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-1948054</v>
      </c>
      <c r="F70" s="60">
        <f>ARUBA_GL!D70</f>
        <v>0</v>
      </c>
      <c r="G70" s="38">
        <f>ARUBA_GL!E70</f>
        <v>9155983</v>
      </c>
      <c r="H70" s="60">
        <f>F70-D70</f>
        <v>0</v>
      </c>
      <c r="I70" s="38">
        <f>G70-E70</f>
        <v>11104037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-10742902</v>
      </c>
      <c r="F71" s="60">
        <f>ARUBA_GL!D71</f>
        <v>0</v>
      </c>
      <c r="G71" s="38">
        <f>ARUBA_GL!E71</f>
        <v>-8513318.9399999995</v>
      </c>
      <c r="H71" s="60">
        <f>F71-D71</f>
        <v>0</v>
      </c>
      <c r="I71" s="38">
        <f>G71-E71</f>
        <v>2229583.0600000005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-12690956</v>
      </c>
      <c r="F72" s="69">
        <f t="shared" si="13"/>
        <v>0</v>
      </c>
      <c r="G72" s="70">
        <f t="shared" si="13"/>
        <v>642664.06000000052</v>
      </c>
      <c r="H72" s="69">
        <f t="shared" si="13"/>
        <v>0</v>
      </c>
      <c r="I72" s="70">
        <f t="shared" si="13"/>
        <v>13333620.060000001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11758324</v>
      </c>
      <c r="F74" s="60">
        <f>ARUBA_GL!D74</f>
        <v>0</v>
      </c>
      <c r="G74" s="38">
        <f>ARUBA_GL!E74</f>
        <v>185518.68</v>
      </c>
      <c r="H74" s="60">
        <f t="shared" ref="H74:I79" si="14">F74-D74</f>
        <v>0</v>
      </c>
      <c r="I74" s="38">
        <f t="shared" si="14"/>
        <v>-11572805.32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13249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-13249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-288087.42499999981</v>
      </c>
      <c r="F82" s="71">
        <f>F16+F24+F29+F36+F43+F45+F47+F49</f>
        <v>0</v>
      </c>
      <c r="G82" s="72">
        <f>SUM(G72:G81)+G16+G24+G29+G36+G43+G45+G47+G49+G51+G56+G61+G66</f>
        <v>1388451.4575000075</v>
      </c>
      <c r="H82" s="71">
        <f>H16+H24+H29+H36+H43+H45+H47+H49</f>
        <v>0</v>
      </c>
      <c r="I82" s="72">
        <f>SUM(I72:I81)+I16+I24+I29+I36+I43+I45+I47+I49+I51+I56+I61+I66</f>
        <v>1676538.8825000045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196365526</v>
      </c>
      <c r="E11" s="66">
        <f>'EAST-EGM-FLSH'!M11</f>
        <v>533064366</v>
      </c>
      <c r="F11" s="60">
        <f>'EAST-EGM-GL'!D11</f>
        <v>200010649</v>
      </c>
      <c r="G11" s="38">
        <f>'EAST-EGM-GL'!E11</f>
        <v>544325654.31999993</v>
      </c>
      <c r="H11" s="60">
        <f>F11-D11</f>
        <v>3645123</v>
      </c>
      <c r="I11" s="38">
        <f>G11-E11</f>
        <v>11261288.319999933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3306029.27</v>
      </c>
      <c r="H12" s="60">
        <f>F12-D12</f>
        <v>0</v>
      </c>
      <c r="I12" s="38">
        <f>G12-E12</f>
        <v>3306029.27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96028476</v>
      </c>
      <c r="E13" s="66">
        <f>'EAST-EGM-FLSH'!M13</f>
        <v>269283472</v>
      </c>
      <c r="F13" s="60">
        <f>'EAST-EGM-GL'!D13</f>
        <v>14550152</v>
      </c>
      <c r="G13" s="38">
        <f>'EAST-EGM-GL'!E13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10354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214560801</v>
      </c>
      <c r="G16" s="39">
        <f t="shared" si="1"/>
        <v>591367902.91999996</v>
      </c>
      <c r="H16" s="61">
        <f t="shared" si="1"/>
        <v>-77833201</v>
      </c>
      <c r="I16" s="39">
        <f t="shared" si="1"/>
        <v>-210990289.08000004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-195240163</v>
      </c>
      <c r="E19" s="66">
        <f>'EAST-EGM-FLSH'!M19</f>
        <v>-524044474</v>
      </c>
      <c r="F19" s="60">
        <f>'EAST-EGM-GL'!D19</f>
        <v>-199561466</v>
      </c>
      <c r="G19" s="38">
        <f>'EAST-EGM-GL'!E19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-5577675.8399999999</v>
      </c>
      <c r="H20" s="60">
        <f>F20-D20</f>
        <v>0</v>
      </c>
      <c r="I20" s="38">
        <f>G20-E20</f>
        <v>-5577675.8399999999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-95951921</v>
      </c>
      <c r="E21" s="66">
        <f>'EAST-EGM-FLSH'!M21</f>
        <v>-271284464</v>
      </c>
      <c r="F21" s="60">
        <f>'EAST-EGM-GL'!D21</f>
        <v>-14312104</v>
      </c>
      <c r="G21" s="38">
        <f>'EAST-EGM-GL'!E21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561927</v>
      </c>
      <c r="E23" s="66">
        <f>'EAST-EGM-FLSH'!M23</f>
        <v>1566495</v>
      </c>
      <c r="F23" s="60">
        <f>'EAST-EGM-GL'!D23</f>
        <v>1368078</v>
      </c>
      <c r="G23" s="38">
        <f>'EAST-EGM-GL'!E23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-575767773.898</v>
      </c>
      <c r="H24" s="61">
        <f t="shared" si="3"/>
        <v>78124665</v>
      </c>
      <c r="I24" s="39">
        <f t="shared" si="3"/>
        <v>217994669.102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781501</v>
      </c>
      <c r="G27" s="38">
        <f>'EAST-EGM-GL'!E27</f>
        <v>2125712.02</v>
      </c>
      <c r="H27" s="60">
        <f>F27-D27</f>
        <v>781501</v>
      </c>
      <c r="I27" s="38">
        <f>G27-E27</f>
        <v>2125712.02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-491982</v>
      </c>
      <c r="G28" s="38">
        <f>'EAST-EGM-GL'!E28</f>
        <v>-1308762.77</v>
      </c>
      <c r="H28" s="60">
        <f>F28-D28</f>
        <v>-491982</v>
      </c>
      <c r="I28" s="38">
        <f>G28-E28</f>
        <v>-1308762.77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289519</v>
      </c>
      <c r="G29" s="70">
        <f t="shared" si="4"/>
        <v>816949.25</v>
      </c>
      <c r="H29" s="69">
        <f t="shared" si="4"/>
        <v>289519</v>
      </c>
      <c r="I29" s="70">
        <f t="shared" si="4"/>
        <v>816949.25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13934</v>
      </c>
      <c r="E32" s="66">
        <f>'EAST-EGM-FLSH'!M32</f>
        <v>41850</v>
      </c>
      <c r="F32" s="60">
        <f>'EAST-EGM-GL'!D32</f>
        <v>-486645</v>
      </c>
      <c r="G32" s="38">
        <f>'EAST-EGM-GL'!E32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579330</v>
      </c>
      <c r="E33" s="66">
        <f>'EAST-EGM-FLSH'!M33</f>
        <v>1546257</v>
      </c>
      <c r="F33" s="60">
        <f>'EAST-EGM-GL'!D33</f>
        <v>-397497</v>
      </c>
      <c r="G33" s="38">
        <f>'EAST-EGM-GL'!E33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-721131</v>
      </c>
      <c r="E34" s="66">
        <f>'EAST-EGM-FLSH'!M34</f>
        <v>-1967200</v>
      </c>
      <c r="F34" s="60">
        <f>'EAST-EGM-GL'!D34</f>
        <v>162357</v>
      </c>
      <c r="G34" s="38">
        <f>'EAST-EGM-GL'!E34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-136134</v>
      </c>
      <c r="E35" s="66">
        <f>'EAST-EGM-FLSH'!M35</f>
        <v>-1121629</v>
      </c>
      <c r="F35" s="60">
        <f>'EAST-EGM-GL'!D35</f>
        <v>0</v>
      </c>
      <c r="G35" s="38">
        <f>'EAST-EGM-GL'!E35</f>
        <v>0</v>
      </c>
      <c r="H35" s="60">
        <f t="shared" si="5"/>
        <v>136134</v>
      </c>
      <c r="I35" s="38">
        <f t="shared" si="5"/>
        <v>1121629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1213095</v>
      </c>
      <c r="E39" s="66">
        <f>'EAST-EGM-FLSH'!M39</f>
        <v>3150492</v>
      </c>
      <c r="F39" s="60">
        <f>'EAST-EGM-GL'!D39</f>
        <v>39</v>
      </c>
      <c r="G39" s="38">
        <f>'EAST-EGM-GL'!E39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-2533756</v>
      </c>
      <c r="E40" s="66">
        <f>'EAST-EGM-FLSH'!M40</f>
        <v>-6709343</v>
      </c>
      <c r="F40" s="60">
        <f>'EAST-EGM-GL'!D40</f>
        <v>-1643354</v>
      </c>
      <c r="G40" s="38">
        <f>'EAST-EGM-GL'!E40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-156215</v>
      </c>
      <c r="E49" s="66">
        <f>'EAST-EGM-FLSH'!M49</f>
        <v>-410689.23499999999</v>
      </c>
      <c r="F49" s="60">
        <f>'EAST-EGM-GL'!D49</f>
        <v>20272</v>
      </c>
      <c r="G49" s="38">
        <f>'EAST-EGM-GL'!E49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-561927</v>
      </c>
      <c r="E51" s="66">
        <f>'EAST-EGM-FLSH'!M51</f>
        <v>-1566495</v>
      </c>
      <c r="F51" s="60">
        <f>'EAST-EGM-GL'!D51</f>
        <v>-1368078</v>
      </c>
      <c r="G51" s="38">
        <f>'EAST-EGM-GL'!E51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-2196592</v>
      </c>
      <c r="F54" s="60">
        <f>'EAST-EGM-GL'!D54</f>
        <v>-134719668</v>
      </c>
      <c r="G54" s="38">
        <f>'EAST-EGM-GL'!E54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-1736161</v>
      </c>
      <c r="F55" s="60">
        <f>'EAST-EGM-GL'!D55</f>
        <v>0</v>
      </c>
      <c r="G55" s="38">
        <f>'EAST-EGM-GL'!E55</f>
        <v>-8062631.79</v>
      </c>
      <c r="H55" s="60">
        <f>F55-D55</f>
        <v>0</v>
      </c>
      <c r="I55" s="38">
        <f>G55-E55</f>
        <v>-6326470.79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1165617.6111000003</v>
      </c>
      <c r="F70" s="60">
        <f>'EAST-EGM-GL'!D70</f>
        <v>0</v>
      </c>
      <c r="G70" s="38">
        <f>'EAST-EGM-GL'!E70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-563222</v>
      </c>
      <c r="F71" s="60">
        <f>'EAST-EGM-GL'!D71</f>
        <v>0</v>
      </c>
      <c r="G71" s="38">
        <f>'EAST-EGM-GL'!E71</f>
        <v>-563222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702407</v>
      </c>
      <c r="F74" s="60">
        <f>'EAST-EGM-GL'!D74</f>
        <v>0</v>
      </c>
      <c r="G74" s="38">
        <f>'EAST-EGM-GL'!E74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-34406</v>
      </c>
      <c r="F75" s="60">
        <f>'EAST-EGM-GL'!D75</f>
        <v>0</v>
      </c>
      <c r="G75" s="38">
        <f>'EAST-EGM-GL'!E75</f>
        <v>-34400</v>
      </c>
      <c r="H75" s="60">
        <f t="shared" si="14"/>
        <v>0</v>
      </c>
      <c r="I75" s="38">
        <f t="shared" si="14"/>
        <v>6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-5809</v>
      </c>
      <c r="F76" s="60">
        <f>'EAST-EGM-GL'!D76</f>
        <v>0</v>
      </c>
      <c r="G76" s="38">
        <f>'EAST-EGM-GL'!E76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-202500</v>
      </c>
      <c r="F80" s="60">
        <f>'EAST-EGM-GL'!D80</f>
        <v>0</v>
      </c>
      <c r="G80" s="38">
        <f>'EAST-EGM-GL'!E80</f>
        <v>-202500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-72206</v>
      </c>
      <c r="F81" s="60">
        <f>'EAST-EGM-GL'!D81</f>
        <v>0</v>
      </c>
      <c r="G81" s="38">
        <f>'EAST-EGM-GL'!E81</f>
        <v>451805.31999999995</v>
      </c>
      <c r="H81" s="60">
        <f>F81-D81</f>
        <v>0</v>
      </c>
      <c r="I81" s="38">
        <f>G81-E81</f>
        <v>524011.31999999995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22968</v>
      </c>
      <c r="E82" s="72">
        <f>SUM(E72:E81)+E16+E24+E29+E36+E43+E45+E47+E49+E51+E56+E61+E66</f>
        <v>-1996625.3689000462</v>
      </c>
      <c r="F82" s="71">
        <f>F16+F24+F29+F36+F43+F45+F47+F49</f>
        <v>0</v>
      </c>
      <c r="G82" s="72">
        <f>SUM(G72:G81)+G16+G24+G29+G36+G43+G45+G47+G49+G51+G56+G61+G66</f>
        <v>-2927672.5569999879</v>
      </c>
      <c r="H82" s="71">
        <f>H16+H24+H29+H36+H43+H45+H47+H49</f>
        <v>-22968</v>
      </c>
      <c r="I82" s="72">
        <f>SUM(I72:I81)+I16+I24+I29+I36+I43+I45+I47+I49+I51+I56+I61+I66</f>
        <v>-931047.18810003169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65999.69</v>
      </c>
      <c r="H89" s="160">
        <f t="shared" si="16"/>
        <v>0</v>
      </c>
      <c r="I89" s="160">
        <f t="shared" si="16"/>
        <v>-278137.31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-2861672.866999988</v>
      </c>
      <c r="H91" s="160">
        <f t="shared" si="17"/>
        <v>-22968</v>
      </c>
      <c r="I91" s="160">
        <f t="shared" si="17"/>
        <v>-1209184.4981000316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5562</v>
      </c>
      <c r="G11" s="38">
        <f>'EAST-LRC-GL'!E11</f>
        <v>-4773.9199999999983</v>
      </c>
      <c r="H11" s="60">
        <f>F11-D11</f>
        <v>5562</v>
      </c>
      <c r="I11" s="38">
        <f>G11-E11</f>
        <v>-4773.9199999999983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-147054.67000000001</v>
      </c>
      <c r="H12" s="60">
        <f>F12-D12</f>
        <v>0</v>
      </c>
      <c r="I12" s="38">
        <f>G12-E12</f>
        <v>-147054.67000000001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5562</v>
      </c>
      <c r="G16" s="39">
        <f t="shared" si="1"/>
        <v>-151828.59000000003</v>
      </c>
      <c r="H16" s="61">
        <f t="shared" si="1"/>
        <v>5562</v>
      </c>
      <c r="I16" s="39">
        <f t="shared" si="1"/>
        <v>-151828.59000000003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-65719.960000000006</v>
      </c>
      <c r="H20" s="60">
        <f>F20-D20</f>
        <v>0</v>
      </c>
      <c r="I20" s="38">
        <f>G20-E20</f>
        <v>-65719.960000000006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-65719.960000000006</v>
      </c>
      <c r="H24" s="61">
        <f t="shared" si="3"/>
        <v>0</v>
      </c>
      <c r="I24" s="39">
        <f t="shared" si="3"/>
        <v>-65719.960000000006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3835</v>
      </c>
      <c r="G27" s="38">
        <f>'EAST-LRC-GL'!E27</f>
        <v>10440</v>
      </c>
      <c r="H27" s="60">
        <f>F27-D27</f>
        <v>3835</v>
      </c>
      <c r="I27" s="38">
        <f>G27-E27</f>
        <v>10440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-9397</v>
      </c>
      <c r="G28" s="38">
        <f>'EAST-LRC-GL'!E28</f>
        <v>-25445</v>
      </c>
      <c r="H28" s="60">
        <f>F28-D28</f>
        <v>-9397</v>
      </c>
      <c r="I28" s="38">
        <f>G28-E28</f>
        <v>-25445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-5562</v>
      </c>
      <c r="G29" s="70">
        <f t="shared" si="4"/>
        <v>-15005</v>
      </c>
      <c r="H29" s="69">
        <f t="shared" si="4"/>
        <v>-5562</v>
      </c>
      <c r="I29" s="70">
        <f t="shared" si="4"/>
        <v>-15005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-232553.55000000005</v>
      </c>
      <c r="H82" s="71">
        <f>H16+H24+H29+H36+H43+H45+H47+H49</f>
        <v>0</v>
      </c>
      <c r="I82" s="72">
        <f>SUM(I72:I81)+I16+I24+I29+I36+I43+I45+I47+I49+I51+I56+I61+I66</f>
        <v>-232553.55000000005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196365526</v>
      </c>
      <c r="E11" s="66">
        <f>'EAST-CON-FLSH'!M11</f>
        <v>533064366</v>
      </c>
      <c r="F11" s="60">
        <f>'EAST-CON-GL '!D11</f>
        <v>200016211</v>
      </c>
      <c r="G11" s="38">
        <f>'EAST-CON-GL '!E11</f>
        <v>544320880.39999998</v>
      </c>
      <c r="H11" s="60">
        <f>F11-D11</f>
        <v>3650685</v>
      </c>
      <c r="I11" s="38">
        <f>G11-E11</f>
        <v>11256514.399999976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3158974.6</v>
      </c>
      <c r="H12" s="60">
        <f>F12-D12</f>
        <v>0</v>
      </c>
      <c r="I12" s="38">
        <f>G12-E12</f>
        <v>3158974.6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96028476</v>
      </c>
      <c r="E13" s="66">
        <f>'EAST-CON-FLSH'!M13</f>
        <v>269283472</v>
      </c>
      <c r="F13" s="60">
        <f>'EAST-CON-GL '!D13</f>
        <v>14550152</v>
      </c>
      <c r="G13" s="38">
        <f>'EAST-CON-GL 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10354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214566363</v>
      </c>
      <c r="G16" s="39">
        <f t="shared" si="1"/>
        <v>591216074.33000004</v>
      </c>
      <c r="H16" s="61">
        <f t="shared" si="1"/>
        <v>-77827639</v>
      </c>
      <c r="I16" s="39">
        <f t="shared" si="1"/>
        <v>-211142117.67000002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-195240163</v>
      </c>
      <c r="E19" s="66">
        <f>'EAST-CON-FLSH'!M19</f>
        <v>-524044474</v>
      </c>
      <c r="F19" s="60">
        <f>'EAST-CON-GL '!D19</f>
        <v>-199561466</v>
      </c>
      <c r="G19" s="38">
        <f>'EAST-CON-GL 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-5643395.7999999998</v>
      </c>
      <c r="H20" s="60">
        <f>F20-D20</f>
        <v>0</v>
      </c>
      <c r="I20" s="38">
        <f>G20-E20</f>
        <v>-5643395.7999999998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-95951921</v>
      </c>
      <c r="E21" s="66">
        <f>'EAST-CON-FLSH'!M21</f>
        <v>-271284464</v>
      </c>
      <c r="F21" s="60">
        <f>'EAST-CON-GL '!D21</f>
        <v>-14312104</v>
      </c>
      <c r="G21" s="38">
        <f>'EAST-CON-GL 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561927</v>
      </c>
      <c r="E23" s="66">
        <f>'EAST-CON-FLSH'!M23</f>
        <v>1566495</v>
      </c>
      <c r="F23" s="60">
        <f>'EAST-CON-GL '!D23</f>
        <v>1368078</v>
      </c>
      <c r="G23" s="38">
        <f>'EAST-CON-GL 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-575833493.85799992</v>
      </c>
      <c r="H24" s="61">
        <f t="shared" si="3"/>
        <v>78124665</v>
      </c>
      <c r="I24" s="39">
        <f t="shared" si="3"/>
        <v>217928949.14199999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785336</v>
      </c>
      <c r="G27" s="38">
        <f>'EAST-CON-GL '!E27</f>
        <v>2136152.02</v>
      </c>
      <c r="H27" s="60">
        <f>F27-D27</f>
        <v>785336</v>
      </c>
      <c r="I27" s="38">
        <f>G27-E27</f>
        <v>2136152.02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-501379</v>
      </c>
      <c r="G28" s="38">
        <f>'EAST-CON-GL '!E28</f>
        <v>-1334207.77</v>
      </c>
      <c r="H28" s="60">
        <f>F28-D28</f>
        <v>-501379</v>
      </c>
      <c r="I28" s="38">
        <f>G28-E28</f>
        <v>-1334207.77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283957</v>
      </c>
      <c r="G29" s="70">
        <f t="shared" si="4"/>
        <v>801944.25</v>
      </c>
      <c r="H29" s="69">
        <f t="shared" si="4"/>
        <v>283957</v>
      </c>
      <c r="I29" s="70">
        <f t="shared" si="4"/>
        <v>801944.25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13934</v>
      </c>
      <c r="E32" s="66">
        <f>'EAST-CON-FLSH'!M32</f>
        <v>41850</v>
      </c>
      <c r="F32" s="60">
        <f>'EAST-CON-GL '!D32</f>
        <v>-486645</v>
      </c>
      <c r="G32" s="38">
        <f>'EAST-CON-GL 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579330</v>
      </c>
      <c r="E33" s="66">
        <f>'EAST-CON-FLSH'!M33</f>
        <v>1546257</v>
      </c>
      <c r="F33" s="60">
        <f>'EAST-CON-GL '!D33</f>
        <v>-397497</v>
      </c>
      <c r="G33" s="38">
        <f>'EAST-CON-GL 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-721131</v>
      </c>
      <c r="E34" s="66">
        <f>'EAST-CON-FLSH'!M34</f>
        <v>-1967200</v>
      </c>
      <c r="F34" s="60">
        <f>'EAST-CON-GL '!D34</f>
        <v>162357</v>
      </c>
      <c r="G34" s="38">
        <f>'EAST-CON-GL 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-136134</v>
      </c>
      <c r="E35" s="66">
        <f>'EAST-CON-FLSH'!M35</f>
        <v>-1121629</v>
      </c>
      <c r="F35" s="60">
        <f>'EAST-CON-GL '!D35</f>
        <v>0</v>
      </c>
      <c r="G35" s="38">
        <f>'EAST-CON-GL '!E35</f>
        <v>0</v>
      </c>
      <c r="H35" s="60">
        <f t="shared" si="5"/>
        <v>136134</v>
      </c>
      <c r="I35" s="38">
        <f t="shared" si="5"/>
        <v>1121629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1213095</v>
      </c>
      <c r="E39" s="66">
        <f>'EAST-CON-FLSH'!M39</f>
        <v>3150492</v>
      </c>
      <c r="F39" s="60">
        <f>'EAST-CON-GL '!D39</f>
        <v>39</v>
      </c>
      <c r="G39" s="38">
        <f>'EAST-CON-GL 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-2533756</v>
      </c>
      <c r="E40" s="66">
        <f>'EAST-CON-FLSH'!M40</f>
        <v>-6709343</v>
      </c>
      <c r="F40" s="60">
        <f>'EAST-CON-GL '!D40</f>
        <v>-1643354</v>
      </c>
      <c r="G40" s="38">
        <f>'EAST-CON-GL 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-156215</v>
      </c>
      <c r="E49" s="66">
        <f>'EAST-CON-FLSH'!M49</f>
        <v>-410689.23499999999</v>
      </c>
      <c r="F49" s="60">
        <f>'EAST-CON-GL '!D49</f>
        <v>20272</v>
      </c>
      <c r="G49" s="38">
        <f>'EAST-CON-GL 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-561927</v>
      </c>
      <c r="E51" s="66">
        <f>'EAST-CON-FLSH'!M51</f>
        <v>-1566495</v>
      </c>
      <c r="F51" s="60">
        <f>'EAST-CON-GL '!D51</f>
        <v>-1368078</v>
      </c>
      <c r="G51" s="38">
        <f>'EAST-CON-GL 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-2196592</v>
      </c>
      <c r="F54" s="60">
        <f>'EAST-CON-GL '!D54</f>
        <v>-134719668</v>
      </c>
      <c r="G54" s="38">
        <f>'EAST-CON-GL 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-1736161</v>
      </c>
      <c r="F55" s="60">
        <f>'EAST-CON-GL '!D55</f>
        <v>0</v>
      </c>
      <c r="G55" s="38">
        <f>'EAST-CON-GL '!E55</f>
        <v>-8062631.79</v>
      </c>
      <c r="H55" s="60">
        <f>F55-D55</f>
        <v>0</v>
      </c>
      <c r="I55" s="38">
        <f>G55-E55</f>
        <v>-6326470.79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1165617.6111000003</v>
      </c>
      <c r="F70" s="60">
        <f>'EAST-CON-GL '!D70</f>
        <v>0</v>
      </c>
      <c r="G70" s="38">
        <f>'EAST-CON-GL 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-563222</v>
      </c>
      <c r="F71" s="60">
        <f>'EAST-CON-GL '!D71</f>
        <v>0</v>
      </c>
      <c r="G71" s="38">
        <f>'EAST-CON-GL '!E71</f>
        <v>-563222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702407</v>
      </c>
      <c r="F74" s="60">
        <f>'EAST-CON-GL '!D74</f>
        <v>0</v>
      </c>
      <c r="G74" s="38">
        <f>'EAST-CON-GL 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-34406</v>
      </c>
      <c r="F75" s="60">
        <f>'EAST-CON-GL '!D75</f>
        <v>0</v>
      </c>
      <c r="G75" s="38">
        <f>'EAST-CON-GL '!E75</f>
        <v>-34400</v>
      </c>
      <c r="H75" s="60">
        <f t="shared" si="14"/>
        <v>0</v>
      </c>
      <c r="I75" s="38">
        <f t="shared" si="14"/>
        <v>6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-5809</v>
      </c>
      <c r="F76" s="60">
        <f>'EAST-CON-GL '!D76</f>
        <v>0</v>
      </c>
      <c r="G76" s="38">
        <f>'EAST-CON-GL 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-202500</v>
      </c>
      <c r="F80" s="60">
        <f>'EAST-CON-GL '!D80</f>
        <v>0</v>
      </c>
      <c r="G80" s="38">
        <f>'EAST-CON-GL '!E80</f>
        <v>-202500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-72206</v>
      </c>
      <c r="F81" s="60">
        <f>'EAST-CON-GL '!D81</f>
        <v>0</v>
      </c>
      <c r="G81" s="38">
        <f>'EAST-CON-GL '!E81</f>
        <v>451805.31999999995</v>
      </c>
      <c r="H81" s="60">
        <f>F81-D81</f>
        <v>0</v>
      </c>
      <c r="I81" s="38">
        <f>G81-E81</f>
        <v>524011.31999999995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22968</v>
      </c>
      <c r="E82" s="110">
        <f>SUM(E72:E81)+E16+E24+E29+E36+E43+E45+E47+E49+E51+E56+E61+E66</f>
        <v>-1996625.3689000462</v>
      </c>
      <c r="F82" s="109">
        <f>F16+F24+F29+F36+F43+F45+F47+F49</f>
        <v>0</v>
      </c>
      <c r="G82" s="110">
        <f>SUM(G72:G81)+G16+G24+G29+G36+G43+G45+G47+G49+G51+G56+G61+G66</f>
        <v>-3160226.106999821</v>
      </c>
      <c r="H82" s="109">
        <f>H16+H24+H29+H36+H43+H45+H47+H49</f>
        <v>-22968</v>
      </c>
      <c r="I82" s="110">
        <f>SUM(I72:I81)+I16+I24+I29+I36+I43+I45+I47+I49+I51+I56+I61+I66</f>
        <v>-1163600.7381000137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65999.69</v>
      </c>
      <c r="H89" s="155">
        <f t="shared" si="16"/>
        <v>0</v>
      </c>
      <c r="I89" s="155">
        <f t="shared" si="16"/>
        <v>-278137.31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-3094226.4169998211</v>
      </c>
      <c r="H91" s="160">
        <f t="shared" si="17"/>
        <v>-22968</v>
      </c>
      <c r="I91" s="160">
        <f t="shared" si="17"/>
        <v>-1441738.0481000138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-1652488.3689000462</v>
      </c>
      <c r="G94" s="14">
        <f>+'EAST-EGM-VAR'!G91+'EAST-LRC-VAR'!G82</f>
        <v>-3094226.4169999883</v>
      </c>
      <c r="I94" s="14">
        <f>+'EAST-EGM-VAR'!I91+'EAST-LRC-VAR'!I82</f>
        <v>-1441738.0481000317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14334003</v>
      </c>
      <c r="E11" s="66">
        <f>'TX-EGM-FLSH'!M11</f>
        <v>37623502.069999993</v>
      </c>
      <c r="F11" s="60">
        <f>'TX-EGM-GL'!D11</f>
        <v>13854441</v>
      </c>
      <c r="G11" s="38">
        <f>'TX-EGM-GL'!E11</f>
        <v>37795452.32</v>
      </c>
      <c r="H11" s="60">
        <f>F11-D11</f>
        <v>-479562</v>
      </c>
      <c r="I11" s="38">
        <f>G11-E11</f>
        <v>171950.25000000745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-3186873.06</v>
      </c>
      <c r="H12" s="60">
        <f>F12-D12</f>
        <v>0</v>
      </c>
      <c r="I12" s="38">
        <f>G12-E12</f>
        <v>-3186873.06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231232</v>
      </c>
      <c r="E13" s="66">
        <f>'TX-EGM-FLSH'!M13</f>
        <v>623375.39</v>
      </c>
      <c r="F13" s="60">
        <f>'TX-EGM-GL'!D13</f>
        <v>429232</v>
      </c>
      <c r="G13" s="38">
        <f>'TX-EGM-GL'!E13</f>
        <v>1157267</v>
      </c>
      <c r="H13" s="60">
        <f t="shared" ref="H13:I15" si="0">F13-D13</f>
        <v>198000</v>
      </c>
      <c r="I13" s="38">
        <f t="shared" si="0"/>
        <v>533891.61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1876275</v>
      </c>
      <c r="H15" s="60">
        <f t="shared" si="0"/>
        <v>0</v>
      </c>
      <c r="I15" s="38">
        <f t="shared" si="0"/>
        <v>1756275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14565235</v>
      </c>
      <c r="E16" s="39">
        <f t="shared" si="1"/>
        <v>38366877.459999993</v>
      </c>
      <c r="F16" s="61">
        <f t="shared" si="1"/>
        <v>14283673</v>
      </c>
      <c r="G16" s="39">
        <f t="shared" si="1"/>
        <v>37642121.259999998</v>
      </c>
      <c r="H16" s="61">
        <f t="shared" si="1"/>
        <v>-281562</v>
      </c>
      <c r="I16" s="39">
        <f t="shared" si="1"/>
        <v>-724756.19999999274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-4774355</v>
      </c>
      <c r="E19" s="66">
        <f>'TX-EGM-FLSH'!M19</f>
        <v>-12227599.229999989</v>
      </c>
      <c r="F19" s="60">
        <f>'TX-EGM-GL'!D19</f>
        <v>-4695131</v>
      </c>
      <c r="G19" s="38">
        <f>'TX-EGM-GL'!E19</f>
        <v>-11979028.949999999</v>
      </c>
      <c r="H19" s="60">
        <f>F19-D19</f>
        <v>79224</v>
      </c>
      <c r="I19" s="38">
        <f>G19-E19</f>
        <v>248570.27999999002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1741459.37</v>
      </c>
      <c r="H20" s="60">
        <f>F20-D20</f>
        <v>0</v>
      </c>
      <c r="I20" s="38">
        <f>G20-E20</f>
        <v>1741459.37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-19000</v>
      </c>
      <c r="E21" s="66">
        <f>'TX-EGM-FLSH'!M21</f>
        <v>-50650</v>
      </c>
      <c r="F21" s="60">
        <f>'TX-EGM-GL'!D21</f>
        <v>-21000</v>
      </c>
      <c r="G21" s="38">
        <f>'TX-EGM-GL'!E21</f>
        <v>-55982</v>
      </c>
      <c r="H21" s="60">
        <f t="shared" ref="H21:I23" si="2">F21-D21</f>
        <v>-2000</v>
      </c>
      <c r="I21" s="38">
        <f t="shared" si="2"/>
        <v>-5332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15686</v>
      </c>
      <c r="E23" s="66">
        <f>'TX-EGM-FLSH'!M23</f>
        <v>42585.120000000003</v>
      </c>
      <c r="F23" s="60">
        <f>'TX-EGM-GL'!D23</f>
        <v>19392</v>
      </c>
      <c r="G23" s="38">
        <f>'TX-EGM-GL'!E23</f>
        <v>49255.679999999993</v>
      </c>
      <c r="H23" s="60">
        <f t="shared" si="2"/>
        <v>3706</v>
      </c>
      <c r="I23" s="38">
        <f t="shared" si="2"/>
        <v>6670.5599999999904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-4777669</v>
      </c>
      <c r="E24" s="39">
        <f t="shared" si="3"/>
        <v>-12235664.10999999</v>
      </c>
      <c r="F24" s="61">
        <f t="shared" si="3"/>
        <v>-4696739</v>
      </c>
      <c r="G24" s="39">
        <f t="shared" si="3"/>
        <v>-10244295.899999999</v>
      </c>
      <c r="H24" s="61">
        <f t="shared" si="3"/>
        <v>80930</v>
      </c>
      <c r="I24" s="39">
        <f t="shared" si="3"/>
        <v>1991368.2099999902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24311564</v>
      </c>
      <c r="E27" s="66">
        <f>'TX-EGM-FLSH'!M27</f>
        <v>67805876.079999998</v>
      </c>
      <c r="F27" s="60">
        <f>'TX-EGM-GL'!D27</f>
        <v>9811423</v>
      </c>
      <c r="G27" s="38">
        <f>'TX-EGM-GL'!E27</f>
        <v>27513588.5</v>
      </c>
      <c r="H27" s="60">
        <f>F27-D27</f>
        <v>-14500141</v>
      </c>
      <c r="I27" s="38">
        <f>G27-E27</f>
        <v>-40292287.579999998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-25280680</v>
      </c>
      <c r="E28" s="66">
        <f>'TX-EGM-FLSH'!M28</f>
        <v>-70510817.640000001</v>
      </c>
      <c r="F28" s="60">
        <f>'TX-EGM-GL'!D28</f>
        <v>-19127789</v>
      </c>
      <c r="G28" s="38">
        <f>'TX-EGM-GL'!E28</f>
        <v>-53611488</v>
      </c>
      <c r="H28" s="60">
        <f>F28-D28</f>
        <v>6152891</v>
      </c>
      <c r="I28" s="38">
        <f>G28-E28</f>
        <v>16899329.640000001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-969116</v>
      </c>
      <c r="E29" s="70">
        <f t="shared" si="4"/>
        <v>-2704941.5600000024</v>
      </c>
      <c r="F29" s="69">
        <f t="shared" si="4"/>
        <v>-9316366</v>
      </c>
      <c r="G29" s="70">
        <f t="shared" si="4"/>
        <v>-26097899.5</v>
      </c>
      <c r="H29" s="69">
        <f t="shared" si="4"/>
        <v>-8347250</v>
      </c>
      <c r="I29" s="70">
        <f t="shared" si="4"/>
        <v>-23392957.939999998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-234896</v>
      </c>
      <c r="G32" s="38">
        <f>'TX-EGM-GL'!E32</f>
        <v>-596635.83999999985</v>
      </c>
      <c r="H32" s="60">
        <f>F32-D32</f>
        <v>-234896</v>
      </c>
      <c r="I32" s="38">
        <f>G32-E32</f>
        <v>-596635.83999999985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-234896</v>
      </c>
      <c r="G36" s="39">
        <f t="shared" si="6"/>
        <v>-596635.83999999985</v>
      </c>
      <c r="H36" s="61">
        <f t="shared" si="6"/>
        <v>-234896</v>
      </c>
      <c r="I36" s="39">
        <f t="shared" si="6"/>
        <v>-596635.83999999985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171553</v>
      </c>
      <c r="G39" s="38">
        <f>'TX-EGM-GL'!E39</f>
        <v>435744.62</v>
      </c>
      <c r="H39" s="60">
        <f t="shared" ref="H39:I41" si="7">F39-D39</f>
        <v>171553</v>
      </c>
      <c r="I39" s="38">
        <f t="shared" si="7"/>
        <v>435744.62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-231232</v>
      </c>
      <c r="E40" s="66">
        <f>'TX-EGM-FLSH'!M40</f>
        <v>-623375.44999999995</v>
      </c>
      <c r="F40" s="60">
        <f>'TX-EGM-GL'!D40</f>
        <v>0</v>
      </c>
      <c r="G40" s="38">
        <f>'TX-EGM-GL'!E40</f>
        <v>0</v>
      </c>
      <c r="H40" s="60">
        <f t="shared" si="7"/>
        <v>231232</v>
      </c>
      <c r="I40" s="38">
        <f t="shared" si="7"/>
        <v>623375.44999999995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-231232</v>
      </c>
      <c r="E42" s="70">
        <f t="shared" si="8"/>
        <v>-623375.44999999995</v>
      </c>
      <c r="F42" s="69">
        <f t="shared" si="8"/>
        <v>0</v>
      </c>
      <c r="G42" s="70">
        <f t="shared" si="8"/>
        <v>0</v>
      </c>
      <c r="H42" s="69">
        <f t="shared" si="8"/>
        <v>231232</v>
      </c>
      <c r="I42" s="70">
        <f t="shared" si="8"/>
        <v>623375.44999999995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-231232</v>
      </c>
      <c r="E43" s="39">
        <f t="shared" si="9"/>
        <v>-623375.44999999995</v>
      </c>
      <c r="F43" s="61">
        <f t="shared" si="9"/>
        <v>171553</v>
      </c>
      <c r="G43" s="39">
        <f t="shared" si="9"/>
        <v>435744.62</v>
      </c>
      <c r="H43" s="61">
        <f t="shared" si="9"/>
        <v>402785</v>
      </c>
      <c r="I43" s="39">
        <f t="shared" si="9"/>
        <v>1059120.0699999998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-8587218</v>
      </c>
      <c r="E49" s="66">
        <f>'TX-EGM-FLSH'!M49</f>
        <v>-21814188.702608138</v>
      </c>
      <c r="F49" s="60">
        <f>'TX-EGM-GL'!D49</f>
        <v>-207225</v>
      </c>
      <c r="G49" s="38">
        <f>'TX-EGM-GL'!E49</f>
        <v>-526351.5</v>
      </c>
      <c r="H49" s="60">
        <f>F49-D49</f>
        <v>8379993</v>
      </c>
      <c r="I49" s="38">
        <f>G49-E49</f>
        <v>21287837.202608138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-15686</v>
      </c>
      <c r="E51" s="66">
        <f>'TX-EGM-FLSH'!M51</f>
        <v>0</v>
      </c>
      <c r="F51" s="60">
        <f>'TX-EGM-GL'!D51</f>
        <v>-19392</v>
      </c>
      <c r="G51" s="38">
        <f>'TX-EGM-GL'!E51</f>
        <v>-49255.679999999993</v>
      </c>
      <c r="H51" s="60">
        <f>F51-D51</f>
        <v>-3706</v>
      </c>
      <c r="I51" s="38">
        <f>G51-E51</f>
        <v>-49255.679999999993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-551397</v>
      </c>
      <c r="F54" s="60">
        <f>'TX-EGM-GL'!D54</f>
        <v>-18605488</v>
      </c>
      <c r="G54" s="38">
        <f>'TX-EGM-GL'!E54</f>
        <v>-336775.86</v>
      </c>
      <c r="H54" s="60">
        <f>F54-D54</f>
        <v>-18605488</v>
      </c>
      <c r="I54" s="38">
        <f>G54-E54</f>
        <v>214621.14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-174300</v>
      </c>
      <c r="H55" s="60">
        <f>F55-D55</f>
        <v>0</v>
      </c>
      <c r="I55" s="38">
        <f>G55-E55</f>
        <v>-174300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-551397</v>
      </c>
      <c r="F56" s="61">
        <f t="shared" si="10"/>
        <v>-18605488</v>
      </c>
      <c r="G56" s="39">
        <f t="shared" si="10"/>
        <v>-511075.86</v>
      </c>
      <c r="H56" s="61">
        <f t="shared" si="10"/>
        <v>-18605488</v>
      </c>
      <c r="I56" s="39">
        <f t="shared" si="10"/>
        <v>40321.140000000014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-546.73</v>
      </c>
      <c r="H64" s="60">
        <f>F64-D64</f>
        <v>0</v>
      </c>
      <c r="I64" s="38">
        <f>G64-E64</f>
        <v>-546.73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-546.73</v>
      </c>
      <c r="H66" s="61">
        <f t="shared" si="12"/>
        <v>0</v>
      </c>
      <c r="I66" s="39">
        <f t="shared" si="12"/>
        <v>-546.73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-8691498.1899999995</v>
      </c>
      <c r="F70" s="60">
        <f>'TX-EGM-GL'!D70</f>
        <v>0</v>
      </c>
      <c r="G70" s="38">
        <f>'TX-EGM-GL'!E70</f>
        <v>-8691498.1899999995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7489615</v>
      </c>
      <c r="F71" s="60">
        <f>'TX-EGM-GL'!D71</f>
        <v>0</v>
      </c>
      <c r="G71" s="38">
        <f>'TX-EGM-GL'!E71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1296213.95</v>
      </c>
      <c r="F74" s="60">
        <f>'TX-EGM-GL'!D74</f>
        <v>0</v>
      </c>
      <c r="G74" s="38">
        <f>'TX-EGM-GL'!E74</f>
        <v>-63468.65</v>
      </c>
      <c r="H74" s="60">
        <f t="shared" ref="H74:I79" si="14">F74-D74</f>
        <v>0</v>
      </c>
      <c r="I74" s="38">
        <f t="shared" si="14"/>
        <v>-1359682.5999999999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2584</v>
      </c>
      <c r="F75" s="60">
        <f>'TX-EGM-GL'!D75</f>
        <v>0</v>
      </c>
      <c r="G75" s="38">
        <f>'TX-EGM-GL'!E75</f>
        <v>2600</v>
      </c>
      <c r="H75" s="60">
        <f t="shared" si="14"/>
        <v>0</v>
      </c>
      <c r="I75" s="38">
        <f t="shared" si="14"/>
        <v>16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-1075</v>
      </c>
      <c r="F76" s="60">
        <f>'TX-EGM-GL'!D76</f>
        <v>0</v>
      </c>
      <c r="G76" s="38">
        <f>'TX-EGM-GL'!E76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102711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635861.39739185944</v>
      </c>
      <c r="F82" s="109">
        <f>F16+F24+F29+F36+F43+F45+F47+F49</f>
        <v>0</v>
      </c>
      <c r="G82" s="110">
        <f>SUM(G72:G81)+G16+G24+G29+G36+G43+G45+G47+G49+G51+G56+G61+G66</f>
        <v>-1213673.3599999971</v>
      </c>
      <c r="H82" s="109">
        <f>H16+H24+H29+H36+H43+H45+H47+H49</f>
        <v>0</v>
      </c>
      <c r="I82" s="110">
        <f>SUM(I72:I81)+I16+I24+I29+I36+I43+I45+I47+I49+I51+I56+I61+I66</f>
        <v>-1849534.757391863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409408.67</v>
      </c>
      <c r="H86" s="145">
        <f t="shared" ref="H86:I88" si="15">F86-D86</f>
        <v>0</v>
      </c>
      <c r="I86" s="145">
        <f t="shared" si="15"/>
        <v>339336.67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409408.67</v>
      </c>
      <c r="H89" s="160">
        <f t="shared" si="16"/>
        <v>0</v>
      </c>
      <c r="I89" s="160">
        <f t="shared" si="16"/>
        <v>339336.67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705933.39739185944</v>
      </c>
      <c r="F91" s="160">
        <f t="shared" si="17"/>
        <v>0</v>
      </c>
      <c r="G91" s="160">
        <f t="shared" si="17"/>
        <v>-804264.68999999715</v>
      </c>
      <c r="H91" s="160">
        <f t="shared" si="17"/>
        <v>0</v>
      </c>
      <c r="I91" s="160">
        <f t="shared" si="17"/>
        <v>-1510198.0873918631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134382</v>
      </c>
      <c r="E11" s="66">
        <f>'TX-HPLR-FLSH'!M11</f>
        <v>349320.93000000715</v>
      </c>
      <c r="F11" s="60">
        <f>'TX-HPLR-GL '!D11</f>
        <v>135076</v>
      </c>
      <c r="G11" s="38">
        <f>'TX-HPLR-GL '!E11</f>
        <v>354034.19999999995</v>
      </c>
      <c r="H11" s="60">
        <f>F11-D11</f>
        <v>694</v>
      </c>
      <c r="I11" s="38">
        <f>G11-E11</f>
        <v>4713.2699999928009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0.60999999986961484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-0.60999999986961484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134382</v>
      </c>
      <c r="E16" s="39">
        <f t="shared" si="1"/>
        <v>349321.54000000702</v>
      </c>
      <c r="F16" s="61">
        <f t="shared" si="1"/>
        <v>135076</v>
      </c>
      <c r="G16" s="39">
        <f t="shared" si="1"/>
        <v>351132.6</v>
      </c>
      <c r="H16" s="61">
        <f t="shared" si="1"/>
        <v>694</v>
      </c>
      <c r="I16" s="39">
        <f t="shared" si="1"/>
        <v>1811.0599999929314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-10.770000010728836</v>
      </c>
      <c r="F19" s="60">
        <f>'TX-HPLR-GL '!D19</f>
        <v>0</v>
      </c>
      <c r="G19" s="38">
        <f>'TX-HPLR-GL '!E19</f>
        <v>-248769</v>
      </c>
      <c r="H19" s="60">
        <f>F19-D19</f>
        <v>0</v>
      </c>
      <c r="I19" s="38">
        <f>G19-E19</f>
        <v>-248758.22999998927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4.8799999999973807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-4.8799999999973807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-5.8900000107314554</v>
      </c>
      <c r="F24" s="61">
        <f t="shared" si="3"/>
        <v>0</v>
      </c>
      <c r="G24" s="39">
        <f t="shared" si="3"/>
        <v>-248769</v>
      </c>
      <c r="H24" s="61">
        <f t="shared" si="3"/>
        <v>0</v>
      </c>
      <c r="I24" s="39">
        <f t="shared" si="3"/>
        <v>-248763.10999998928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8.9200000166893005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-8.9200000166893005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-134382</v>
      </c>
      <c r="E28" s="66">
        <f>'TX-HPLR-FLSH'!M28</f>
        <v>-349396.36000001431</v>
      </c>
      <c r="F28" s="60">
        <f>'TX-HPLR-GL '!D28</f>
        <v>-135076</v>
      </c>
      <c r="G28" s="38">
        <f>'TX-HPLR-GL '!E28</f>
        <v>-351197.60000000003</v>
      </c>
      <c r="H28" s="60">
        <f>F28-D28</f>
        <v>-694</v>
      </c>
      <c r="I28" s="38">
        <f>G28-E28</f>
        <v>-1801.2399999857298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-134382</v>
      </c>
      <c r="E29" s="70">
        <f t="shared" si="4"/>
        <v>-349387.43999999762</v>
      </c>
      <c r="F29" s="69">
        <f t="shared" si="4"/>
        <v>-135076</v>
      </c>
      <c r="G29" s="70">
        <f t="shared" si="4"/>
        <v>-351197.60000000003</v>
      </c>
      <c r="H29" s="69">
        <f t="shared" si="4"/>
        <v>-694</v>
      </c>
      <c r="I29" s="70">
        <f t="shared" si="4"/>
        <v>-1810.1600000024191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0.44999999995343387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-0.44999999995343387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0.44999999995343387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-0.44999999995343387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0.44999999995343387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-0.44999999995343387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15686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-15686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-71.340000001364388</v>
      </c>
      <c r="F82" s="109">
        <f>F16+F24+F29+F36+F43+F45+F47+F49</f>
        <v>0</v>
      </c>
      <c r="G82" s="110">
        <f>SUM(G72:G81)+G16+G24+G29+G36+G43+G45+G47+G49+G51+G56+G61+G66</f>
        <v>-248834.00000000006</v>
      </c>
      <c r="H82" s="109">
        <f>H16+H24+H29+H36+H43+H45+H47+H49</f>
        <v>0</v>
      </c>
      <c r="I82" s="110">
        <f>SUM(I72:I81)+I16+I24+I29+I36+I43+I45+I47+I49+I51+I56+I61+I66</f>
        <v>-248762.65999999872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43609622</v>
      </c>
      <c r="E11" s="66">
        <f>'TX-HPLC-FLSH'!M11</f>
        <v>111242090</v>
      </c>
      <c r="F11" s="60">
        <f>'TX-HPLC-GL'!D11</f>
        <v>44563002</v>
      </c>
      <c r="G11" s="38">
        <f>'TX-HPLC-GL'!E11</f>
        <v>115067617</v>
      </c>
      <c r="H11" s="60">
        <f>F11-D11</f>
        <v>953380</v>
      </c>
      <c r="I11" s="38">
        <f>G11-E11</f>
        <v>3825527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-289230.28000000003</v>
      </c>
      <c r="H12" s="60">
        <f>F12-D12</f>
        <v>0</v>
      </c>
      <c r="I12" s="38">
        <f>G12-E12</f>
        <v>-289230.28000000003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553423</v>
      </c>
      <c r="E13" s="66">
        <f>'TX-HPLC-FLSH'!M13</f>
        <v>1469905</v>
      </c>
      <c r="F13" s="60">
        <f>'TX-HPLC-GL'!D13</f>
        <v>0</v>
      </c>
      <c r="G13" s="38">
        <f>'TX-HPLC-GL'!E13</f>
        <v>0</v>
      </c>
      <c r="H13" s="60">
        <f t="shared" ref="H13:I15" si="0">F13-D13</f>
        <v>-553423</v>
      </c>
      <c r="I13" s="38">
        <f t="shared" si="0"/>
        <v>-1469905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44163045</v>
      </c>
      <c r="E16" s="39">
        <f t="shared" si="1"/>
        <v>112711995</v>
      </c>
      <c r="F16" s="61">
        <f t="shared" si="1"/>
        <v>44563002</v>
      </c>
      <c r="G16" s="39">
        <f t="shared" si="1"/>
        <v>114778386.72</v>
      </c>
      <c r="H16" s="61">
        <f t="shared" si="1"/>
        <v>399957</v>
      </c>
      <c r="I16" s="39">
        <f t="shared" si="1"/>
        <v>2066391.7199999997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-61703776</v>
      </c>
      <c r="E19" s="66">
        <f>'TX-HPLC-FLSH'!M19</f>
        <v>-155304261</v>
      </c>
      <c r="F19" s="60">
        <f>'TX-HPLC-GL'!D19</f>
        <v>-61360160</v>
      </c>
      <c r="G19" s="38">
        <f>'TX-HPLC-GL'!E19</f>
        <v>-155163168</v>
      </c>
      <c r="H19" s="60">
        <f>F19-D19</f>
        <v>343616</v>
      </c>
      <c r="I19" s="38">
        <f>G19-E19</f>
        <v>141093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-714575.09</v>
      </c>
      <c r="H20" s="60">
        <f>F20-D20</f>
        <v>0</v>
      </c>
      <c r="I20" s="38">
        <f>G20-E20</f>
        <v>-714575.09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-2604000</v>
      </c>
      <c r="E21" s="66">
        <f>'TX-HPLC-FLSH'!M21</f>
        <v>-7068986</v>
      </c>
      <c r="F21" s="60">
        <f>'TX-HPLC-GL'!D21</f>
        <v>0</v>
      </c>
      <c r="G21" s="38">
        <f>'TX-HPLC-GL'!E21</f>
        <v>0</v>
      </c>
      <c r="H21" s="60">
        <f t="shared" ref="H21:I23" si="2">F21-D21</f>
        <v>2604000</v>
      </c>
      <c r="I21" s="38">
        <f t="shared" si="2"/>
        <v>7068986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3607</v>
      </c>
      <c r="E23" s="66">
        <f>'TX-HPLC-FLSH'!M23</f>
        <v>9896</v>
      </c>
      <c r="F23" s="60">
        <f>'TX-HPLC-GL'!D23</f>
        <v>0</v>
      </c>
      <c r="G23" s="38">
        <f>'TX-HPLC-GL'!E23</f>
        <v>0</v>
      </c>
      <c r="H23" s="60">
        <f t="shared" si="2"/>
        <v>-3607</v>
      </c>
      <c r="I23" s="38">
        <f t="shared" si="2"/>
        <v>-9896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-64304169</v>
      </c>
      <c r="E24" s="39">
        <f t="shared" si="3"/>
        <v>-162363351</v>
      </c>
      <c r="F24" s="61">
        <f t="shared" si="3"/>
        <v>-61360160</v>
      </c>
      <c r="G24" s="39">
        <f t="shared" si="3"/>
        <v>-155877743.09</v>
      </c>
      <c r="H24" s="61">
        <f t="shared" si="3"/>
        <v>2944009</v>
      </c>
      <c r="I24" s="39">
        <f t="shared" si="3"/>
        <v>6485607.9100000001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86031792</v>
      </c>
      <c r="E27" s="66">
        <f>'TX-HPLC-FLSH'!M27</f>
        <v>234504731</v>
      </c>
      <c r="F27" s="60">
        <f>'TX-HPLC-GL'!D27</f>
        <v>19678389</v>
      </c>
      <c r="G27" s="38">
        <f>'TX-HPLC-GL'!E27</f>
        <v>55045940</v>
      </c>
      <c r="H27" s="60">
        <f>F27-D27</f>
        <v>-66353403</v>
      </c>
      <c r="I27" s="38">
        <f>G27-E27</f>
        <v>-179458791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-84236884</v>
      </c>
      <c r="E28" s="66">
        <f>'TX-HPLC-FLSH'!M28</f>
        <v>-229653994</v>
      </c>
      <c r="F28" s="60">
        <f>'TX-HPLC-GL'!D28</f>
        <v>-12499515</v>
      </c>
      <c r="G28" s="38">
        <f>'TX-HPLC-GL'!E28</f>
        <v>-34817790</v>
      </c>
      <c r="H28" s="60">
        <f>F28-D28</f>
        <v>71737369</v>
      </c>
      <c r="I28" s="38">
        <f>G28-E28</f>
        <v>194836204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1794908</v>
      </c>
      <c r="E29" s="70">
        <f t="shared" si="4"/>
        <v>4850737</v>
      </c>
      <c r="F29" s="69">
        <f t="shared" si="4"/>
        <v>7178874</v>
      </c>
      <c r="G29" s="70">
        <f t="shared" si="4"/>
        <v>20228150</v>
      </c>
      <c r="H29" s="69">
        <f t="shared" si="4"/>
        <v>5383966</v>
      </c>
      <c r="I29" s="70">
        <f t="shared" si="4"/>
        <v>15377413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448185</v>
      </c>
      <c r="G32" s="38">
        <f>'TX-HPLC-GL'!E32</f>
        <v>1138390</v>
      </c>
      <c r="H32" s="60">
        <f>F32-D32</f>
        <v>448185</v>
      </c>
      <c r="I32" s="38">
        <f>G32-E32</f>
        <v>1138390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448185</v>
      </c>
      <c r="G36" s="39">
        <f t="shared" si="6"/>
        <v>1138390</v>
      </c>
      <c r="H36" s="61">
        <f t="shared" si="6"/>
        <v>448185</v>
      </c>
      <c r="I36" s="39">
        <f t="shared" si="6"/>
        <v>1138390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9915589</v>
      </c>
      <c r="E39" s="66">
        <f>'TX-HPLC-FLSH'!M39</f>
        <v>26282287</v>
      </c>
      <c r="F39" s="60">
        <f>'TX-HPLC-GL'!D39</f>
        <v>9497858</v>
      </c>
      <c r="G39" s="38">
        <f>'TX-HPLC-GL'!E39</f>
        <v>24743820</v>
      </c>
      <c r="H39" s="60">
        <f t="shared" ref="H39:I41" si="7">F39-D39</f>
        <v>-417731</v>
      </c>
      <c r="I39" s="38">
        <f t="shared" si="7"/>
        <v>-1538467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-300337</v>
      </c>
      <c r="E40" s="66">
        <f>'TX-HPLC-FLSH'!M40</f>
        <v>-869476</v>
      </c>
      <c r="F40" s="60">
        <f>'TX-HPLC-GL'!D40</f>
        <v>0</v>
      </c>
      <c r="G40" s="38">
        <f>'TX-HPLC-GL'!E40</f>
        <v>0</v>
      </c>
      <c r="H40" s="60">
        <f t="shared" si="7"/>
        <v>300337</v>
      </c>
      <c r="I40" s="38">
        <f t="shared" si="7"/>
        <v>869476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-300337</v>
      </c>
      <c r="E42" s="70">
        <f t="shared" si="8"/>
        <v>-869476</v>
      </c>
      <c r="F42" s="69">
        <f t="shared" si="8"/>
        <v>0</v>
      </c>
      <c r="G42" s="70">
        <f t="shared" si="8"/>
        <v>0</v>
      </c>
      <c r="H42" s="69">
        <f t="shared" si="8"/>
        <v>300337</v>
      </c>
      <c r="I42" s="70">
        <f t="shared" si="8"/>
        <v>869476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9615252</v>
      </c>
      <c r="E43" s="39">
        <f t="shared" si="9"/>
        <v>25412811</v>
      </c>
      <c r="F43" s="61">
        <f t="shared" si="9"/>
        <v>9497858</v>
      </c>
      <c r="G43" s="39">
        <f t="shared" si="9"/>
        <v>24743820</v>
      </c>
      <c r="H43" s="61">
        <f t="shared" si="9"/>
        <v>-117394</v>
      </c>
      <c r="I43" s="39">
        <f t="shared" si="9"/>
        <v>-668991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8730964</v>
      </c>
      <c r="E49" s="66">
        <f>'TX-HPLC-FLSH'!M49</f>
        <v>22179347.98577122</v>
      </c>
      <c r="F49" s="60">
        <f>'TX-HPLC-GL'!D49</f>
        <v>-327759</v>
      </c>
      <c r="G49" s="38">
        <f>'TX-HPLC-GL'!E49</f>
        <v>-832507</v>
      </c>
      <c r="H49" s="60">
        <f>F49-D49</f>
        <v>-9058723</v>
      </c>
      <c r="I49" s="38">
        <f>G49-E49</f>
        <v>-23011854.98577122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-1700059</v>
      </c>
      <c r="F54" s="60">
        <f>'TX-HPLC-GL'!D54</f>
        <v>0</v>
      </c>
      <c r="G54" s="38">
        <f>'TX-HPLC-GL'!E54</f>
        <v>-1465893</v>
      </c>
      <c r="H54" s="60">
        <f>F54-D54</f>
        <v>0</v>
      </c>
      <c r="I54" s="38">
        <f>G54-E54</f>
        <v>234166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-1700059</v>
      </c>
      <c r="F56" s="61">
        <f t="shared" si="10"/>
        <v>0</v>
      </c>
      <c r="G56" s="39">
        <f t="shared" si="10"/>
        <v>-1465893</v>
      </c>
      <c r="H56" s="61">
        <f t="shared" si="10"/>
        <v>0</v>
      </c>
      <c r="I56" s="39">
        <f t="shared" si="10"/>
        <v>234166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50000</v>
      </c>
      <c r="H64" s="60">
        <f>F64-D64</f>
        <v>0</v>
      </c>
      <c r="I64" s="38">
        <f>G64-E64</f>
        <v>50000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-937682.58999999985</v>
      </c>
      <c r="H74" s="60">
        <f t="shared" ref="H74:I79" si="14">F74-D74</f>
        <v>0</v>
      </c>
      <c r="I74" s="38">
        <f t="shared" si="14"/>
        <v>-937682.58999999985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-158829</v>
      </c>
      <c r="H81" s="60">
        <f>F81-D81</f>
        <v>0</v>
      </c>
      <c r="I81" s="38">
        <f>G81-E81</f>
        <v>-158829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993180.98577122018</v>
      </c>
      <c r="F82" s="109">
        <f>F16+F24+F29+F36+F43+F45+F47+F49</f>
        <v>0</v>
      </c>
      <c r="G82" s="110">
        <f>SUM(G72:G81)+G16+G24+G29+G36+G43+G45+G47+G49+G51+G56+G61+G66</f>
        <v>1666092.0399999917</v>
      </c>
      <c r="H82" s="109">
        <f>H16+H24+H29+H36+H43+H45+H47+H49</f>
        <v>0</v>
      </c>
      <c r="I82" s="110">
        <f>SUM(I72:I81)+I16+I24+I29+I36+I43+I45+I47+I49+I51+I56+I61+I66</f>
        <v>672911.05422877893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1446999.6300000001</v>
      </c>
      <c r="H86" s="145">
        <f t="shared" ref="H86:I88" si="15">F86-D86</f>
        <v>0</v>
      </c>
      <c r="I86" s="145">
        <f t="shared" si="15"/>
        <v>1446999.6300000001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-1455000</v>
      </c>
      <c r="H88" s="147">
        <f t="shared" si="15"/>
        <v>0</v>
      </c>
      <c r="I88" s="147">
        <f t="shared" si="15"/>
        <v>-1455000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-8000.3699999998789</v>
      </c>
      <c r="H89" s="160">
        <f t="shared" si="16"/>
        <v>0</v>
      </c>
      <c r="I89" s="160">
        <f t="shared" si="16"/>
        <v>-8000.3699999998789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993180.98577122018</v>
      </c>
      <c r="F91" s="160">
        <f t="shared" si="17"/>
        <v>0</v>
      </c>
      <c r="G91" s="160">
        <f t="shared" si="17"/>
        <v>1658091.6699999918</v>
      </c>
      <c r="H91" s="160">
        <f t="shared" si="17"/>
        <v>0</v>
      </c>
      <c r="I91" s="160">
        <f t="shared" si="17"/>
        <v>664910.68422877905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58078007</v>
      </c>
      <c r="E11" s="66">
        <f>'TX-CON-FLSH'!M11</f>
        <v>149214913</v>
      </c>
      <c r="F11" s="60">
        <f>'TX-CON-GL '!D11</f>
        <v>58552519</v>
      </c>
      <c r="G11" s="38">
        <f>'TX-CON-GL '!E11</f>
        <v>153217103.52000001</v>
      </c>
      <c r="H11" s="60">
        <f>F11-D11</f>
        <v>474512</v>
      </c>
      <c r="I11" s="38">
        <f>G11-E11</f>
        <v>4002190.5200000107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-3479004.9400000004</v>
      </c>
      <c r="H12" s="60">
        <f>F12-D12</f>
        <v>0</v>
      </c>
      <c r="I12" s="38">
        <f>G12-E12</f>
        <v>-3479004.9400000004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784655</v>
      </c>
      <c r="E13" s="66">
        <f>'TX-CON-FLSH'!M13</f>
        <v>2093281</v>
      </c>
      <c r="F13" s="60">
        <f>'TX-CON-GL '!D13</f>
        <v>429232</v>
      </c>
      <c r="G13" s="38">
        <f>'TX-CON-GL '!E13</f>
        <v>1157267</v>
      </c>
      <c r="H13" s="60">
        <f t="shared" ref="H13:I15" si="0">F13-D13</f>
        <v>-355423</v>
      </c>
      <c r="I13" s="38">
        <f t="shared" si="0"/>
        <v>-936014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1876275</v>
      </c>
      <c r="H15" s="60">
        <f t="shared" si="0"/>
        <v>0</v>
      </c>
      <c r="I15" s="38">
        <f t="shared" si="0"/>
        <v>1756275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58862662</v>
      </c>
      <c r="E16" s="39">
        <f t="shared" si="1"/>
        <v>151428194</v>
      </c>
      <c r="F16" s="61">
        <f t="shared" si="1"/>
        <v>58981751</v>
      </c>
      <c r="G16" s="39">
        <f t="shared" si="1"/>
        <v>152771640.58000001</v>
      </c>
      <c r="H16" s="61">
        <f t="shared" si="1"/>
        <v>119089</v>
      </c>
      <c r="I16" s="39">
        <f t="shared" si="1"/>
        <v>1343446.5800000103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-66478131</v>
      </c>
      <c r="E19" s="66">
        <f>'TX-CON-FLSH'!M19</f>
        <v>-167531871</v>
      </c>
      <c r="F19" s="60">
        <f>'TX-CON-GL '!D19</f>
        <v>-66055291</v>
      </c>
      <c r="G19" s="38">
        <f>'TX-CON-GL '!E19</f>
        <v>-167390965.94999999</v>
      </c>
      <c r="H19" s="60">
        <f>F19-D19</f>
        <v>422840</v>
      </c>
      <c r="I19" s="38">
        <f>G19-E19</f>
        <v>140905.05000001192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1026884.2800000001</v>
      </c>
      <c r="H20" s="60">
        <f>F20-D20</f>
        <v>0</v>
      </c>
      <c r="I20" s="38">
        <f>G20-E20</f>
        <v>1026884.2800000001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-2623000</v>
      </c>
      <c r="E21" s="66">
        <f>'TX-CON-FLSH'!M21</f>
        <v>-7119636</v>
      </c>
      <c r="F21" s="60">
        <f>'TX-CON-GL '!D21</f>
        <v>-21000</v>
      </c>
      <c r="G21" s="38">
        <f>'TX-CON-GL '!E21</f>
        <v>-55982</v>
      </c>
      <c r="H21" s="60">
        <f t="shared" ref="H21:I23" si="2">F21-D21</f>
        <v>2602000</v>
      </c>
      <c r="I21" s="38">
        <f t="shared" si="2"/>
        <v>7063654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19293</v>
      </c>
      <c r="E23" s="66">
        <f>'TX-CON-FLSH'!M23</f>
        <v>52486</v>
      </c>
      <c r="F23" s="60">
        <f>'TX-CON-GL '!D23</f>
        <v>19392</v>
      </c>
      <c r="G23" s="38">
        <f>'TX-CON-GL '!E23</f>
        <v>49255.679999999993</v>
      </c>
      <c r="H23" s="60">
        <f t="shared" si="2"/>
        <v>99</v>
      </c>
      <c r="I23" s="38">
        <f t="shared" si="2"/>
        <v>-3230.320000000007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-69081838</v>
      </c>
      <c r="E24" s="39">
        <f t="shared" si="3"/>
        <v>-174599021</v>
      </c>
      <c r="F24" s="61">
        <f t="shared" si="3"/>
        <v>-66056899</v>
      </c>
      <c r="G24" s="39">
        <f t="shared" si="3"/>
        <v>-166370807.98999998</v>
      </c>
      <c r="H24" s="61">
        <f t="shared" si="3"/>
        <v>3024939</v>
      </c>
      <c r="I24" s="39">
        <f t="shared" si="3"/>
        <v>8228213.0100000119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110343356</v>
      </c>
      <c r="E27" s="66">
        <f>'TX-CON-FLSH'!M27</f>
        <v>302310616</v>
      </c>
      <c r="F27" s="60">
        <f>'TX-CON-GL '!D27</f>
        <v>29489812</v>
      </c>
      <c r="G27" s="38">
        <f>'TX-CON-GL '!E27</f>
        <v>82559528.5</v>
      </c>
      <c r="H27" s="60">
        <f>F27-D27</f>
        <v>-80853544</v>
      </c>
      <c r="I27" s="38">
        <f>G27-E27</f>
        <v>-219751087.5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-109651946</v>
      </c>
      <c r="E28" s="66">
        <f>'TX-CON-FLSH'!M28</f>
        <v>-300514208</v>
      </c>
      <c r="F28" s="60">
        <f>'TX-CON-GL '!D28</f>
        <v>-31762380</v>
      </c>
      <c r="G28" s="38">
        <f>'TX-CON-GL '!E28</f>
        <v>-88780475.599999994</v>
      </c>
      <c r="H28" s="60">
        <f>F28-D28</f>
        <v>77889566</v>
      </c>
      <c r="I28" s="38">
        <f>G28-E28</f>
        <v>211733732.40000001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691410</v>
      </c>
      <c r="E29" s="70">
        <f t="shared" si="4"/>
        <v>1796408</v>
      </c>
      <c r="F29" s="69">
        <f t="shared" si="4"/>
        <v>-2272568</v>
      </c>
      <c r="G29" s="70">
        <f t="shared" si="4"/>
        <v>-6220947.099999994</v>
      </c>
      <c r="H29" s="69">
        <f t="shared" si="4"/>
        <v>-2963978</v>
      </c>
      <c r="I29" s="70">
        <f t="shared" si="4"/>
        <v>-8017355.099999994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213289</v>
      </c>
      <c r="G32" s="38">
        <f>'TX-CON-GL '!E32</f>
        <v>541754.16000000015</v>
      </c>
      <c r="H32" s="60">
        <f>F32-D32</f>
        <v>213289</v>
      </c>
      <c r="I32" s="38">
        <f>G32-E32</f>
        <v>541754.16000000015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213289</v>
      </c>
      <c r="G36" s="39">
        <f t="shared" si="6"/>
        <v>541754.16000000015</v>
      </c>
      <c r="H36" s="61">
        <f t="shared" si="6"/>
        <v>213289</v>
      </c>
      <c r="I36" s="39">
        <f t="shared" si="6"/>
        <v>541754.16000000015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9915589</v>
      </c>
      <c r="E39" s="66">
        <f>'TX-CON-FLSH'!M39</f>
        <v>26282287</v>
      </c>
      <c r="F39" s="60">
        <f>'TX-CON-GL '!D39</f>
        <v>9669411</v>
      </c>
      <c r="G39" s="38">
        <f>'TX-CON-GL '!E39</f>
        <v>25179564.620000001</v>
      </c>
      <c r="H39" s="60">
        <f t="shared" ref="H39:I41" si="7">F39-D39</f>
        <v>-246178</v>
      </c>
      <c r="I39" s="38">
        <f t="shared" si="7"/>
        <v>-1102722.379999999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-531569</v>
      </c>
      <c r="E40" s="66">
        <f>'TX-CON-FLSH'!M40</f>
        <v>-1492851</v>
      </c>
      <c r="F40" s="60">
        <f>'TX-CON-GL '!D40</f>
        <v>0</v>
      </c>
      <c r="G40" s="38">
        <f>'TX-CON-GL '!E40</f>
        <v>0</v>
      </c>
      <c r="H40" s="60">
        <f t="shared" si="7"/>
        <v>531569</v>
      </c>
      <c r="I40" s="38">
        <f t="shared" si="7"/>
        <v>1492851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-531569</v>
      </c>
      <c r="E42" s="70">
        <f t="shared" si="8"/>
        <v>-1492851</v>
      </c>
      <c r="F42" s="69">
        <f t="shared" si="8"/>
        <v>0</v>
      </c>
      <c r="G42" s="70">
        <f t="shared" si="8"/>
        <v>0</v>
      </c>
      <c r="H42" s="69">
        <f t="shared" si="8"/>
        <v>531569</v>
      </c>
      <c r="I42" s="70">
        <f t="shared" si="8"/>
        <v>1492851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9384020</v>
      </c>
      <c r="E43" s="39">
        <f t="shared" si="9"/>
        <v>24789436</v>
      </c>
      <c r="F43" s="61">
        <f t="shared" si="9"/>
        <v>9669411</v>
      </c>
      <c r="G43" s="39">
        <f t="shared" si="9"/>
        <v>25179564.620000001</v>
      </c>
      <c r="H43" s="61">
        <f t="shared" si="9"/>
        <v>285391</v>
      </c>
      <c r="I43" s="39">
        <f t="shared" si="9"/>
        <v>390128.62000000104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143746</v>
      </c>
      <c r="E49" s="66">
        <f>'TX-CON-FLSH'!M49</f>
        <v>365159.28316308185</v>
      </c>
      <c r="F49" s="60">
        <f>'TX-CON-GL '!D49</f>
        <v>-534984</v>
      </c>
      <c r="G49" s="38">
        <f>'TX-CON-GL '!E49</f>
        <v>-1358858.5</v>
      </c>
      <c r="H49" s="60">
        <f>F49-D49</f>
        <v>-678730</v>
      </c>
      <c r="I49" s="38">
        <f>G49-E49</f>
        <v>-1724017.7831630819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-19392</v>
      </c>
      <c r="G51" s="38">
        <f>'TX-CON-GL '!E51</f>
        <v>-49255.679999999993</v>
      </c>
      <c r="H51" s="60">
        <f>F51-D51</f>
        <v>-19392</v>
      </c>
      <c r="I51" s="38">
        <f>G51-E51</f>
        <v>-49255.679999999993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-2251456</v>
      </c>
      <c r="F54" s="60">
        <f>'TX-CON-GL '!D54</f>
        <v>-18605488</v>
      </c>
      <c r="G54" s="38">
        <f>'TX-CON-GL '!E54</f>
        <v>-1802668.8599999999</v>
      </c>
      <c r="H54" s="60">
        <f>F54-D54</f>
        <v>-18605488</v>
      </c>
      <c r="I54" s="38">
        <f>G54-E54</f>
        <v>448787.14000000013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-174300</v>
      </c>
      <c r="H55" s="60">
        <f>F55-D55</f>
        <v>0</v>
      </c>
      <c r="I55" s="38">
        <f>G55-E55</f>
        <v>-174300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-2251456</v>
      </c>
      <c r="F56" s="61">
        <f t="shared" si="10"/>
        <v>-18605488</v>
      </c>
      <c r="G56" s="39">
        <f t="shared" si="10"/>
        <v>-1976968.8599999999</v>
      </c>
      <c r="H56" s="61">
        <f t="shared" si="10"/>
        <v>-18605488</v>
      </c>
      <c r="I56" s="39">
        <f t="shared" si="10"/>
        <v>274487.14000000013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49453.27</v>
      </c>
      <c r="H64" s="60">
        <f>F64-D64</f>
        <v>0</v>
      </c>
      <c r="I64" s="38">
        <f>G64-E64</f>
        <v>49453.27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-8691498.1899999995</v>
      </c>
      <c r="F70" s="60">
        <f>'TX-CON-GL '!D70</f>
        <v>0</v>
      </c>
      <c r="G70" s="38">
        <f>'TX-CON-GL '!E70</f>
        <v>-8691498.1899999995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7489615</v>
      </c>
      <c r="F71" s="60">
        <f>'TX-CON-GL '!D71</f>
        <v>0</v>
      </c>
      <c r="G71" s="38">
        <f>'TX-CON-GL 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1296213.95</v>
      </c>
      <c r="F74" s="60">
        <f>'TX-CON-GL '!D74</f>
        <v>0</v>
      </c>
      <c r="G74" s="38">
        <f>'TX-CON-GL '!E74</f>
        <v>-1001151.2400000002</v>
      </c>
      <c r="H74" s="60">
        <f t="shared" ref="H74:I79" si="14">F74-D74</f>
        <v>0</v>
      </c>
      <c r="I74" s="38">
        <f t="shared" si="14"/>
        <v>-2297365.1900000004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2584</v>
      </c>
      <c r="F75" s="60">
        <f>'TX-CON-GL '!D75</f>
        <v>0</v>
      </c>
      <c r="G75" s="38">
        <f>'TX-CON-GL '!E75</f>
        <v>2600</v>
      </c>
      <c r="H75" s="60">
        <f t="shared" si="14"/>
        <v>0</v>
      </c>
      <c r="I75" s="38">
        <f t="shared" si="14"/>
        <v>16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-1075</v>
      </c>
      <c r="F76" s="60">
        <f>'TX-CON-GL '!D76</f>
        <v>0</v>
      </c>
      <c r="G76" s="38">
        <f>'TX-CON-GL 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102711</v>
      </c>
      <c r="F81" s="60">
        <f>'TX-CON-GL '!D81</f>
        <v>0</v>
      </c>
      <c r="G81" s="38">
        <f>'TX-CON-GL '!E81</f>
        <v>-158829</v>
      </c>
      <c r="H81" s="60">
        <f>F81-D81</f>
        <v>0</v>
      </c>
      <c r="I81" s="38">
        <f>G81-E81</f>
        <v>-261540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1628971.0431630723</v>
      </c>
      <c r="F82" s="109">
        <f>F16+F24+F29+F36+F43+F45+F47+F49</f>
        <v>0</v>
      </c>
      <c r="G82" s="110">
        <f>SUM(G72:G81)+G16+G24+G29+G36+G43+G45+G47+G49+G51+G56+G61+G66</f>
        <v>203584.68000004764</v>
      </c>
      <c r="H82" s="109">
        <f>H16+H24+H29+H36+H43+H45+H47+H49</f>
        <v>0</v>
      </c>
      <c r="I82" s="110">
        <f>SUM(I72:I81)+I16+I24+I29+I36+I43+I45+I47+I49+I51+I56+I61+I66</f>
        <v>-1425386.3631630524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1856408.3</v>
      </c>
      <c r="H86" s="145">
        <f t="shared" ref="H86:I88" si="15">F86-D86</f>
        <v>0</v>
      </c>
      <c r="I86" s="145">
        <f t="shared" si="15"/>
        <v>1786336.3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-1455000</v>
      </c>
      <c r="H88" s="147">
        <f t="shared" si="15"/>
        <v>0</v>
      </c>
      <c r="I88" s="147">
        <f t="shared" si="15"/>
        <v>-1455000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401408.30000000005</v>
      </c>
      <c r="H89" s="155">
        <f t="shared" si="16"/>
        <v>0</v>
      </c>
      <c r="I89" s="155">
        <f t="shared" si="16"/>
        <v>331336.30000000005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1699043.0431630723</v>
      </c>
      <c r="F91" s="155">
        <f t="shared" si="17"/>
        <v>0</v>
      </c>
      <c r="G91" s="155">
        <f t="shared" si="17"/>
        <v>604992.98000004771</v>
      </c>
      <c r="H91" s="155">
        <f t="shared" si="17"/>
        <v>0</v>
      </c>
      <c r="I91" s="155">
        <f t="shared" si="17"/>
        <v>-1094050.0631630523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41743983</v>
      </c>
      <c r="E11" s="66">
        <f>'WE-FLSH'!M11</f>
        <v>106899568</v>
      </c>
      <c r="F11" s="60">
        <f>'WE-GL '!D11</f>
        <v>41709641</v>
      </c>
      <c r="G11" s="38">
        <f>'WE-GL '!E11</f>
        <v>102647484.3</v>
      </c>
      <c r="H11" s="60">
        <f>F11-D11</f>
        <v>-34342</v>
      </c>
      <c r="I11" s="38">
        <f>G11-E11</f>
        <v>-4252083.700000003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11346039.58</v>
      </c>
      <c r="H12" s="60">
        <f>F12-D12</f>
        <v>0</v>
      </c>
      <c r="I12" s="38">
        <f>G12-E12</f>
        <v>11346039.58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12749483</v>
      </c>
      <c r="E13" s="66">
        <f>'WE-FLSH'!M13</f>
        <v>35048944</v>
      </c>
      <c r="F13" s="60">
        <f>'WE-GL '!D13</f>
        <v>30000</v>
      </c>
      <c r="G13" s="38">
        <f>'WE-GL '!E13</f>
        <v>83100</v>
      </c>
      <c r="H13" s="60">
        <f t="shared" ref="H13:I15" si="0">F13-D13</f>
        <v>-12719483</v>
      </c>
      <c r="I13" s="38">
        <f t="shared" si="0"/>
        <v>-34965844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1128693.02</v>
      </c>
      <c r="H15" s="60">
        <f t="shared" si="0"/>
        <v>0</v>
      </c>
      <c r="I15" s="38">
        <f t="shared" si="0"/>
        <v>1128693.02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54493466</v>
      </c>
      <c r="E16" s="39">
        <f t="shared" si="1"/>
        <v>141948512</v>
      </c>
      <c r="F16" s="61">
        <f t="shared" si="1"/>
        <v>41739641</v>
      </c>
      <c r="G16" s="39">
        <f t="shared" si="1"/>
        <v>115205316.89999999</v>
      </c>
      <c r="H16" s="61">
        <f t="shared" si="1"/>
        <v>-12753825</v>
      </c>
      <c r="I16" s="39">
        <f t="shared" si="1"/>
        <v>-26743195.100000005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-44689424</v>
      </c>
      <c r="E19" s="66">
        <f>'WE-FLSH'!M19</f>
        <v>-113603600</v>
      </c>
      <c r="F19" s="60">
        <f>'WE-GL '!D19</f>
        <v>-44702195</v>
      </c>
      <c r="G19" s="38">
        <f>'WE-GL '!E19</f>
        <v>-113701035.76000001</v>
      </c>
      <c r="H19" s="60">
        <f>F19-D19</f>
        <v>-12771</v>
      </c>
      <c r="I19" s="38">
        <f>G19-E19</f>
        <v>-97435.760000005364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-2403190.42</v>
      </c>
      <c r="H20" s="60">
        <f>F20-D20</f>
        <v>0</v>
      </c>
      <c r="I20" s="38">
        <f>G20-E20</f>
        <v>-2403190.42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-12749483</v>
      </c>
      <c r="E21" s="66">
        <f>'WE-FLSH'!M21</f>
        <v>-35048344</v>
      </c>
      <c r="F21" s="60">
        <f>'WE-GL '!D21</f>
        <v>-30000</v>
      </c>
      <c r="G21" s="38">
        <f>'WE-GL '!E21</f>
        <v>-82500</v>
      </c>
      <c r="H21" s="60">
        <f t="shared" ref="H21:I23" si="2">F21-D21</f>
        <v>12719483</v>
      </c>
      <c r="I21" s="38">
        <f t="shared" si="2"/>
        <v>34965844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235209</v>
      </c>
      <c r="E23" s="66">
        <f>'WE-FLSH'!M23</f>
        <v>627761</v>
      </c>
      <c r="F23" s="60">
        <f>'WE-GL '!D23</f>
        <v>336956</v>
      </c>
      <c r="G23" s="38">
        <f>'WE-GL '!E23</f>
        <v>816107.43199999991</v>
      </c>
      <c r="H23" s="60">
        <f t="shared" si="2"/>
        <v>101747</v>
      </c>
      <c r="I23" s="38">
        <f t="shared" si="2"/>
        <v>188346.43199999991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-57203698</v>
      </c>
      <c r="E24" s="39">
        <f t="shared" si="3"/>
        <v>-148024183</v>
      </c>
      <c r="F24" s="61">
        <f t="shared" si="3"/>
        <v>-44395239</v>
      </c>
      <c r="G24" s="39">
        <f t="shared" si="3"/>
        <v>-115370618.74800001</v>
      </c>
      <c r="H24" s="61">
        <f t="shared" si="3"/>
        <v>12808459</v>
      </c>
      <c r="I24" s="39">
        <f t="shared" si="3"/>
        <v>32653564.251999993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1205247</v>
      </c>
      <c r="E27" s="66">
        <f>'WE-FLSH'!M27</f>
        <v>3264184</v>
      </c>
      <c r="F27" s="60">
        <f>'WE-GL '!D27</f>
        <v>1205247</v>
      </c>
      <c r="G27" s="38">
        <f>'WE-GL '!E27</f>
        <v>3264180.5</v>
      </c>
      <c r="H27" s="60">
        <f>F27-D27</f>
        <v>0</v>
      </c>
      <c r="I27" s="38">
        <f>G27-E27</f>
        <v>-3.5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-60000</v>
      </c>
      <c r="E28" s="66">
        <f>'WE-FLSH'!M28</f>
        <v>-157200</v>
      </c>
      <c r="F28" s="60">
        <f>'WE-GL '!D28</f>
        <v>-60000</v>
      </c>
      <c r="G28" s="38">
        <f>'WE-GL '!E28</f>
        <v>-157200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1145247</v>
      </c>
      <c r="E29" s="70">
        <f t="shared" si="4"/>
        <v>3106984</v>
      </c>
      <c r="F29" s="69">
        <f t="shared" si="4"/>
        <v>1145247</v>
      </c>
      <c r="G29" s="70">
        <f t="shared" si="4"/>
        <v>3106980.5</v>
      </c>
      <c r="H29" s="69">
        <f t="shared" si="4"/>
        <v>0</v>
      </c>
      <c r="I29" s="70">
        <f t="shared" si="4"/>
        <v>-3.5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2541</v>
      </c>
      <c r="E32" s="66">
        <f>'WE-FLSH'!M32</f>
        <v>7230</v>
      </c>
      <c r="F32" s="60">
        <f>'WE-GL '!D32</f>
        <v>-44552</v>
      </c>
      <c r="G32" s="38">
        <f>'WE-GL '!E32</f>
        <v>-107904.944</v>
      </c>
      <c r="H32" s="60">
        <f>F32-D32</f>
        <v>-47093</v>
      </c>
      <c r="I32" s="38">
        <f>G32-E32</f>
        <v>-115134.944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-1989</v>
      </c>
      <c r="G33" s="38">
        <f>'WE-GL '!E33</f>
        <v>-5274.4</v>
      </c>
      <c r="H33" s="60">
        <f t="shared" ref="H33:I35" si="5">F33-D33</f>
        <v>-1989</v>
      </c>
      <c r="I33" s="38">
        <f t="shared" si="5"/>
        <v>-5274.4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1175</v>
      </c>
      <c r="G34" s="38">
        <f>'WE-GL '!E34</f>
        <v>3038.55</v>
      </c>
      <c r="H34" s="60">
        <f t="shared" si="5"/>
        <v>1175</v>
      </c>
      <c r="I34" s="38">
        <f t="shared" si="5"/>
        <v>3038.55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1794642</v>
      </c>
      <c r="E35" s="66">
        <f>'WE-FLSH'!M35</f>
        <v>4805939</v>
      </c>
      <c r="F35" s="60">
        <f>'WE-GL '!D35</f>
        <v>0</v>
      </c>
      <c r="G35" s="38">
        <f>'WE-GL '!E35</f>
        <v>0</v>
      </c>
      <c r="H35" s="60">
        <f t="shared" si="5"/>
        <v>-1794642</v>
      </c>
      <c r="I35" s="38">
        <f t="shared" si="5"/>
        <v>-4805939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1797183</v>
      </c>
      <c r="E36" s="39">
        <f t="shared" si="6"/>
        <v>4813169</v>
      </c>
      <c r="F36" s="61">
        <f t="shared" si="6"/>
        <v>-45366</v>
      </c>
      <c r="G36" s="39">
        <f t="shared" si="6"/>
        <v>-110140.79399999999</v>
      </c>
      <c r="H36" s="61">
        <f t="shared" si="6"/>
        <v>-1842549</v>
      </c>
      <c r="I36" s="39">
        <f t="shared" si="6"/>
        <v>-4923309.7939999998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5456</v>
      </c>
      <c r="E39" s="66">
        <f>'WE-FLSH'!M39</f>
        <v>14102</v>
      </c>
      <c r="F39" s="60">
        <f>'WE-GL '!D39</f>
        <v>1797976</v>
      </c>
      <c r="G39" s="38">
        <f>'WE-GL '!E39</f>
        <v>4354697.8800000008</v>
      </c>
      <c r="H39" s="60">
        <f t="shared" ref="H39:I41" si="7">F39-D39</f>
        <v>1792520</v>
      </c>
      <c r="I39" s="38">
        <f t="shared" si="7"/>
        <v>4340595.8800000008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-82959</v>
      </c>
      <c r="E40" s="66">
        <f>'WE-FLSH'!M40</f>
        <v>-206053</v>
      </c>
      <c r="F40" s="60">
        <f>'WE-GL '!D40</f>
        <v>-77546</v>
      </c>
      <c r="G40" s="38">
        <f>'WE-GL '!E40</f>
        <v>-188375.77</v>
      </c>
      <c r="H40" s="60">
        <f t="shared" si="7"/>
        <v>5413</v>
      </c>
      <c r="I40" s="38">
        <f t="shared" si="7"/>
        <v>17677.23000000001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-82959</v>
      </c>
      <c r="E42" s="39">
        <f t="shared" si="8"/>
        <v>-206053</v>
      </c>
      <c r="F42" s="61">
        <f t="shared" si="8"/>
        <v>-77546</v>
      </c>
      <c r="G42" s="39">
        <f t="shared" si="8"/>
        <v>-188375.77</v>
      </c>
      <c r="H42" s="61">
        <f t="shared" si="8"/>
        <v>5413</v>
      </c>
      <c r="I42" s="39">
        <f t="shared" si="8"/>
        <v>17677.23000000001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-77503</v>
      </c>
      <c r="E43" s="39">
        <f t="shared" si="9"/>
        <v>-191951</v>
      </c>
      <c r="F43" s="61">
        <f t="shared" si="9"/>
        <v>1720430</v>
      </c>
      <c r="G43" s="39">
        <f t="shared" si="9"/>
        <v>4166322.1100000008</v>
      </c>
      <c r="H43" s="61">
        <f t="shared" si="9"/>
        <v>1797933</v>
      </c>
      <c r="I43" s="39">
        <f t="shared" si="9"/>
        <v>4358273.1100000013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-154695</v>
      </c>
      <c r="E49" s="66">
        <f>'WE-FLSH'!M49</f>
        <v>-374599.213486664</v>
      </c>
      <c r="F49" s="60">
        <f>'WE-GL '!D49</f>
        <v>-164713</v>
      </c>
      <c r="G49" s="38">
        <f>'WE-GL '!E49</f>
        <v>-398934.886</v>
      </c>
      <c r="H49" s="60">
        <f>F49-D49</f>
        <v>-10018</v>
      </c>
      <c r="I49" s="38">
        <f>G49-E49</f>
        <v>-24335.672513336001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-235209</v>
      </c>
      <c r="E51" s="66">
        <f>'WE-FLSH'!M51</f>
        <v>-627761</v>
      </c>
      <c r="F51" s="60">
        <f>'WE-GL '!D51</f>
        <v>-336956</v>
      </c>
      <c r="G51" s="38">
        <f>'WE-GL '!E51</f>
        <v>-816107.43199999991</v>
      </c>
      <c r="H51" s="60">
        <f>F51-D51</f>
        <v>-101747</v>
      </c>
      <c r="I51" s="38">
        <f>G51-E51</f>
        <v>-188346.43199999991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-155544</v>
      </c>
      <c r="F54" s="60">
        <f>'WE-GL '!D54</f>
        <v>-20464952</v>
      </c>
      <c r="G54" s="38">
        <f>'WE-GL '!E54</f>
        <v>-529893.05000000005</v>
      </c>
      <c r="H54" s="60">
        <f>F54-D54</f>
        <v>-20464952</v>
      </c>
      <c r="I54" s="38">
        <f>G54-E54</f>
        <v>-374349.05000000005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-871836.89</v>
      </c>
      <c r="F55" s="60">
        <f>'WE-GL '!D55</f>
        <v>0</v>
      </c>
      <c r="G55" s="38">
        <f>'WE-GL '!E55</f>
        <v>-2314183.86</v>
      </c>
      <c r="H55" s="60">
        <f>F55-D55</f>
        <v>0</v>
      </c>
      <c r="I55" s="38">
        <f>G55-E55</f>
        <v>-1442346.9699999997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-1027380.89</v>
      </c>
      <c r="F56" s="61">
        <f t="shared" si="10"/>
        <v>-20464952</v>
      </c>
      <c r="G56" s="39">
        <f t="shared" si="10"/>
        <v>-2844076.91</v>
      </c>
      <c r="H56" s="61">
        <f t="shared" si="10"/>
        <v>-20464952</v>
      </c>
      <c r="I56" s="39">
        <f t="shared" si="10"/>
        <v>-1816696.0199999998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4676254</v>
      </c>
      <c r="F70" s="60">
        <f>'WE-GL '!D70</f>
        <v>0</v>
      </c>
      <c r="G70" s="38">
        <f>'WE-GL '!E70</f>
        <v>4676254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-2516504</v>
      </c>
      <c r="F71" s="60">
        <f>'WE-GL '!D71</f>
        <v>0</v>
      </c>
      <c r="G71" s="38">
        <f>'WE-GL '!E71</f>
        <v>-2516504.2799999998</v>
      </c>
      <c r="H71" s="60">
        <f>F71-D71</f>
        <v>0</v>
      </c>
      <c r="I71" s="38">
        <f>G71-E71</f>
        <v>-0.27999999979510903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2159750</v>
      </c>
      <c r="F72" s="61">
        <f t="shared" si="13"/>
        <v>0</v>
      </c>
      <c r="G72" s="39">
        <f t="shared" si="13"/>
        <v>2159749.7200000002</v>
      </c>
      <c r="H72" s="61">
        <f t="shared" si="13"/>
        <v>0</v>
      </c>
      <c r="I72" s="39">
        <f t="shared" si="13"/>
        <v>-0.27999999979510903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5301495</v>
      </c>
      <c r="F74" s="60">
        <f>'WE-GL '!D74</f>
        <v>0</v>
      </c>
      <c r="G74" s="38">
        <f>'WE-GL '!E74</f>
        <v>6295309.4400000004</v>
      </c>
      <c r="H74" s="60">
        <f t="shared" ref="H74:I79" si="14">F74-D74</f>
        <v>0</v>
      </c>
      <c r="I74" s="38">
        <f t="shared" si="14"/>
        <v>993814.44000000041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-26990</v>
      </c>
      <c r="F76" s="60">
        <f>'WE-GL '!D76</f>
        <v>0</v>
      </c>
      <c r="G76" s="38">
        <f>'WE-GL '!E76</f>
        <v>-64399.880000000005</v>
      </c>
      <c r="H76" s="60">
        <f t="shared" si="14"/>
        <v>0</v>
      </c>
      <c r="I76" s="38">
        <f t="shared" si="14"/>
        <v>-37409.880000000005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-3275387</v>
      </c>
      <c r="F81" s="60">
        <f>'WE-GL '!D81</f>
        <v>0</v>
      </c>
      <c r="G81" s="38">
        <f>'WE-GL '!E81</f>
        <v>-1675.1400000000003</v>
      </c>
      <c r="H81" s="60">
        <f>F81-D81</f>
        <v>0</v>
      </c>
      <c r="I81" s="38">
        <f>G81-E81</f>
        <v>3273711.86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3781657.8965133359</v>
      </c>
      <c r="F82" s="109">
        <f>F16+F24+F29+F36+F43+F45+F47+F49</f>
        <v>0</v>
      </c>
      <c r="G82" s="110">
        <f>SUM(G72:G81)+G16+G24+G29+G36+G43+G45+G47+G49+G51+G56+G61+G66</f>
        <v>11327724.879999982</v>
      </c>
      <c r="H82" s="109">
        <f>H16+H24+H29+H36+H43+H45+H47+H49</f>
        <v>0</v>
      </c>
      <c r="I82" s="110">
        <f>SUM(I72:I81)+I16+I24+I29+I36+I43+I45+I47+I49+I51+I56+I61+I66</f>
        <v>7546066.9834866542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3869012</v>
      </c>
      <c r="E11" s="66">
        <f>'DEN-FLSH'!M11</f>
        <v>9074527</v>
      </c>
      <c r="F11" s="60">
        <f>'DEN-GL'!D11</f>
        <v>3819633</v>
      </c>
      <c r="G11" s="38">
        <f>'DEN-GL'!E11</f>
        <v>8930257.1799999997</v>
      </c>
      <c r="H11" s="60">
        <f>F11-D11</f>
        <v>-49379</v>
      </c>
      <c r="I11" s="38">
        <f>G11-E11</f>
        <v>-144269.8200000003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28116.17</v>
      </c>
      <c r="H12" s="60">
        <f>F12-D12</f>
        <v>0</v>
      </c>
      <c r="I12" s="38">
        <f>G12-E12</f>
        <v>28116.17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5301057</v>
      </c>
      <c r="E13" s="66">
        <f>'DEN-FLSH'!M13</f>
        <v>13385646</v>
      </c>
      <c r="F13" s="60">
        <f>'DEN-GL'!D13</f>
        <v>459648</v>
      </c>
      <c r="G13" s="38">
        <f>'DEN-GL'!E13</f>
        <v>1178559</v>
      </c>
      <c r="H13" s="60">
        <f t="shared" ref="H13:I15" si="0">F13-D13</f>
        <v>-4841409</v>
      </c>
      <c r="I13" s="38">
        <f t="shared" si="0"/>
        <v>-12207087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9170069</v>
      </c>
      <c r="E16" s="39">
        <f t="shared" si="1"/>
        <v>22460173</v>
      </c>
      <c r="F16" s="61">
        <f t="shared" si="1"/>
        <v>4279281</v>
      </c>
      <c r="G16" s="39">
        <f t="shared" si="1"/>
        <v>10143064.77</v>
      </c>
      <c r="H16" s="61">
        <f t="shared" si="1"/>
        <v>-4890788</v>
      </c>
      <c r="I16" s="39">
        <f t="shared" si="1"/>
        <v>-12317108.23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-5057262</v>
      </c>
      <c r="E19" s="66">
        <f>'DEN-FLSH'!M19</f>
        <v>-11323157</v>
      </c>
      <c r="F19" s="60">
        <f>'DEN-GL'!D19</f>
        <v>-5070845</v>
      </c>
      <c r="G19" s="38">
        <f>'DEN-GL'!E19</f>
        <v>-11126900.789999999</v>
      </c>
      <c r="H19" s="60">
        <f>F19-D19</f>
        <v>-13583</v>
      </c>
      <c r="I19" s="38">
        <f>G19-E19</f>
        <v>196256.21000000089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-188616.18</v>
      </c>
      <c r="H20" s="60">
        <f>F20-D20</f>
        <v>0</v>
      </c>
      <c r="I20" s="38">
        <f>G20-E20</f>
        <v>-188616.18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-4240969</v>
      </c>
      <c r="E21" s="66">
        <f>'DEN-FLSH'!M21</f>
        <v>-10731159</v>
      </c>
      <c r="F21" s="60">
        <f>'DEN-GL'!D21</f>
        <v>-93</v>
      </c>
      <c r="G21" s="38">
        <f>'DEN-GL'!E21</f>
        <v>-241</v>
      </c>
      <c r="H21" s="60">
        <f t="shared" ref="H21:I23" si="2">F21-D21</f>
        <v>4240876</v>
      </c>
      <c r="I21" s="38">
        <f t="shared" si="2"/>
        <v>10730918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19762</v>
      </c>
      <c r="E23" s="66">
        <f>'DEN-FLSH'!M23</f>
        <v>47965</v>
      </c>
      <c r="F23" s="60">
        <f>'DEN-GL'!D23</f>
        <v>4898</v>
      </c>
      <c r="G23" s="38">
        <f>'DEN-GL'!E23</f>
        <v>11461.32</v>
      </c>
      <c r="H23" s="60">
        <f t="shared" si="2"/>
        <v>-14864</v>
      </c>
      <c r="I23" s="38">
        <f t="shared" si="2"/>
        <v>-36503.68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-9278469</v>
      </c>
      <c r="E24" s="39">
        <f t="shared" si="3"/>
        <v>-22006351</v>
      </c>
      <c r="F24" s="61">
        <f t="shared" si="3"/>
        <v>-5066040</v>
      </c>
      <c r="G24" s="39">
        <f t="shared" si="3"/>
        <v>-11304296.649999999</v>
      </c>
      <c r="H24" s="61">
        <f t="shared" si="3"/>
        <v>4212429</v>
      </c>
      <c r="I24" s="39">
        <f t="shared" si="3"/>
        <v>10702054.350000001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-6099</v>
      </c>
      <c r="E32" s="66">
        <f>'DEN-FLSH'!M32</f>
        <v>-15322</v>
      </c>
      <c r="F32" s="60">
        <f>'DEN-GL'!D32</f>
        <v>23346</v>
      </c>
      <c r="G32" s="38">
        <f>'DEN-GL'!E32</f>
        <v>54629.64</v>
      </c>
      <c r="H32" s="60">
        <f>F32-D32</f>
        <v>29445</v>
      </c>
      <c r="I32" s="38">
        <f>G32-E32</f>
        <v>69951.64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-6099</v>
      </c>
      <c r="E36" s="39">
        <f t="shared" si="6"/>
        <v>-15322</v>
      </c>
      <c r="F36" s="61">
        <f t="shared" si="6"/>
        <v>23346</v>
      </c>
      <c r="G36" s="39">
        <f t="shared" si="6"/>
        <v>54629.64</v>
      </c>
      <c r="H36" s="61">
        <f t="shared" si="6"/>
        <v>29445</v>
      </c>
      <c r="I36" s="39">
        <f t="shared" si="6"/>
        <v>69951.64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114499</v>
      </c>
      <c r="E49" s="66">
        <f>'DEN-FLSH'!M49</f>
        <v>267943.52993913629</v>
      </c>
      <c r="F49" s="60">
        <f>'DEN-GL'!D49</f>
        <v>763413</v>
      </c>
      <c r="G49" s="38">
        <f>'DEN-GL'!E49</f>
        <v>1786386.42</v>
      </c>
      <c r="H49" s="60">
        <f>F49-D49</f>
        <v>648914</v>
      </c>
      <c r="I49" s="38">
        <f>G49-E49</f>
        <v>1518442.8900608637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-19762</v>
      </c>
      <c r="E51" s="66">
        <f>'DEN-FLSH'!M51</f>
        <v>-47965</v>
      </c>
      <c r="F51" s="60">
        <f>'DEN-GL'!D51</f>
        <v>-4898</v>
      </c>
      <c r="G51" s="38">
        <f>'DEN-GL'!E51</f>
        <v>-11461.32</v>
      </c>
      <c r="H51" s="60">
        <f>F51-D51</f>
        <v>14864</v>
      </c>
      <c r="I51" s="38">
        <f>G51-E51</f>
        <v>36503.68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-196967.95</v>
      </c>
      <c r="F54" s="60">
        <f>'DEN-GL'!D54</f>
        <v>-11546229</v>
      </c>
      <c r="G54" s="38">
        <f>'DEN-GL'!E54</f>
        <v>-240657.88</v>
      </c>
      <c r="H54" s="60">
        <f>F54-D54</f>
        <v>-11546229</v>
      </c>
      <c r="I54" s="38">
        <f>G54-E54</f>
        <v>-43689.929999999993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-425156.49</v>
      </c>
      <c r="F55" s="60">
        <f>'DEN-GL'!D55</f>
        <v>0</v>
      </c>
      <c r="G55" s="38">
        <f>'DEN-GL'!E55</f>
        <v>-748525.54</v>
      </c>
      <c r="H55" s="60">
        <f>F55-D55</f>
        <v>0</v>
      </c>
      <c r="I55" s="38">
        <f>G55-E55</f>
        <v>-323369.05000000005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-622124.43999999994</v>
      </c>
      <c r="F56" s="61">
        <f t="shared" si="10"/>
        <v>-11546229</v>
      </c>
      <c r="G56" s="39">
        <f t="shared" si="10"/>
        <v>-989183.42</v>
      </c>
      <c r="H56" s="61">
        <f t="shared" si="10"/>
        <v>-11546229</v>
      </c>
      <c r="I56" s="39">
        <f t="shared" si="10"/>
        <v>-367058.98000000004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1275.0399999998044</v>
      </c>
      <c r="F70" s="60">
        <f>'DEN-GL'!D70</f>
        <v>0</v>
      </c>
      <c r="G70" s="38">
        <f>'DEN-GL'!E70</f>
        <v>1275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-178192</v>
      </c>
      <c r="F71" s="60">
        <f>'DEN-GL'!D71</f>
        <v>0</v>
      </c>
      <c r="G71" s="38">
        <f>'DEN-GL'!E71</f>
        <v>9099</v>
      </c>
      <c r="H71" s="60">
        <f>F71-D71</f>
        <v>0</v>
      </c>
      <c r="I71" s="38">
        <f>G71-E71</f>
        <v>187291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-176916.9600000002</v>
      </c>
      <c r="F72" s="61">
        <f t="shared" si="13"/>
        <v>0</v>
      </c>
      <c r="G72" s="39">
        <f t="shared" si="13"/>
        <v>10374</v>
      </c>
      <c r="H72" s="61">
        <f t="shared" si="13"/>
        <v>0</v>
      </c>
      <c r="I72" s="39">
        <f t="shared" si="13"/>
        <v>187290.9600000002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-26575</v>
      </c>
      <c r="F74" s="60">
        <f>'DEN-GL'!D74</f>
        <v>0</v>
      </c>
      <c r="G74" s="38">
        <f>'DEN-GL'!E74</f>
        <v>45044.78</v>
      </c>
      <c r="H74" s="60">
        <f t="shared" ref="H74:I79" si="14">F74-D74</f>
        <v>0</v>
      </c>
      <c r="I74" s="38">
        <f t="shared" si="14"/>
        <v>71619.78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-642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642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78632</v>
      </c>
      <c r="F81" s="60">
        <f>'DEN-GL'!D81</f>
        <v>0</v>
      </c>
      <c r="G81" s="38">
        <f>'DEN-GL'!E81</f>
        <v>311714</v>
      </c>
      <c r="H81" s="60">
        <f>F81-D81</f>
        <v>0</v>
      </c>
      <c r="I81" s="38">
        <f>G81-E81</f>
        <v>233082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-89147.870060864603</v>
      </c>
      <c r="F82" s="109">
        <f>F16+F24+F29+F36+F43+F45+F47+F49</f>
        <v>0</v>
      </c>
      <c r="G82" s="110">
        <f>SUM(G72:G81)+G16+G24+G29+G36+G43+G45+G47+G49+G51+G56+G61+G66</f>
        <v>46272.220000000321</v>
      </c>
      <c r="H82" s="109">
        <f>H16+H24+H29+H36+H43+H45+H47+H49</f>
        <v>0</v>
      </c>
      <c r="I82" s="110">
        <f>SUM(I72:I81)+I16+I24+I29+I36+I43+I45+I47+I49+I51+I56+I61+I66</f>
        <v>135420.09006086481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23">
        <f>+'DEN-FLSH'!M86</f>
        <v>405697</v>
      </c>
      <c r="F86" s="67">
        <f>'DEN-GL'!D86</f>
        <v>0</v>
      </c>
      <c r="G86" s="220">
        <f>'DEN-GL'!E86</f>
        <v>-324309.77</v>
      </c>
      <c r="H86" s="220">
        <f t="shared" ref="H86:I88" si="15">F86-D86</f>
        <v>0</v>
      </c>
      <c r="I86" s="145">
        <f t="shared" si="15"/>
        <v>-730006.77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5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405697</v>
      </c>
      <c r="F89" s="225">
        <f t="shared" si="16"/>
        <v>0</v>
      </c>
      <c r="G89" s="225">
        <f t="shared" si="16"/>
        <v>-324577.77</v>
      </c>
      <c r="H89" s="160">
        <f t="shared" si="16"/>
        <v>0</v>
      </c>
      <c r="I89" s="160">
        <f t="shared" si="16"/>
        <v>-730274.77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54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-24967723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24967723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-25497116</v>
      </c>
      <c r="H13" s="60">
        <f t="shared" ref="H13:I15" si="0">F13-D13</f>
        <v>0</v>
      </c>
      <c r="I13" s="38">
        <f t="shared" si="0"/>
        <v>-25497116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-24967723</v>
      </c>
      <c r="F16" s="61">
        <f t="shared" si="1"/>
        <v>0</v>
      </c>
      <c r="G16" s="39">
        <f t="shared" si="1"/>
        <v>-25497116</v>
      </c>
      <c r="H16" s="61">
        <f t="shared" si="1"/>
        <v>0</v>
      </c>
      <c r="I16" s="39">
        <f t="shared" si="1"/>
        <v>-529393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433044</v>
      </c>
      <c r="H41" s="60">
        <f t="shared" si="7"/>
        <v>0</v>
      </c>
      <c r="I41" s="38">
        <f t="shared" si="7"/>
        <v>433044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433044</v>
      </c>
      <c r="H42" s="69">
        <f t="shared" si="8"/>
        <v>0</v>
      </c>
      <c r="I42" s="70">
        <f t="shared" si="8"/>
        <v>433044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433044</v>
      </c>
      <c r="H43" s="61">
        <f t="shared" si="9"/>
        <v>0</v>
      </c>
      <c r="I43" s="39">
        <f t="shared" si="9"/>
        <v>433044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450000</v>
      </c>
      <c r="F60" s="60">
        <f>STG_GL!D60</f>
        <v>0</v>
      </c>
      <c r="G60" s="38">
        <f>STG_GL!E60</f>
        <v>496833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496833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98380002</v>
      </c>
      <c r="F70" s="60">
        <f>STG_GL!D70</f>
        <v>0</v>
      </c>
      <c r="G70" s="38">
        <f>STG_GL!E70</f>
        <v>117015719</v>
      </c>
      <c r="H70" s="60">
        <f>F70-D70</f>
        <v>0</v>
      </c>
      <c r="I70" s="38">
        <f>G70-E70</f>
        <v>18635717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-72699523</v>
      </c>
      <c r="F71" s="60">
        <f>STG_GL!D71</f>
        <v>0</v>
      </c>
      <c r="G71" s="38">
        <f>STG_GL!E71</f>
        <v>-91335240.049999997</v>
      </c>
      <c r="H71" s="60">
        <f>F71-D71</f>
        <v>0</v>
      </c>
      <c r="I71" s="38">
        <f>G71-E71</f>
        <v>-18635717.049999997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25680479</v>
      </c>
      <c r="F72" s="69">
        <f t="shared" si="13"/>
        <v>0</v>
      </c>
      <c r="G72" s="70">
        <f t="shared" si="13"/>
        <v>25680478.950000003</v>
      </c>
      <c r="H72" s="69">
        <f t="shared" si="13"/>
        <v>0</v>
      </c>
      <c r="I72" s="70">
        <f t="shared" si="13"/>
        <v>-4.9999997019767761E-2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-328270</v>
      </c>
      <c r="F73" s="60">
        <f>STG_GL!D73</f>
        <v>0</v>
      </c>
      <c r="G73" s="38">
        <f>STG_GL!E73</f>
        <v>-909291</v>
      </c>
      <c r="H73" s="60">
        <f>F73-D73</f>
        <v>0</v>
      </c>
      <c r="I73" s="38">
        <f>G73-E73</f>
        <v>-581021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3468797</v>
      </c>
      <c r="F74" s="60">
        <f>STG_GL!D74</f>
        <v>0</v>
      </c>
      <c r="G74" s="38">
        <f>STG_GL!E74</f>
        <v>2564016</v>
      </c>
      <c r="H74" s="60">
        <f t="shared" ref="H74:I79" si="14">F74-D74</f>
        <v>0</v>
      </c>
      <c r="I74" s="38">
        <f t="shared" si="14"/>
        <v>-904781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-909291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909291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-2185</v>
      </c>
      <c r="F76" s="60">
        <f>STG_GL!D76</f>
        <v>0</v>
      </c>
      <c r="G76" s="38">
        <f>STG_GL!E76</f>
        <v>-2158</v>
      </c>
      <c r="H76" s="60">
        <f t="shared" si="14"/>
        <v>0</v>
      </c>
      <c r="I76" s="38">
        <f t="shared" si="14"/>
        <v>27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0</v>
      </c>
      <c r="H77" s="60">
        <f t="shared" si="14"/>
        <v>0</v>
      </c>
      <c r="I77" s="38">
        <f t="shared" si="14"/>
        <v>382427</v>
      </c>
    </row>
    <row r="78" spans="1:9" x14ac:dyDescent="0.25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5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-103047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103047</v>
      </c>
    </row>
    <row r="80" spans="1:9" x14ac:dyDescent="0.25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88418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-88418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3814751</v>
      </c>
      <c r="F82" s="109">
        <f>F16+F24+F29+F36+F43+F45+F47+F49</f>
        <v>0</v>
      </c>
      <c r="G82" s="110">
        <f>SUM(G72:G81)+G16+G24+G29+G36+G43+G45+G47+G49+G51+G56+G61+G66</f>
        <v>2765806.950000003</v>
      </c>
      <c r="H82" s="109">
        <f>H16+H24+H29+H36+H43+H45+H47+H49</f>
        <v>0</v>
      </c>
      <c r="I82" s="110">
        <f>SUM(I72:I81)+I16+I24+I29+I36+I43+I45+I47+I49+I51+I56+I61+I66</f>
        <v>-1048944.049999997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47077931</v>
      </c>
      <c r="E11" s="66">
        <f>ONT_FLSH!M11</f>
        <v>130767443</v>
      </c>
      <c r="F11" s="60">
        <f>'ONT_GL '!D11</f>
        <v>47849017</v>
      </c>
      <c r="G11" s="38">
        <f>'ONT_GL '!E11</f>
        <v>119208706.63000001</v>
      </c>
      <c r="H11" s="60">
        <f>F11-D11</f>
        <v>771086</v>
      </c>
      <c r="I11" s="38">
        <f>G11-E11</f>
        <v>-11558736.36999999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11259097.26</v>
      </c>
      <c r="H12" s="60">
        <f>F12-D12</f>
        <v>0</v>
      </c>
      <c r="I12" s="38">
        <f>G12-E12</f>
        <v>11259097.26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785883</v>
      </c>
      <c r="E13" s="66">
        <f>ONT_FLSH!M13</f>
        <v>2242884</v>
      </c>
      <c r="F13" s="60">
        <f>'ONT_GL '!D13</f>
        <v>252282</v>
      </c>
      <c r="G13" s="38">
        <f>'ONT_GL '!E13</f>
        <v>757640</v>
      </c>
      <c r="H13" s="60">
        <f t="shared" ref="H13:I15" si="0">F13-D13</f>
        <v>-533601</v>
      </c>
      <c r="I13" s="38">
        <f t="shared" si="0"/>
        <v>-1485244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-64775</v>
      </c>
      <c r="H15" s="60">
        <f t="shared" si="0"/>
        <v>0</v>
      </c>
      <c r="I15" s="38">
        <f t="shared" si="0"/>
        <v>-64775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47863814</v>
      </c>
      <c r="E16" s="39">
        <f t="shared" si="1"/>
        <v>133010327</v>
      </c>
      <c r="F16" s="61">
        <f t="shared" si="1"/>
        <v>48101299</v>
      </c>
      <c r="G16" s="39">
        <f t="shared" si="1"/>
        <v>131160668.89000002</v>
      </c>
      <c r="H16" s="61">
        <f t="shared" si="1"/>
        <v>237485</v>
      </c>
      <c r="I16" s="39">
        <f t="shared" si="1"/>
        <v>-1849658.1099999901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-46375541</v>
      </c>
      <c r="E19" s="66">
        <f>ONT_FLSH!M19</f>
        <v>-128293510</v>
      </c>
      <c r="F19" s="60">
        <f>'ONT_GL '!D19</f>
        <v>-47028660</v>
      </c>
      <c r="G19" s="38">
        <f>'ONT_GL '!E19</f>
        <v>-118595585.31999999</v>
      </c>
      <c r="H19" s="60">
        <f>F19-D19</f>
        <v>-653119</v>
      </c>
      <c r="I19" s="38">
        <f>G19-E19</f>
        <v>9697924.6800000072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-15950612.970000001</v>
      </c>
      <c r="H20" s="60">
        <f>F20-D20</f>
        <v>0</v>
      </c>
      <c r="I20" s="38">
        <f>G20-E20</f>
        <v>-15950612.970000001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-1501647</v>
      </c>
      <c r="E21" s="66">
        <f>ONT_FLSH!M21</f>
        <v>-4294217</v>
      </c>
      <c r="F21" s="60">
        <f>'ONT_GL '!D21</f>
        <v>-712812</v>
      </c>
      <c r="G21" s="38">
        <f>'ONT_GL '!E21</f>
        <v>-2102014</v>
      </c>
      <c r="H21" s="60">
        <f t="shared" ref="H21:I23" si="2">F21-D21</f>
        <v>788835</v>
      </c>
      <c r="I21" s="38">
        <f t="shared" si="2"/>
        <v>2192203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71548</v>
      </c>
      <c r="G23" s="38">
        <f>'ONT_GL '!E23</f>
        <v>216074.96</v>
      </c>
      <c r="H23" s="60">
        <f t="shared" si="2"/>
        <v>71548</v>
      </c>
      <c r="I23" s="38">
        <f t="shared" si="2"/>
        <v>216074.96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-47877188</v>
      </c>
      <c r="E24" s="39">
        <f t="shared" si="3"/>
        <v>-132587727</v>
      </c>
      <c r="F24" s="61">
        <f t="shared" si="3"/>
        <v>-47669924</v>
      </c>
      <c r="G24" s="39">
        <f t="shared" si="3"/>
        <v>-136432137.32999998</v>
      </c>
      <c r="H24" s="61">
        <f t="shared" si="3"/>
        <v>207264</v>
      </c>
      <c r="I24" s="39">
        <f t="shared" si="3"/>
        <v>-3844410.3299999936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829820</v>
      </c>
      <c r="G32" s="38">
        <f>'ONT_GL '!E32</f>
        <v>2506056.4000000004</v>
      </c>
      <c r="H32" s="60">
        <f>F32-D32</f>
        <v>829820</v>
      </c>
      <c r="I32" s="38">
        <f>G32-E32</f>
        <v>2506056.4000000004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829820</v>
      </c>
      <c r="G36" s="39">
        <f t="shared" si="6"/>
        <v>2506056.4000000004</v>
      </c>
      <c r="H36" s="61">
        <f t="shared" si="6"/>
        <v>829820</v>
      </c>
      <c r="I36" s="39">
        <f t="shared" si="6"/>
        <v>2506056.4000000004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13374</v>
      </c>
      <c r="E49" s="66">
        <f>ONT_FLSH!M49</f>
        <v>40389.480000000003</v>
      </c>
      <c r="F49" s="60">
        <f>'ONT_GL '!D49</f>
        <v>-1261195</v>
      </c>
      <c r="G49" s="38">
        <f>'ONT_GL '!E49</f>
        <v>-3808808.9000000004</v>
      </c>
      <c r="H49" s="60">
        <f>F49-D49</f>
        <v>-1274569</v>
      </c>
      <c r="I49" s="38">
        <f>G49-E49</f>
        <v>-3849198.3800000004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-71548</v>
      </c>
      <c r="G51" s="38">
        <f>'ONT_GL '!E51</f>
        <v>-216074.96</v>
      </c>
      <c r="H51" s="60">
        <f>F51-D51</f>
        <v>-71548</v>
      </c>
      <c r="I51" s="38">
        <f>G51-E51</f>
        <v>-216074.96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-3371</v>
      </c>
      <c r="F54" s="60">
        <f>'ONT_GL '!D54</f>
        <v>0</v>
      </c>
      <c r="G54" s="38">
        <f>'ONT_GL '!E54</f>
        <v>-100623.67</v>
      </c>
      <c r="H54" s="60">
        <f>F54-D54</f>
        <v>0</v>
      </c>
      <c r="I54" s="38">
        <f>G54-E54</f>
        <v>-97252.67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-3371</v>
      </c>
      <c r="F56" s="61">
        <f t="shared" si="10"/>
        <v>0</v>
      </c>
      <c r="G56" s="39">
        <f t="shared" si="10"/>
        <v>-100623.67</v>
      </c>
      <c r="H56" s="61">
        <f t="shared" si="10"/>
        <v>0</v>
      </c>
      <c r="I56" s="39">
        <f t="shared" si="10"/>
        <v>-97252.67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115486.0210982901</v>
      </c>
      <c r="F70" s="60">
        <f>'ONT_GL '!D70</f>
        <v>0</v>
      </c>
      <c r="G70" s="38">
        <f>'ONT_GL '!E70</f>
        <v>115486.02</v>
      </c>
      <c r="H70" s="60">
        <f>F70-D70</f>
        <v>0</v>
      </c>
      <c r="I70" s="38">
        <f>G70-E70</f>
        <v>-1.0982901003444567E-3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-1556140</v>
      </c>
      <c r="F71" s="60">
        <f>'ONT_GL '!D71</f>
        <v>0</v>
      </c>
      <c r="G71" s="38">
        <f>'ONT_GL '!E71</f>
        <v>-1556139.52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-1440653.9789017099</v>
      </c>
      <c r="F72" s="69">
        <f t="shared" si="13"/>
        <v>0</v>
      </c>
      <c r="G72" s="70">
        <f t="shared" si="13"/>
        <v>-1440653.5</v>
      </c>
      <c r="H72" s="69">
        <f t="shared" si="13"/>
        <v>0</v>
      </c>
      <c r="I72" s="70">
        <f t="shared" si="13"/>
        <v>0.47890170988102909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1134514.5018000002</v>
      </c>
      <c r="F74" s="60">
        <f>'ONT_GL '!D74</f>
        <v>0</v>
      </c>
      <c r="G74" s="38">
        <f>'ONT_GL '!E74</f>
        <v>3133469.86</v>
      </c>
      <c r="H74" s="60">
        <f t="shared" ref="H74:I79" si="14">F74-D74</f>
        <v>0</v>
      </c>
      <c r="I74" s="38">
        <f t="shared" si="14"/>
        <v>1998955.3581999997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-198</v>
      </c>
      <c r="F76" s="60">
        <f>'ONT_GL '!D76</f>
        <v>0</v>
      </c>
      <c r="G76" s="38">
        <f>'ONT_GL '!E76</f>
        <v>-474.79</v>
      </c>
      <c r="H76" s="60">
        <f t="shared" si="14"/>
        <v>0</v>
      </c>
      <c r="I76" s="38">
        <f t="shared" si="14"/>
        <v>-276.79000000000002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-3412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3412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149869.00289828659</v>
      </c>
      <c r="F82" s="109">
        <f>F16+F24+F29+F36+F43+F45+F47+F49</f>
        <v>0</v>
      </c>
      <c r="G82" s="110">
        <f>SUM(G72:G81)+G16+G24+G29+G36+G43+G45+G47+G49+G51+G56+G61+G66</f>
        <v>-5198577.9999999749</v>
      </c>
      <c r="H82" s="109">
        <f>H16+H24+H29+H36+H43+H45+H47+H49</f>
        <v>0</v>
      </c>
      <c r="I82" s="110">
        <f>SUM(I72:I81)+I16+I24+I29+I36+I43+I45+I47+I49+I51+I56+I61+I66</f>
        <v>-5348447.002898274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203566.51</v>
      </c>
      <c r="H86" s="145">
        <f t="shared" ref="H86:I88" si="15">F86-D86</f>
        <v>0</v>
      </c>
      <c r="I86" s="145">
        <f t="shared" si="15"/>
        <v>-220073.49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-37567</v>
      </c>
      <c r="H87" s="146">
        <f t="shared" si="15"/>
        <v>0</v>
      </c>
      <c r="I87" s="146">
        <f t="shared" si="15"/>
        <v>-37567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165999.51</v>
      </c>
      <c r="H89" s="160">
        <f t="shared" si="16"/>
        <v>0</v>
      </c>
      <c r="I89" s="160">
        <f t="shared" si="16"/>
        <v>-257640.49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573509.00289828656</v>
      </c>
      <c r="F91" s="160">
        <f t="shared" si="17"/>
        <v>0</v>
      </c>
      <c r="G91" s="160">
        <f t="shared" si="17"/>
        <v>-5032578.4899999751</v>
      </c>
      <c r="H91" s="160">
        <f t="shared" si="17"/>
        <v>0</v>
      </c>
      <c r="I91" s="160">
        <f t="shared" si="17"/>
        <v>-5606087.4928982742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14226270</v>
      </c>
      <c r="E11" s="66">
        <f>BUG_FLSH!E11</f>
        <v>31901265</v>
      </c>
      <c r="F11" s="60">
        <f>BUG_GL!D11</f>
        <v>14330584</v>
      </c>
      <c r="G11" s="38">
        <f>BUG_GL!E11</f>
        <v>21731792.859999999</v>
      </c>
      <c r="H11" s="60">
        <f>F11-D11</f>
        <v>104314</v>
      </c>
      <c r="I11" s="38">
        <f>G11-E11</f>
        <v>-10169472.140000001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36325908</v>
      </c>
      <c r="E13" s="66">
        <f>BUG_FLSH!E13</f>
        <v>109577788</v>
      </c>
      <c r="F13" s="60">
        <f>BUG_GL!D13</f>
        <v>12274443</v>
      </c>
      <c r="G13" s="38">
        <f>BUG_GL!E13</f>
        <v>35784381</v>
      </c>
      <c r="H13" s="60">
        <f t="shared" ref="H13:I15" si="0">F13-D13</f>
        <v>-24051465</v>
      </c>
      <c r="I13" s="38">
        <f t="shared" si="0"/>
        <v>-73793407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10479428</v>
      </c>
      <c r="F15" s="60">
        <f>BUG_GL!D15</f>
        <v>0</v>
      </c>
      <c r="G15" s="38">
        <f>BUG_GL!E15</f>
        <v>14525301.859999999</v>
      </c>
      <c r="H15" s="60">
        <f t="shared" si="0"/>
        <v>0</v>
      </c>
      <c r="I15" s="38">
        <f t="shared" si="0"/>
        <v>4045873.8599999994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50552178</v>
      </c>
      <c r="E16" s="39">
        <f t="shared" si="1"/>
        <v>151958481</v>
      </c>
      <c r="F16" s="61">
        <f t="shared" si="1"/>
        <v>26605027</v>
      </c>
      <c r="G16" s="39">
        <f t="shared" si="1"/>
        <v>72041475.719999999</v>
      </c>
      <c r="H16" s="61">
        <f t="shared" si="1"/>
        <v>-23947151</v>
      </c>
      <c r="I16" s="39">
        <f t="shared" si="1"/>
        <v>-79917005.280000001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-8013120</v>
      </c>
      <c r="E19" s="66">
        <f>BUG_FLSH!E19</f>
        <v>-19229332</v>
      </c>
      <c r="F19" s="60">
        <f>BUG_GL!D19</f>
        <v>-8012439</v>
      </c>
      <c r="G19" s="38">
        <f>BUG_GL!E19</f>
        <v>-24361711.219999999</v>
      </c>
      <c r="H19" s="60">
        <f>F19-D19</f>
        <v>681</v>
      </c>
      <c r="I19" s="38">
        <f>G19-E19</f>
        <v>-5132379.2199999988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11890740.5</v>
      </c>
      <c r="H20" s="60">
        <f>F20-D20</f>
        <v>0</v>
      </c>
      <c r="I20" s="38">
        <f>G20-E20</f>
        <v>11890740.5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-37748857</v>
      </c>
      <c r="E21" s="66">
        <f>BUG_FLSH!E21</f>
        <v>-111127606</v>
      </c>
      <c r="F21" s="60">
        <f>BUG_GL!D21</f>
        <v>-13763085</v>
      </c>
      <c r="G21" s="38">
        <f>BUG_GL!E21</f>
        <v>-37529180</v>
      </c>
      <c r="H21" s="60">
        <f t="shared" ref="H21:I23" si="2">F21-D21</f>
        <v>23985772</v>
      </c>
      <c r="I21" s="38">
        <f t="shared" si="2"/>
        <v>73598426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622881</v>
      </c>
      <c r="E23" s="66">
        <f>BUG_FLSH!E23</f>
        <v>1746429</v>
      </c>
      <c r="F23" s="60">
        <f>BUG_GL!D23</f>
        <v>0</v>
      </c>
      <c r="G23" s="38">
        <f>BUG_GL!E23</f>
        <v>0</v>
      </c>
      <c r="H23" s="60">
        <f t="shared" si="2"/>
        <v>-622881</v>
      </c>
      <c r="I23" s="38">
        <f t="shared" si="2"/>
        <v>-1746429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-45139096</v>
      </c>
      <c r="E24" s="39">
        <f t="shared" si="3"/>
        <v>-128610509</v>
      </c>
      <c r="F24" s="61">
        <f t="shared" si="3"/>
        <v>-21775524</v>
      </c>
      <c r="G24" s="39">
        <f t="shared" si="3"/>
        <v>-50000150.719999999</v>
      </c>
      <c r="H24" s="61">
        <f t="shared" si="3"/>
        <v>23363572</v>
      </c>
      <c r="I24" s="39">
        <f t="shared" si="3"/>
        <v>78610358.280000001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299827</v>
      </c>
      <c r="E39" s="66">
        <f>BUG_FLSH!E39</f>
        <v>879007</v>
      </c>
      <c r="F39" s="60">
        <f>BUG_GL!D39</f>
        <v>240863</v>
      </c>
      <c r="G39" s="38">
        <f>BUG_GL!E39</f>
        <v>646717.16</v>
      </c>
      <c r="H39" s="60">
        <f t="shared" ref="H39:I41" si="7">F39-D39</f>
        <v>-58964</v>
      </c>
      <c r="I39" s="38">
        <f t="shared" si="7"/>
        <v>-232289.83999999997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-5862146</v>
      </c>
      <c r="E40" s="66">
        <f>BUG_FLSH!E40</f>
        <v>-11029269</v>
      </c>
      <c r="F40" s="60">
        <f>BUG_GL!D40</f>
        <v>-4976934</v>
      </c>
      <c r="G40" s="38">
        <f>BUG_GL!E40</f>
        <v>-12593779</v>
      </c>
      <c r="H40" s="60">
        <f t="shared" si="7"/>
        <v>885212</v>
      </c>
      <c r="I40" s="38">
        <f t="shared" si="7"/>
        <v>-1564510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-5862146</v>
      </c>
      <c r="E42" s="70">
        <f t="shared" si="8"/>
        <v>-11029269</v>
      </c>
      <c r="F42" s="69">
        <f t="shared" si="8"/>
        <v>-4976934</v>
      </c>
      <c r="G42" s="70">
        <f t="shared" si="8"/>
        <v>-12593779</v>
      </c>
      <c r="H42" s="69">
        <f t="shared" si="8"/>
        <v>885212</v>
      </c>
      <c r="I42" s="70">
        <f t="shared" si="8"/>
        <v>-1564510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-5562319</v>
      </c>
      <c r="E43" s="39">
        <f t="shared" si="9"/>
        <v>-10150262</v>
      </c>
      <c r="F43" s="61">
        <f t="shared" si="9"/>
        <v>-4736071</v>
      </c>
      <c r="G43" s="39">
        <f t="shared" si="9"/>
        <v>-11947061.84</v>
      </c>
      <c r="H43" s="61">
        <f t="shared" si="9"/>
        <v>826248</v>
      </c>
      <c r="I43" s="39">
        <f t="shared" si="9"/>
        <v>-1796799.8399999999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149237</v>
      </c>
      <c r="E49" s="66">
        <f>BUG_FLSH!E49</f>
        <v>392344.07299999997</v>
      </c>
      <c r="F49" s="60">
        <f>BUG_GL!D49</f>
        <v>-93432</v>
      </c>
      <c r="G49" s="38">
        <f>BUG_GL!E49</f>
        <v>-245632.72800000012</v>
      </c>
      <c r="H49" s="60">
        <f>F49-D49</f>
        <v>-242669</v>
      </c>
      <c r="I49" s="38">
        <f>G49-E49</f>
        <v>-637976.80100000009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-622881</v>
      </c>
      <c r="E51" s="66">
        <f>BUG_FLSH!E51</f>
        <v>-1746429</v>
      </c>
      <c r="F51" s="60">
        <f>BUG_GL!D51</f>
        <v>0</v>
      </c>
      <c r="G51" s="38">
        <f>BUG_GL!E51</f>
        <v>0</v>
      </c>
      <c r="H51" s="60">
        <f>F51-D51</f>
        <v>622881</v>
      </c>
      <c r="I51" s="38">
        <f>G51-E51</f>
        <v>1746429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-1132053</v>
      </c>
      <c r="F54" s="60">
        <f>BUG_GL!D54</f>
        <v>-22435426</v>
      </c>
      <c r="G54" s="38">
        <f>BUG_GL!E54</f>
        <v>-792569.74</v>
      </c>
      <c r="H54" s="60">
        <f>F54-D54</f>
        <v>-22435426</v>
      </c>
      <c r="I54" s="38">
        <f>G54-E54</f>
        <v>339483.26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-10479428</v>
      </c>
      <c r="F55" s="60">
        <f>BUG_GL!D55</f>
        <v>0</v>
      </c>
      <c r="G55" s="38">
        <f>BUG_GL!E55</f>
        <v>-10468191.139999999</v>
      </c>
      <c r="H55" s="60">
        <f>F55-D55</f>
        <v>0</v>
      </c>
      <c r="I55" s="38">
        <f>G55-E55</f>
        <v>11236.860000001267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-11611481</v>
      </c>
      <c r="F56" s="61">
        <f t="shared" si="10"/>
        <v>-22435426</v>
      </c>
      <c r="G56" s="39">
        <f t="shared" si="10"/>
        <v>-11260760.879999999</v>
      </c>
      <c r="H56" s="61">
        <f t="shared" si="10"/>
        <v>-22435426</v>
      </c>
      <c r="I56" s="39">
        <f t="shared" si="10"/>
        <v>350720.12000000128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-649880.27089920244</v>
      </c>
      <c r="F70" s="60">
        <f>BUG_GL!D70</f>
        <v>0</v>
      </c>
      <c r="G70" s="38">
        <f>BUG_GL!E70</f>
        <v>-649880.27</v>
      </c>
      <c r="H70" s="60">
        <f>F70-D70</f>
        <v>0</v>
      </c>
      <c r="I70" s="38">
        <f>G70-E70</f>
        <v>8.9920242317020893E-4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2467845</v>
      </c>
      <c r="F71" s="60">
        <f>BUG_GL!D71</f>
        <v>0</v>
      </c>
      <c r="G71" s="38">
        <f>BUG_GL!E71</f>
        <v>2467844.79</v>
      </c>
      <c r="H71" s="60">
        <f>F71-D71</f>
        <v>0</v>
      </c>
      <c r="I71" s="38">
        <f>G71-E71</f>
        <v>-0.2099999999627471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1817964.7291007976</v>
      </c>
      <c r="F72" s="69">
        <f t="shared" si="13"/>
        <v>0</v>
      </c>
      <c r="G72" s="70">
        <f t="shared" si="13"/>
        <v>1817964.52</v>
      </c>
      <c r="H72" s="69">
        <f t="shared" si="13"/>
        <v>0</v>
      </c>
      <c r="I72" s="70">
        <f t="shared" si="13"/>
        <v>-0.20910079753957689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-1773854.5</v>
      </c>
      <c r="F74" s="60">
        <f>BUG_GL!D74</f>
        <v>0</v>
      </c>
      <c r="G74" s="38">
        <f>BUG_GL!E74</f>
        <v>-3806765.99</v>
      </c>
      <c r="H74" s="60">
        <f t="shared" ref="H74:I79" si="14">F74-D74</f>
        <v>0</v>
      </c>
      <c r="I74" s="38">
        <f t="shared" si="14"/>
        <v>-2032911.4900000002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-543798.11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543798.11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-267543.80789919011</v>
      </c>
      <c r="F82" s="109">
        <f>F16+F24+F29+F36+F43+F45+F47+F49</f>
        <v>0</v>
      </c>
      <c r="G82" s="110">
        <f>SUM(G72:G81)+G16+G24+G29+G36+G43+G45+G47+G49+G51+G56+G61+G66</f>
        <v>-3400931.9179999977</v>
      </c>
      <c r="H82" s="109">
        <f>H16+H24+H29+H36+H43+H45+H47+H49</f>
        <v>0</v>
      </c>
      <c r="I82" s="110">
        <f>SUM(I72:I81)+I16+I24+I29+I36+I43+I45+I47+I49+I51+I56+I61+I66</f>
        <v>-3133388.1101007918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B632" workbookViewId="0">
      <selection activeCell="I644" sqref="I644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217</v>
      </c>
      <c r="F3" s="197" t="s">
        <v>218</v>
      </c>
      <c r="G3" s="203" t="s">
        <v>217</v>
      </c>
      <c r="H3" s="197" t="s">
        <v>218</v>
      </c>
      <c r="I3" s="203" t="s">
        <v>122</v>
      </c>
      <c r="K3" s="198" t="s">
        <v>122</v>
      </c>
      <c r="M3" s="198" t="s">
        <v>213</v>
      </c>
      <c r="N3" s="197" t="s">
        <v>214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200">
        <v>134382</v>
      </c>
      <c r="F4" s="199">
        <v>352215.22</v>
      </c>
      <c r="G4" s="200">
        <v>694</v>
      </c>
      <c r="H4" s="199">
        <v>1818.98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-134382</v>
      </c>
      <c r="F15" s="199">
        <v>-349393.2</v>
      </c>
      <c r="G15" s="200">
        <v>-694</v>
      </c>
      <c r="H15" s="199">
        <v>-1804.4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-19778.919999999998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140</v>
      </c>
      <c r="B84" s="33" t="s">
        <v>203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140</v>
      </c>
      <c r="B85" s="33" t="s">
        <v>203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140</v>
      </c>
      <c r="B86" s="33" t="s">
        <v>203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140</v>
      </c>
      <c r="B87" s="33" t="s">
        <v>203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140</v>
      </c>
      <c r="B88" s="33" t="s">
        <v>203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140</v>
      </c>
      <c r="B89" s="33" t="s">
        <v>203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140</v>
      </c>
      <c r="B90" s="33" t="s">
        <v>203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140</v>
      </c>
      <c r="B91" s="33" t="s">
        <v>203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140</v>
      </c>
      <c r="B92" s="33" t="s">
        <v>203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140</v>
      </c>
      <c r="B93" s="33" t="s">
        <v>203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140</v>
      </c>
      <c r="B94" s="33" t="s">
        <v>203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140</v>
      </c>
      <c r="B95" s="33" t="s">
        <v>203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140</v>
      </c>
      <c r="B96" s="33" t="s">
        <v>203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140</v>
      </c>
      <c r="B97" s="33" t="s">
        <v>203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140</v>
      </c>
      <c r="B98" s="33" t="s">
        <v>203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140</v>
      </c>
      <c r="B99" s="33" t="s">
        <v>203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140</v>
      </c>
      <c r="B100" s="33" t="s">
        <v>203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140</v>
      </c>
      <c r="B101" s="33" t="s">
        <v>203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140</v>
      </c>
      <c r="B102" s="33" t="s">
        <v>203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140</v>
      </c>
      <c r="B103" s="33" t="s">
        <v>203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140</v>
      </c>
      <c r="B104" s="33" t="s">
        <v>203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140</v>
      </c>
      <c r="B105" s="33" t="s">
        <v>203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140</v>
      </c>
      <c r="B106" s="33" t="s">
        <v>203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140</v>
      </c>
      <c r="B107" s="33" t="s">
        <v>203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140</v>
      </c>
      <c r="B108" s="33" t="s">
        <v>203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140</v>
      </c>
      <c r="B109" s="33" t="s">
        <v>203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140</v>
      </c>
      <c r="B110" s="33" t="s">
        <v>203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140</v>
      </c>
      <c r="B111" s="33" t="s">
        <v>203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140</v>
      </c>
      <c r="B112" s="33" t="s">
        <v>203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140</v>
      </c>
      <c r="B113" s="33" t="s">
        <v>203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140</v>
      </c>
      <c r="B114" s="33" t="s">
        <v>203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140</v>
      </c>
      <c r="B115" s="33" t="s">
        <v>203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140</v>
      </c>
      <c r="B116" s="33" t="s">
        <v>203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140</v>
      </c>
      <c r="B117" s="33" t="s">
        <v>203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140</v>
      </c>
      <c r="B118" s="33" t="s">
        <v>203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140</v>
      </c>
      <c r="B119" s="33" t="s">
        <v>203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140</v>
      </c>
      <c r="B120" s="33" t="s">
        <v>203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140</v>
      </c>
      <c r="B121" s="33" t="s">
        <v>203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140</v>
      </c>
      <c r="B122" s="33" t="s">
        <v>203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140</v>
      </c>
      <c r="B123" s="33" t="s">
        <v>203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14183416</v>
      </c>
      <c r="F124" s="199">
        <v>31782879.629999999</v>
      </c>
      <c r="G124" s="200">
        <v>147168</v>
      </c>
      <c r="H124" s="199">
        <v>-10051086.77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12273916</v>
      </c>
      <c r="F126" s="199">
        <v>35782782</v>
      </c>
      <c r="G126" s="200">
        <v>527</v>
      </c>
      <c r="H126" s="199">
        <v>1599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14576704.869999999</v>
      </c>
      <c r="G128" s="200">
        <v>0</v>
      </c>
      <c r="H128" s="199">
        <v>-51403.01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-8013120</v>
      </c>
      <c r="F129" s="199">
        <v>-22676094.77</v>
      </c>
      <c r="G129" s="200">
        <v>681</v>
      </c>
      <c r="H129" s="199">
        <v>-1685616.45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-13718344</v>
      </c>
      <c r="F131" s="199">
        <v>-37394509</v>
      </c>
      <c r="G131" s="200">
        <v>-44741</v>
      </c>
      <c r="H131" s="199">
        <v>-134671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240863</v>
      </c>
      <c r="F140" s="199">
        <v>646717.16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-4404868</v>
      </c>
      <c r="F141" s="199">
        <v>-10990143.939999999</v>
      </c>
      <c r="G141" s="200">
        <v>-572066</v>
      </c>
      <c r="H141" s="199">
        <v>-1603635.06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-561863</v>
      </c>
      <c r="F145" s="199">
        <v>-1477137.827</v>
      </c>
      <c r="G145" s="200">
        <v>468431</v>
      </c>
      <c r="H145" s="199">
        <v>1231505.0989999999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-22051979</v>
      </c>
      <c r="F147" s="199">
        <v>-780054.11</v>
      </c>
      <c r="G147" s="200">
        <v>-383447</v>
      </c>
      <c r="H147" s="199">
        <v>-12515.63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-10518008.109999999</v>
      </c>
      <c r="G148" s="200">
        <v>0</v>
      </c>
      <c r="H148" s="199">
        <v>49816.97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115460182</v>
      </c>
      <c r="F164" s="199">
        <v>304250263.52000004</v>
      </c>
      <c r="G164" s="200">
        <v>454127</v>
      </c>
      <c r="H164" s="199">
        <v>532425.02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5177720</v>
      </c>
      <c r="F166" s="199">
        <v>13861560</v>
      </c>
      <c r="G166" s="200">
        <v>97955</v>
      </c>
      <c r="H166" s="199">
        <v>258474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1247995.51</v>
      </c>
      <c r="G168" s="200">
        <v>0</v>
      </c>
      <c r="H168" s="199">
        <v>1587645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-128008312</v>
      </c>
      <c r="F169" s="199">
        <v>-334791168.93000001</v>
      </c>
      <c r="G169" s="200">
        <v>-1452098</v>
      </c>
      <c r="H169" s="199">
        <v>-4430968.21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-3077725</v>
      </c>
      <c r="F171" s="199">
        <v>-8291680</v>
      </c>
      <c r="G171" s="200">
        <v>-74784</v>
      </c>
      <c r="H171" s="199">
        <v>-220811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807961</v>
      </c>
      <c r="F173" s="199">
        <v>2111202.0929999999</v>
      </c>
      <c r="G173" s="200">
        <v>-22668</v>
      </c>
      <c r="H173" s="199">
        <v>-59231.483999999997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620978</v>
      </c>
      <c r="F174" s="199">
        <v>1689839.42</v>
      </c>
      <c r="G174" s="200">
        <v>80366</v>
      </c>
      <c r="H174" s="199">
        <v>224469.19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0</v>
      </c>
      <c r="F175" s="199">
        <v>0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-706880</v>
      </c>
      <c r="F176" s="199">
        <v>-1847077.44</v>
      </c>
      <c r="G176" s="200">
        <v>561564</v>
      </c>
      <c r="H176" s="199">
        <v>1467366.7320000001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-22553</v>
      </c>
      <c r="H177" s="199">
        <v>-195.82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690</v>
      </c>
      <c r="H178" s="199">
        <v>0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552019</v>
      </c>
      <c r="F180" s="199">
        <v>1442425.65</v>
      </c>
      <c r="G180" s="200">
        <v>60439</v>
      </c>
      <c r="H180" s="199">
        <v>157927.10999999999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-392942</v>
      </c>
      <c r="F181" s="199">
        <v>-860316.56</v>
      </c>
      <c r="G181" s="200">
        <v>6067</v>
      </c>
      <c r="H181" s="199">
        <v>18379.3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9566999</v>
      </c>
      <c r="F185" s="199">
        <v>24998568.386999998</v>
      </c>
      <c r="G185" s="200">
        <v>310895</v>
      </c>
      <c r="H185" s="199">
        <v>812368.63500000164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-807961</v>
      </c>
      <c r="F186" s="199">
        <v>-2111202.0929999999</v>
      </c>
      <c r="G186" s="200">
        <v>22668</v>
      </c>
      <c r="H186" s="199">
        <v>59231.483999999997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-76869037</v>
      </c>
      <c r="F187" s="199">
        <v>-564998.48</v>
      </c>
      <c r="G187" s="200">
        <v>-1844583</v>
      </c>
      <c r="H187" s="199">
        <v>56831.97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-2791251.81</v>
      </c>
      <c r="G188" s="200">
        <v>0</v>
      </c>
      <c r="H188" s="199">
        <v>650200.41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-4361.28</v>
      </c>
      <c r="G198" s="200">
        <v>0</v>
      </c>
      <c r="H198" s="199">
        <v>-5670.51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140</v>
      </c>
      <c r="B204" s="33" t="s">
        <v>201</v>
      </c>
      <c r="C204" s="33">
        <v>1</v>
      </c>
      <c r="D204" s="33" t="s">
        <v>25</v>
      </c>
      <c r="E204" s="200">
        <v>3838346</v>
      </c>
      <c r="F204" s="199">
        <v>8965830.7699999996</v>
      </c>
      <c r="G204" s="200">
        <v>-18713</v>
      </c>
      <c r="H204" s="199">
        <v>-35573.589999999997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140</v>
      </c>
      <c r="B205" s="33" t="s">
        <v>201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140</v>
      </c>
      <c r="B206" s="33" t="s">
        <v>201</v>
      </c>
      <c r="C206" s="33">
        <v>3</v>
      </c>
      <c r="D206" s="33" t="s">
        <v>27</v>
      </c>
      <c r="E206" s="200">
        <v>461027</v>
      </c>
      <c r="F206" s="199">
        <v>1182269</v>
      </c>
      <c r="G206" s="200">
        <v>-1379</v>
      </c>
      <c r="H206" s="199">
        <v>-3710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140</v>
      </c>
      <c r="B207" s="33" t="s">
        <v>201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140</v>
      </c>
      <c r="B208" s="33" t="s">
        <v>201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140</v>
      </c>
      <c r="B209" s="33" t="s">
        <v>201</v>
      </c>
      <c r="C209" s="33">
        <v>6</v>
      </c>
      <c r="D209" s="33" t="s">
        <v>25</v>
      </c>
      <c r="E209" s="200">
        <v>-5133341</v>
      </c>
      <c r="F209" s="199">
        <v>-11134074.34</v>
      </c>
      <c r="G209" s="200">
        <v>62496</v>
      </c>
      <c r="H209" s="199">
        <v>7173.55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140</v>
      </c>
      <c r="B210" s="33" t="s">
        <v>201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140</v>
      </c>
      <c r="B211" s="33" t="s">
        <v>201</v>
      </c>
      <c r="C211" s="33">
        <v>8</v>
      </c>
      <c r="D211" s="33" t="s">
        <v>27</v>
      </c>
      <c r="E211" s="200">
        <v>-93</v>
      </c>
      <c r="F211" s="199">
        <v>-241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140</v>
      </c>
      <c r="B212" s="33" t="s">
        <v>201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140</v>
      </c>
      <c r="B213" s="33" t="s">
        <v>201</v>
      </c>
      <c r="C213" s="33">
        <v>10</v>
      </c>
      <c r="D213" s="33" t="s">
        <v>32</v>
      </c>
      <c r="E213" s="200">
        <v>4898</v>
      </c>
      <c r="F213" s="199">
        <v>11461.32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140</v>
      </c>
      <c r="B214" s="33" t="s">
        <v>201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140</v>
      </c>
      <c r="B215" s="33" t="s">
        <v>201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140</v>
      </c>
      <c r="B216" s="33" t="s">
        <v>201</v>
      </c>
      <c r="C216" s="33">
        <v>13</v>
      </c>
      <c r="D216" s="33" t="s">
        <v>39</v>
      </c>
      <c r="E216" s="200">
        <v>17827</v>
      </c>
      <c r="F216" s="199">
        <v>41715.18</v>
      </c>
      <c r="G216" s="200">
        <v>5519</v>
      </c>
      <c r="H216" s="199">
        <v>12914.46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140</v>
      </c>
      <c r="B217" s="33" t="s">
        <v>201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140</v>
      </c>
      <c r="B218" s="33" t="s">
        <v>201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140</v>
      </c>
      <c r="B219" s="33" t="s">
        <v>201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140</v>
      </c>
      <c r="B220" s="33" t="s">
        <v>201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140</v>
      </c>
      <c r="B221" s="33" t="s">
        <v>201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140</v>
      </c>
      <c r="B222" s="33" t="s">
        <v>201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140</v>
      </c>
      <c r="B223" s="33" t="s">
        <v>201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140</v>
      </c>
      <c r="B224" s="33" t="s">
        <v>201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140</v>
      </c>
      <c r="B225" s="33" t="s">
        <v>201</v>
      </c>
      <c r="C225" s="33">
        <v>22</v>
      </c>
      <c r="D225" s="33" t="s">
        <v>130</v>
      </c>
      <c r="E225" s="200">
        <v>811336</v>
      </c>
      <c r="F225" s="199">
        <v>1898526.24</v>
      </c>
      <c r="G225" s="200">
        <v>-47923</v>
      </c>
      <c r="H225" s="199">
        <v>-112139.82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140</v>
      </c>
      <c r="B226" s="33" t="s">
        <v>201</v>
      </c>
      <c r="C226" s="33">
        <v>23</v>
      </c>
      <c r="D226" s="33" t="s">
        <v>131</v>
      </c>
      <c r="E226" s="200">
        <v>-4898</v>
      </c>
      <c r="F226" s="199">
        <v>-11461.32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140</v>
      </c>
      <c r="B227" s="33" t="s">
        <v>201</v>
      </c>
      <c r="C227" s="33">
        <v>24</v>
      </c>
      <c r="D227" s="33" t="s">
        <v>55</v>
      </c>
      <c r="E227" s="200">
        <v>-11660092</v>
      </c>
      <c r="F227" s="199">
        <v>-245536.4</v>
      </c>
      <c r="G227" s="200">
        <v>113863</v>
      </c>
      <c r="H227" s="199">
        <v>4878.5200000000004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140</v>
      </c>
      <c r="B228" s="33" t="s">
        <v>201</v>
      </c>
      <c r="C228" s="33">
        <v>25</v>
      </c>
      <c r="D228" s="33" t="s">
        <v>56</v>
      </c>
      <c r="E228" s="200">
        <v>0</v>
      </c>
      <c r="F228" s="199">
        <v>-735080.54</v>
      </c>
      <c r="G228" s="200">
        <v>0</v>
      </c>
      <c r="H228" s="199">
        <v>-13445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140</v>
      </c>
      <c r="B229" s="33" t="s">
        <v>201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140</v>
      </c>
      <c r="B230" s="33" t="s">
        <v>201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140</v>
      </c>
      <c r="B231" s="33" t="s">
        <v>201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140</v>
      </c>
      <c r="B232" s="33" t="s">
        <v>201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140</v>
      </c>
      <c r="B233" s="33" t="s">
        <v>201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140</v>
      </c>
      <c r="B234" s="33" t="s">
        <v>201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140</v>
      </c>
      <c r="B235" s="33" t="s">
        <v>201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140</v>
      </c>
      <c r="B236" s="33" t="s">
        <v>201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140</v>
      </c>
      <c r="B237" s="33" t="s">
        <v>201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140</v>
      </c>
      <c r="B238" s="33" t="s">
        <v>201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140</v>
      </c>
      <c r="B239" s="33" t="s">
        <v>201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140</v>
      </c>
      <c r="B240" s="33" t="s">
        <v>201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140</v>
      </c>
      <c r="B241" s="33" t="s">
        <v>201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140</v>
      </c>
      <c r="B242" s="33" t="s">
        <v>201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140</v>
      </c>
      <c r="B243" s="33" t="s">
        <v>201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197305664</v>
      </c>
      <c r="F244" s="199">
        <v>536010571.90999997</v>
      </c>
      <c r="G244" s="200">
        <v>2704985</v>
      </c>
      <c r="H244" s="199">
        <v>8315082.4099999992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14505729</v>
      </c>
      <c r="F246" s="199">
        <v>39605175</v>
      </c>
      <c r="G246" s="200">
        <v>44423</v>
      </c>
      <c r="H246" s="199">
        <v>134252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3704959.57</v>
      </c>
      <c r="G248" s="200">
        <v>0</v>
      </c>
      <c r="H248" s="199">
        <v>291832.76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-197512953</v>
      </c>
      <c r="F249" s="199">
        <v>-529355597.60000002</v>
      </c>
      <c r="G249" s="200">
        <v>-2048513</v>
      </c>
      <c r="H249" s="199">
        <v>-3122048.52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-14226249</v>
      </c>
      <c r="F251" s="199">
        <v>-41084728</v>
      </c>
      <c r="G251" s="200">
        <v>-85855</v>
      </c>
      <c r="H251" s="199">
        <v>-224401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1361359</v>
      </c>
      <c r="F253" s="199">
        <v>3579012.8110000002</v>
      </c>
      <c r="G253" s="200">
        <v>6719</v>
      </c>
      <c r="H253" s="199">
        <v>17664.251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778143</v>
      </c>
      <c r="F254" s="199">
        <v>2116022</v>
      </c>
      <c r="G254" s="200">
        <v>3358</v>
      </c>
      <c r="H254" s="199">
        <v>9690.02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-493423</v>
      </c>
      <c r="F255" s="199">
        <v>-1312703.19</v>
      </c>
      <c r="G255" s="200">
        <v>1441</v>
      </c>
      <c r="H255" s="199">
        <v>3940.42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84069</v>
      </c>
      <c r="F256" s="199">
        <v>221017.40100000001</v>
      </c>
      <c r="G256" s="200">
        <v>-570714</v>
      </c>
      <c r="H256" s="199">
        <v>-1500407.1059999999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-397497</v>
      </c>
      <c r="H257" s="199">
        <v>-1085638.6100000001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162357</v>
      </c>
      <c r="H258" s="199">
        <v>401370.06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86490</v>
      </c>
      <c r="F260" s="199">
        <v>227382.21</v>
      </c>
      <c r="G260" s="200">
        <v>-86451</v>
      </c>
      <c r="H260" s="199">
        <v>-227279.68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-1466369</v>
      </c>
      <c r="F261" s="199">
        <v>-2695450.25</v>
      </c>
      <c r="G261" s="200">
        <v>-176985</v>
      </c>
      <c r="H261" s="199">
        <v>-435547.12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-422460</v>
      </c>
      <c r="F265" s="199">
        <v>-1110647.3400000001</v>
      </c>
      <c r="G265" s="200">
        <v>442732</v>
      </c>
      <c r="H265" s="199">
        <v>1163942.4280000001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-1361359</v>
      </c>
      <c r="F266" s="199">
        <v>-3579012.8110000002</v>
      </c>
      <c r="G266" s="200">
        <v>-6719</v>
      </c>
      <c r="H266" s="199">
        <v>-17664.251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-156628547</v>
      </c>
      <c r="F267" s="199">
        <v>-2152001.3199999998</v>
      </c>
      <c r="G267" s="200">
        <v>21908879</v>
      </c>
      <c r="H267" s="199">
        <v>-158391.46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-7995911.4199999999</v>
      </c>
      <c r="G268" s="200">
        <v>0</v>
      </c>
      <c r="H268" s="199">
        <v>-66720.37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86158.06</v>
      </c>
      <c r="G269" s="200">
        <v>0</v>
      </c>
      <c r="H269" s="199">
        <v>-21516.69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-8316.2099999999991</v>
      </c>
      <c r="G278" s="200">
        <v>0</v>
      </c>
      <c r="H278" s="199">
        <v>85046.63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228262.05</v>
      </c>
      <c r="G283" s="200">
        <v>0</v>
      </c>
      <c r="H283" s="199">
        <v>223543.27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45571314</v>
      </c>
      <c r="F284" s="199">
        <v>113356518.03000002</v>
      </c>
      <c r="G284" s="200">
        <v>2277703</v>
      </c>
      <c r="H284" s="199">
        <v>5852188.5999999996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225056</v>
      </c>
      <c r="F286" s="199">
        <v>676534</v>
      </c>
      <c r="G286" s="200">
        <v>27226</v>
      </c>
      <c r="H286" s="199">
        <v>81106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-64775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-44865488</v>
      </c>
      <c r="F289" s="199">
        <v>-116714515.70999999</v>
      </c>
      <c r="G289" s="200">
        <v>-2163172</v>
      </c>
      <c r="H289" s="199">
        <v>-1881069.61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-712812</v>
      </c>
      <c r="F291" s="199">
        <v>-2102014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2308</v>
      </c>
      <c r="F293" s="199">
        <v>6970.16</v>
      </c>
      <c r="G293" s="200">
        <v>69240</v>
      </c>
      <c r="H293" s="199">
        <v>209104.8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88462</v>
      </c>
      <c r="F296" s="199">
        <v>267155.24</v>
      </c>
      <c r="G296" s="200">
        <v>741358</v>
      </c>
      <c r="H296" s="199">
        <v>2238901.16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-308840</v>
      </c>
      <c r="F305" s="199">
        <v>-932696.8</v>
      </c>
      <c r="G305" s="200">
        <v>-952355</v>
      </c>
      <c r="H305" s="199">
        <v>-2876112.1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-2308</v>
      </c>
      <c r="F306" s="199">
        <v>-6970.16</v>
      </c>
      <c r="G306" s="200">
        <v>-69240</v>
      </c>
      <c r="H306" s="199">
        <v>-209104.8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-100623.67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-198.24</v>
      </c>
      <c r="G318" s="200">
        <v>0</v>
      </c>
      <c r="H318" s="199">
        <v>-276.55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140</v>
      </c>
      <c r="B324" s="33" t="s">
        <v>204</v>
      </c>
      <c r="C324" s="33">
        <v>1</v>
      </c>
      <c r="D324" s="33" t="s">
        <v>25</v>
      </c>
      <c r="E324" s="200">
        <v>15578321</v>
      </c>
      <c r="F324" s="199">
        <v>41308896.420000002</v>
      </c>
      <c r="G324" s="200">
        <v>14056</v>
      </c>
      <c r="H324" s="199">
        <v>175151.02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140</v>
      </c>
      <c r="B325" s="33" t="s">
        <v>204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140</v>
      </c>
      <c r="B326" s="33" t="s">
        <v>204</v>
      </c>
      <c r="C326" s="33">
        <v>3</v>
      </c>
      <c r="D326" s="33" t="s">
        <v>27</v>
      </c>
      <c r="E326" s="200">
        <v>625768</v>
      </c>
      <c r="F326" s="199">
        <v>1777308</v>
      </c>
      <c r="G326" s="200">
        <v>65854</v>
      </c>
      <c r="H326" s="199">
        <v>194599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140</v>
      </c>
      <c r="B327" s="33" t="s">
        <v>204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140</v>
      </c>
      <c r="B328" s="33" t="s">
        <v>204</v>
      </c>
      <c r="C328" s="33">
        <v>5</v>
      </c>
      <c r="D328" s="33" t="s">
        <v>125</v>
      </c>
      <c r="E328" s="200">
        <v>0</v>
      </c>
      <c r="F328" s="199">
        <v>3000223</v>
      </c>
      <c r="G328" s="200">
        <v>0</v>
      </c>
      <c r="H328" s="199">
        <v>58000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140</v>
      </c>
      <c r="B329" s="33" t="s">
        <v>204</v>
      </c>
      <c r="C329" s="33">
        <v>6</v>
      </c>
      <c r="D329" s="33" t="s">
        <v>25</v>
      </c>
      <c r="E329" s="200">
        <v>-9905968</v>
      </c>
      <c r="F329" s="199">
        <v>-25985875.810000002</v>
      </c>
      <c r="G329" s="200">
        <v>-20</v>
      </c>
      <c r="H329" s="199">
        <v>0.01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140</v>
      </c>
      <c r="B330" s="33" t="s">
        <v>204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140</v>
      </c>
      <c r="B331" s="33" t="s">
        <v>204</v>
      </c>
      <c r="C331" s="33">
        <v>8</v>
      </c>
      <c r="D331" s="33" t="s">
        <v>27</v>
      </c>
      <c r="E331" s="200">
        <v>-55556</v>
      </c>
      <c r="F331" s="199">
        <v>-155961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140</v>
      </c>
      <c r="B332" s="33" t="s">
        <v>204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140</v>
      </c>
      <c r="B333" s="33" t="s">
        <v>204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140</v>
      </c>
      <c r="B334" s="33" t="s">
        <v>204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140</v>
      </c>
      <c r="B335" s="33" t="s">
        <v>204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140</v>
      </c>
      <c r="B336" s="33" t="s">
        <v>204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140</v>
      </c>
      <c r="B337" s="33" t="s">
        <v>204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140</v>
      </c>
      <c r="B338" s="33" t="s">
        <v>204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140</v>
      </c>
      <c r="B339" s="33" t="s">
        <v>204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140</v>
      </c>
      <c r="B340" s="33" t="s">
        <v>204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140</v>
      </c>
      <c r="B341" s="201" t="s">
        <v>204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140</v>
      </c>
      <c r="B342" s="33" t="s">
        <v>204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140</v>
      </c>
      <c r="B343" s="33" t="s">
        <v>204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140</v>
      </c>
      <c r="B344" s="33" t="s">
        <v>204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140</v>
      </c>
      <c r="B345" s="33" t="s">
        <v>204</v>
      </c>
      <c r="C345" s="33">
        <v>22</v>
      </c>
      <c r="D345" s="33" t="s">
        <v>130</v>
      </c>
      <c r="E345" s="200">
        <v>-6242565</v>
      </c>
      <c r="F345" s="199">
        <v>-16277488.237500001</v>
      </c>
      <c r="G345" s="200">
        <v>-79890</v>
      </c>
      <c r="H345" s="199">
        <v>-208313.17499999888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140</v>
      </c>
      <c r="B346" s="33" t="s">
        <v>204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140</v>
      </c>
      <c r="B347" s="33" t="s">
        <v>204</v>
      </c>
      <c r="C347" s="33">
        <v>24</v>
      </c>
      <c r="D347" s="33" t="s">
        <v>55</v>
      </c>
      <c r="E347" s="200">
        <v>-7488946</v>
      </c>
      <c r="F347" s="199">
        <v>-129077.94</v>
      </c>
      <c r="G347" s="200">
        <v>2</v>
      </c>
      <c r="H347" s="199">
        <v>0.01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140</v>
      </c>
      <c r="B348" s="33" t="s">
        <v>204</v>
      </c>
      <c r="C348" s="33">
        <v>25</v>
      </c>
      <c r="D348" s="33" t="s">
        <v>56</v>
      </c>
      <c r="E348" s="200">
        <v>0</v>
      </c>
      <c r="F348" s="199">
        <v>-3029587.8</v>
      </c>
      <c r="G348" s="200">
        <v>0</v>
      </c>
      <c r="H348" s="199">
        <v>-547088.74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140</v>
      </c>
      <c r="B349" s="33" t="s">
        <v>204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140</v>
      </c>
      <c r="B350" s="33" t="s">
        <v>204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140</v>
      </c>
      <c r="B351" s="33" t="s">
        <v>204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140</v>
      </c>
      <c r="B352" s="33" t="s">
        <v>204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140</v>
      </c>
      <c r="B353" s="33" t="s">
        <v>204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140</v>
      </c>
      <c r="B354" s="33" t="s">
        <v>204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140</v>
      </c>
      <c r="B355" s="33" t="s">
        <v>204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140</v>
      </c>
      <c r="B356" s="33" t="s">
        <v>204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140</v>
      </c>
      <c r="B357" s="33" t="s">
        <v>204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140</v>
      </c>
      <c r="B358" s="33" t="s">
        <v>204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140</v>
      </c>
      <c r="B359" s="33" t="s">
        <v>204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140</v>
      </c>
      <c r="B360" s="33" t="s">
        <v>204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140</v>
      </c>
      <c r="B361" s="33" t="s">
        <v>204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140</v>
      </c>
      <c r="B362" s="33" t="s">
        <v>204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140</v>
      </c>
      <c r="B363" s="33" t="s">
        <v>204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5736195</v>
      </c>
      <c r="F404" s="199">
        <v>19935115.699999999</v>
      </c>
      <c r="G404" s="200">
        <v>-7</v>
      </c>
      <c r="H404" s="199">
        <v>-3939142.19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304676</v>
      </c>
      <c r="F406" s="199">
        <v>873663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-900825</v>
      </c>
      <c r="F409" s="199">
        <v>-2577650.23</v>
      </c>
      <c r="G409" s="200">
        <v>0</v>
      </c>
      <c r="H409" s="199">
        <v>-194794.04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-2193345</v>
      </c>
      <c r="F411" s="199">
        <v>-5837374</v>
      </c>
      <c r="G411" s="200">
        <v>-27226</v>
      </c>
      <c r="H411" s="199">
        <v>-81106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-2946701</v>
      </c>
      <c r="F425" s="199">
        <v>-7499354.0449999999</v>
      </c>
      <c r="G425" s="200">
        <v>27233</v>
      </c>
      <c r="H425" s="199">
        <v>69307.985000000335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14094413</v>
      </c>
      <c r="F444" s="199">
        <v>38590088.68</v>
      </c>
      <c r="G444" s="200">
        <v>-239972</v>
      </c>
      <c r="H444" s="199">
        <v>-794636.36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429232</v>
      </c>
      <c r="F446" s="199">
        <v>1157267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1875810</v>
      </c>
      <c r="G448" s="200">
        <v>0</v>
      </c>
      <c r="H448" s="199">
        <v>465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-4564560</v>
      </c>
      <c r="F449" s="199">
        <v>-11643619.66</v>
      </c>
      <c r="G449" s="200">
        <v>-130571</v>
      </c>
      <c r="H449" s="199">
        <v>-335409.28999999998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-19000</v>
      </c>
      <c r="F451" s="199">
        <v>-50650</v>
      </c>
      <c r="G451" s="200">
        <v>-2000</v>
      </c>
      <c r="H451" s="199">
        <v>-5332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15521</v>
      </c>
      <c r="F453" s="199">
        <v>39423.339999999997</v>
      </c>
      <c r="G453" s="200">
        <v>3871</v>
      </c>
      <c r="H453" s="199">
        <v>9832.34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9231229</v>
      </c>
      <c r="F454" s="199">
        <v>25897214.210000001</v>
      </c>
      <c r="G454" s="200">
        <v>580194</v>
      </c>
      <c r="H454" s="199">
        <v>1616374.29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-10208075</v>
      </c>
      <c r="F455" s="199">
        <v>-28614529.800000001</v>
      </c>
      <c r="G455" s="200">
        <v>-8919714</v>
      </c>
      <c r="H455" s="199">
        <v>-24996958.199999999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-8940288</v>
      </c>
      <c r="F456" s="199">
        <v>-22708331.52</v>
      </c>
      <c r="G456" s="200">
        <v>8705392</v>
      </c>
      <c r="H456" s="199">
        <v>22111695.68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173286</v>
      </c>
      <c r="F460" s="199">
        <v>440146.44</v>
      </c>
      <c r="G460" s="200">
        <v>-1733</v>
      </c>
      <c r="H460" s="199">
        <v>-4401.82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-211758</v>
      </c>
      <c r="F465" s="199">
        <v>-537865.31999999995</v>
      </c>
      <c r="G465" s="200">
        <v>4533</v>
      </c>
      <c r="H465" s="199">
        <v>11513.819999999949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-15521</v>
      </c>
      <c r="F466" s="199">
        <v>-39423.339999999997</v>
      </c>
      <c r="G466" s="200">
        <v>-3871</v>
      </c>
      <c r="H466" s="199">
        <v>-9832.34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-9443043</v>
      </c>
      <c r="F467" s="199">
        <v>-206392.49</v>
      </c>
      <c r="G467" s="200">
        <v>-9162445</v>
      </c>
      <c r="H467" s="199">
        <v>-130383.37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-166300</v>
      </c>
      <c r="G468" s="200">
        <v>0</v>
      </c>
      <c r="H468" s="199">
        <v>-8000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-546.73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-1075</v>
      </c>
      <c r="G478" s="200">
        <v>0</v>
      </c>
      <c r="H478" s="199">
        <v>-1651.01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41747236</v>
      </c>
      <c r="F484" s="199">
        <v>102813600.33</v>
      </c>
      <c r="G484" s="200">
        <v>-37595</v>
      </c>
      <c r="H484" s="199">
        <v>-166116.03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30000</v>
      </c>
      <c r="F486" s="199">
        <v>83100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1126286.8600000001</v>
      </c>
      <c r="G488" s="200">
        <v>0</v>
      </c>
      <c r="H488" s="199">
        <v>2406.16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-44689424</v>
      </c>
      <c r="F489" s="199">
        <v>-113277209.69000001</v>
      </c>
      <c r="G489" s="200">
        <v>-12771</v>
      </c>
      <c r="H489" s="199">
        <v>-423826.07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-30000</v>
      </c>
      <c r="F491" s="199">
        <v>-82500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331180</v>
      </c>
      <c r="F493" s="199">
        <v>802117.96</v>
      </c>
      <c r="G493" s="200">
        <v>5776</v>
      </c>
      <c r="H493" s="199">
        <v>13989.472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1205247</v>
      </c>
      <c r="F494" s="199">
        <v>3264180.5</v>
      </c>
      <c r="G494" s="200">
        <v>0</v>
      </c>
      <c r="H494" s="199">
        <v>0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-60000</v>
      </c>
      <c r="F495" s="199">
        <v>-157200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-91202</v>
      </c>
      <c r="F496" s="199">
        <v>-220891.24400000001</v>
      </c>
      <c r="G496" s="200">
        <v>46650</v>
      </c>
      <c r="H496" s="199">
        <v>112986.3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-1989</v>
      </c>
      <c r="H497" s="199">
        <v>-5274.4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1175</v>
      </c>
      <c r="H498" s="199">
        <v>3038.55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1797081</v>
      </c>
      <c r="F500" s="199">
        <v>4352530.1900000004</v>
      </c>
      <c r="G500" s="200">
        <v>895</v>
      </c>
      <c r="H500" s="199">
        <v>2167.69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-77503</v>
      </c>
      <c r="F501" s="199">
        <v>-188271.31</v>
      </c>
      <c r="G501" s="200">
        <v>-43</v>
      </c>
      <c r="H501" s="199">
        <v>-104.46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-162615</v>
      </c>
      <c r="F505" s="199">
        <v>-393853.53</v>
      </c>
      <c r="G505" s="200">
        <v>-2098</v>
      </c>
      <c r="H505" s="199">
        <v>-5081.3559999999707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-331180</v>
      </c>
      <c r="F506" s="199">
        <v>-802117.96</v>
      </c>
      <c r="G506" s="200">
        <v>-5776</v>
      </c>
      <c r="H506" s="199">
        <v>-13989.472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-23086787</v>
      </c>
      <c r="F507" s="199">
        <v>-421740.94</v>
      </c>
      <c r="G507" s="200">
        <v>2621835</v>
      </c>
      <c r="H507" s="199">
        <v>-108152.11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-2201051.48</v>
      </c>
      <c r="G508" s="200">
        <v>0</v>
      </c>
      <c r="H508" s="199">
        <v>-113132.38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-27632.12</v>
      </c>
      <c r="G518" s="200">
        <v>0</v>
      </c>
      <c r="H518" s="199">
        <v>-36767.760000000002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-8818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4:31" x14ac:dyDescent="0.25">
      <c r="I633" s="207"/>
    </row>
    <row r="634" spans="4:31" x14ac:dyDescent="0.25">
      <c r="D634" s="33">
        <v>3515738</v>
      </c>
    </row>
    <row r="635" spans="4:31" x14ac:dyDescent="0.25">
      <c r="D635" s="228">
        <f>+G640+D634</f>
        <v>-202569.12899998249</v>
      </c>
    </row>
    <row r="636" spans="4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5">
      <c r="D638" s="208" t="s">
        <v>113</v>
      </c>
      <c r="E638" s="209"/>
      <c r="F638" s="210">
        <f>BUG_GL!H82</f>
        <v>0</v>
      </c>
      <c r="G638" s="211">
        <f>BUG_GL!I82</f>
        <v>-1046864.0969999935</v>
      </c>
      <c r="H638" s="210">
        <f>BUG_GL!J82</f>
        <v>0</v>
      </c>
      <c r="I638" s="211">
        <f>BUG_GL!K82</f>
        <v>-12256006.851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5">
      <c r="D639" s="208" t="s">
        <v>141</v>
      </c>
      <c r="E639" s="209"/>
      <c r="F639" s="210">
        <f>CE_GL!H82</f>
        <v>0</v>
      </c>
      <c r="G639" s="212">
        <f>CE_GL!I82</f>
        <v>-1727702.0129999542</v>
      </c>
      <c r="H639" s="210">
        <f>CE_GL!J82</f>
        <v>0</v>
      </c>
      <c r="I639" s="211">
        <f>CE_GL!K82</f>
        <v>9543703.8270000014</v>
      </c>
      <c r="J639" s="210">
        <f>CE_GL!L82</f>
        <v>0</v>
      </c>
      <c r="K639" s="210">
        <f>CE_GL!M82</f>
        <v>0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5">
      <c r="D640" s="208" t="s">
        <v>142</v>
      </c>
      <c r="E640" s="209"/>
      <c r="F640" s="210">
        <f>+'EAST-EGM-GL'!H82</f>
        <v>0</v>
      </c>
      <c r="G640" s="227">
        <f>+'EAST-EGM-GL'!I82</f>
        <v>-3718307.1289999825</v>
      </c>
      <c r="H640" s="210">
        <f>+'EAST-EGM-GL'!J82</f>
        <v>0</v>
      </c>
      <c r="I640" s="210">
        <f>+'EAST-EGM-GL'!K82</f>
        <v>3721652.3319999999</v>
      </c>
      <c r="J640" s="210">
        <f>+'EAST-EGM-GL'!L82</f>
        <v>0</v>
      </c>
      <c r="K640" s="210">
        <f>+'EAST-EGM-GL'!M82</f>
        <v>0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150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-19778.919999999998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152</v>
      </c>
      <c r="E643" s="209"/>
      <c r="F643" s="210">
        <f>+'EAST-CON-GL '!H82</f>
        <v>0</v>
      </c>
      <c r="G643" s="210">
        <f>+'EAST-CON-GL '!I82</f>
        <v>-3718307.1289999825</v>
      </c>
      <c r="H643" s="210">
        <f>+'EAST-CON-GL '!J82</f>
        <v>0</v>
      </c>
      <c r="I643" s="210">
        <f>+'EAST-CON-GL '!K82</f>
        <v>3701873.4119999981</v>
      </c>
      <c r="J643" s="210">
        <f>+'EAST-CON-GL '!L82</f>
        <v>0</v>
      </c>
      <c r="K643" s="210">
        <f>+'EAST-CON-GL '!M82</f>
        <v>0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153</v>
      </c>
      <c r="E644" s="209"/>
      <c r="F644" s="210">
        <f>+'TX-EGM-GL'!H82</f>
        <v>0</v>
      </c>
      <c r="G644" s="211">
        <f>+'TX-EGM-GL'!I82</f>
        <v>4031762.54</v>
      </c>
      <c r="H644" s="210">
        <f>+'TX-EGM-GL'!J82</f>
        <v>0</v>
      </c>
      <c r="I644" s="210">
        <f>+'TX-EGM-GL'!K91</f>
        <v>-2127861.3200000008</v>
      </c>
      <c r="J644" s="210">
        <f>+'TX-EGM-GL'!L82</f>
        <v>0</v>
      </c>
      <c r="K644" s="210">
        <f>+'TX-EGM-GL'!M82</f>
        <v>0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181</v>
      </c>
      <c r="E645" s="209"/>
      <c r="F645" s="210">
        <f>+'TX-HPLR-GL '!H82</f>
        <v>0</v>
      </c>
      <c r="G645" s="211">
        <f>+'TX-HPLR-GL '!I82</f>
        <v>-245946.98000000004</v>
      </c>
      <c r="H645" s="210">
        <f>+'TX-HPLR-GL '!J82</f>
        <v>0</v>
      </c>
      <c r="I645" s="210">
        <f>+'TX-HPLR-GL '!K82</f>
        <v>14.579999999999927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180</v>
      </c>
      <c r="E646" s="209"/>
      <c r="F646" s="210">
        <f>+'TX-HPLC-GL'!H82</f>
        <v>0</v>
      </c>
      <c r="G646" s="211">
        <f>+'TX-HPLC-GL'!I82</f>
        <v>-2636128</v>
      </c>
      <c r="H646" s="210">
        <f>+'TX-HPLC-GL'!J82</f>
        <v>0</v>
      </c>
      <c r="I646" s="210">
        <f>+'TX-HPLC-GL'!K82</f>
        <v>267341</v>
      </c>
      <c r="J646" s="210">
        <f>+'TX-HPLC-GL'!L82</f>
        <v>0</v>
      </c>
      <c r="K646" s="210">
        <f>+'TX-HPLC-GL'!M82</f>
        <v>0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154</v>
      </c>
      <c r="E647" s="209"/>
      <c r="F647" s="210">
        <f>+'TX-CON-GL '!H82</f>
        <v>0</v>
      </c>
      <c r="G647" s="211">
        <f>+'TX-CON-GL '!I82</f>
        <v>1149687.560000008</v>
      </c>
      <c r="H647" s="210">
        <f>+'TX-CON-GL '!J82</f>
        <v>0</v>
      </c>
      <c r="I647" s="210">
        <f>+'TX-CON-GL '!K82</f>
        <v>-2269914.4099999988</v>
      </c>
      <c r="J647" s="210">
        <f>+'TX-CON-GL '!L82</f>
        <v>0</v>
      </c>
      <c r="K647" s="210">
        <f>+'TX-CON-GL '!M82</f>
        <v>0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144</v>
      </c>
      <c r="E648" s="209"/>
      <c r="F648" s="210">
        <f>+'WE-GL '!H82</f>
        <v>0</v>
      </c>
      <c r="G648" s="211">
        <f>+'WE-GL '!I82</f>
        <v>-5323509.5740000261</v>
      </c>
      <c r="H648" s="210">
        <f>+'WE-GL '!J82</f>
        <v>0</v>
      </c>
      <c r="I648" s="210">
        <f>+'WE-GL '!K82</f>
        <v>-462438.9659999999</v>
      </c>
      <c r="J648" s="210">
        <f>+'WE-GL '!L82</f>
        <v>0</v>
      </c>
      <c r="K648" s="210">
        <f>+'WE-GL '!M82</f>
        <v>0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201</v>
      </c>
      <c r="E649" s="209"/>
      <c r="F649" s="210">
        <f>+'DEN-GL'!H82</f>
        <v>0</v>
      </c>
      <c r="G649" s="211">
        <f>+'DEN-GL'!I82</f>
        <v>-20458.670000000042</v>
      </c>
      <c r="H649" s="210">
        <f>+'DEN-GL'!J82</f>
        <v>0</v>
      </c>
      <c r="I649" s="211">
        <f>+'DEN-GL'!K82</f>
        <v>-139901.88</v>
      </c>
      <c r="J649" s="210">
        <f>+'DEN-GL'!L82</f>
        <v>0</v>
      </c>
      <c r="K649" s="210">
        <f>+'DEN-GL'!M82</f>
        <v>0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146</v>
      </c>
      <c r="E650" s="209"/>
      <c r="F650" s="210">
        <f>+STG_GL!H82</f>
        <v>0</v>
      </c>
      <c r="G650" s="210">
        <f>+STG_GL!I82</f>
        <v>-4785833</v>
      </c>
      <c r="H650" s="210">
        <f>+STG_GL!J82</f>
        <v>0</v>
      </c>
      <c r="I650" s="210">
        <f>+STG_GL!K82</f>
        <v>-1145689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160</v>
      </c>
      <c r="E651" s="209"/>
      <c r="F651" s="210">
        <f>+'ONT_GL '!H82</f>
        <v>0</v>
      </c>
      <c r="G651" s="211">
        <f>+'ONT_GL '!I82</f>
        <v>-10013992.479999976</v>
      </c>
      <c r="H651" s="210">
        <f>+'ONT_GL '!J82</f>
        <v>0</v>
      </c>
      <c r="I651" s="210">
        <f>+'ONT_GL '!K82</f>
        <v>3277253.399999999</v>
      </c>
      <c r="J651" s="210">
        <f>+'ONT_GL '!L82</f>
        <v>0</v>
      </c>
      <c r="K651" s="210">
        <f>+'ONT_GL '!M82</f>
        <v>0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193</v>
      </c>
      <c r="E652" s="209"/>
      <c r="F652" s="210">
        <f>+ARUBA_GL!H82</f>
        <v>0</v>
      </c>
      <c r="G652" s="211">
        <f>+ARUBA_GL!I82</f>
        <v>508436.6324999989</v>
      </c>
      <c r="H652" s="210">
        <f>+ARUBA_GL!J82</f>
        <v>0</v>
      </c>
      <c r="I652" s="211">
        <f>+ARUBA_GL!K82</f>
        <v>10776385.125</v>
      </c>
      <c r="J652" s="210">
        <f>+ARUBA_GL!L82</f>
        <v>0</v>
      </c>
      <c r="K652" s="210">
        <f>+ARUBA_GL!M82</f>
        <v>0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197</v>
      </c>
      <c r="E653" s="209"/>
      <c r="F653" s="210">
        <f>+SITHE_GL!H82</f>
        <v>0</v>
      </c>
      <c r="G653" s="211">
        <f>+SITHE_GL!I82</f>
        <v>4894400.4249999989</v>
      </c>
      <c r="H653" s="210">
        <f>+SITHE_GL!J82</f>
        <v>0</v>
      </c>
      <c r="I653" s="211">
        <f>+SITHE_GL!K82</f>
        <v>-4145734.2450000001</v>
      </c>
      <c r="J653" s="210">
        <f>+SITHE_GL!L82</f>
        <v>0</v>
      </c>
      <c r="K653" s="210">
        <f>+SITHE_GL!M82</f>
        <v>0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Havlíček Jan</cp:lastModifiedBy>
  <cp:lastPrinted>2000-04-24T13:46:14Z</cp:lastPrinted>
  <dcterms:created xsi:type="dcterms:W3CDTF">1997-07-11T21:57:33Z</dcterms:created>
  <dcterms:modified xsi:type="dcterms:W3CDTF">2023-09-10T12:19:12Z</dcterms:modified>
</cp:coreProperties>
</file>