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K35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G11" i="6"/>
  <c r="D12" i="6"/>
  <c r="E12" i="6"/>
  <c r="W12" i="6"/>
  <c r="D13" i="6"/>
  <c r="E13" i="6"/>
  <c r="D14" i="6"/>
  <c r="E14" i="6"/>
  <c r="D15" i="6"/>
  <c r="E15" i="6"/>
  <c r="G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I55" i="6"/>
  <c r="W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M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M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6" i="28"/>
  <c r="G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181 is adj. To tie to gl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11544 offset in March GL column</t>
        </r>
      </text>
    </comment>
    <comment ref="E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previous production month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60 is the peoples
11 is northshore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97 is Energy USA
28 is Cabot Oil
16 is Hallwood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-11725 offsets plug amt. On tieout page.
1113 is columbia deal # N67489.1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Cabot Oil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K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 value on tieout page that was reclassed to January.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409 is Golden Gate
9 is California energy
40 is Phillips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Ranger, Union, and Consumers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<sst xmlns="http://schemas.openxmlformats.org/spreadsheetml/2006/main" count="6573" uniqueCount="222">
  <si>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</si>
  <si>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</si>
  <si>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</si>
  <si>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</si>
  <si>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</si>
  <si>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</si>
  <si>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</si>
  <si>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</si>
  <si>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</si>
  <si>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</si>
  <si>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</si>
  <si>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</si>
  <si>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</si>
  <si>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</si>
  <si>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</si>
  <si>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</si>
  <si>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</si>
  <si>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</si>
  <si>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</si>
  <si>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</si>
  <si>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</si>
  <si>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</si>
  <si>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</si>
  <si>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</si>
  <si>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</si>
  <si>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</si>
  <si>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</si>
  <si>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</si>
  <si>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</si>
  <si>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</si>
  <si>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</si>
  <si>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</si>
  <si>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</si>
  <si>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</si>
  <si>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</si>
  <si>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</si>
  <si>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</si>
  <si>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</si>
  <si>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</si>
  <si>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</si>
  <si>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</si>
  <si>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</si>
  <si>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</si>
  <si>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</si>
  <si>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</si>
  <si>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</si>
  <si>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</si>
  <si>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</si>
  <si>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</si>
  <si>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</si>
  <si>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</si>
  <si>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</si>
  <si>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</si>
  <si>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</si>
  <si>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</si>
  <si>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</si>
  <si>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</si>
  <si>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</si>
  <si>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</si>
  <si>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</si>
  <si>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</si>
  <si>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</si>
  <si>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</si>
  <si>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</si>
  <si>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</si>
  <si>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</si>
  <si>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</si>
  <si>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</si>
  <si>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</si>
  <si>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</si>
  <si>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</si>
  <si>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</si>
  <si>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</si>
  <si>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</si>
  <si>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</si>
  <si>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</si>
  <si>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</si>
  <si>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</si>
  <si>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</si>
  <si>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</si>
  <si>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</si>
  <si>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</si>
  <si>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</si>
  <si>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</si>
  <si>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</si>
  <si>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</si>
  <si>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</si>
  <si>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</si>
  <si>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</si>
  <si>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</si>
  <si>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</si>
  <si>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</si>
  <si>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</si>
  <si>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</si>
  <si>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</si>
  <si>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</si>
  <si>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</si>
  <si>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</si>
  <si>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</si>
  <si>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</si>
  <si>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</si>
  <si>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</si>
  <si>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</si>
  <si>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</si>
  <si>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</si>
  <si>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</si>
  <si>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</si>
  <si>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</si>
  <si>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</si>
  <si>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</si>
  <si>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</si>
  <si>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</si>
  <si>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</si>
  <si>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</si>
  <si>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</si>
  <si>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</si>
  <si>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</si>
  <si>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</si>
  <si>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</si>
  <si>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</si>
  <si>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</si>
  <si>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</si>
  <si>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</si>
  <si>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</si>
  <si>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</si>
  <si>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</si>
  <si>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</si>
  <si>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</si>
  <si>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</si>
  <si>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</si>
  <si>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</si>
  <si>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</si>
  <si>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</si>
  <si>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</si>
  <si>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</si>
  <si>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</si>
  <si>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</si>
  <si>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</si>
  <si>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</si>
  <si>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</si>
  <si>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</si>
  <si>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</si>
  <si>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</si>
  <si>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</si>
  <si>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</si>
  <si>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</si>
  <si>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</si>
  <si>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</si>
  <si>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</si>
  <si>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</si>
  <si>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</si>
  <si>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</si>
  <si>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</si>
  <si>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</si>
  <si>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</si>
  <si>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</si>
  <si>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</si>
  <si>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</si>
  <si>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</si>
  <si>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</si>
  <si>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</si>
  <si>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</si>
  <si>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</si>
  <si>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</si>
  <si>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</si>
  <si>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</si>
  <si>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</si>
  <si>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</si>
  <si>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</si>
  <si>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</si>
  <si>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</si>
  <si>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</si>
  <si>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</si>
  <si>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</si>
  <si>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</si>
  <si>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</si>
  <si>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</si>
  <si>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</si>
  <si>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</si>
  <si>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</si>
  <si>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</si>
  <si>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</si>
  <si>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</si>
  <si>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</si>
  <si>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</si>
  <si>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</si>
  <si>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</si>
  <si>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</si>
  <si>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</si>
  <si>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</si>
  <si>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</si>
  <si>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</si>
  <si>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</si>
  <si>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</si>
  <si>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</si>
  <si>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</si>
  <si>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</si>
  <si>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</si>
  <si>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</si>
  <si>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</si>
  <si>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</si>
  <si>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</si>
  <si>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</si>
  <si>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</si>
  <si>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</si>
  <si>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</si>
  <si>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</si>
  <si>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</si>
  <si>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</si>
  <si>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</si>
  <si>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</si>
  <si>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</si>
  <si>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</si>
  <si>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</si>
  <si>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</si>
  <si>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February</t>
  </si>
  <si>
    <t>PRODUCTION MONTH: 0002</t>
  </si>
  <si>
    <t>Production Taxes</t>
  </si>
  <si>
    <t>0002V</t>
  </si>
  <si>
    <t>0002A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</si>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</sst>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9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7" fontId="0" fillId="0" borderId="13" xfId="1" applyNumberFormat="1" applyFont="1" applyFill="1" applyBorder="1" applyAlignment="1"/>
    <xf numFmtId="17" fontId="0" fillId="0" borderId="11" xfId="1" applyNumberFormat="1" applyFont="1" applyFill="1" applyBorder="1" applyAlignment="1"/>
    <xf numFmtId="17" fontId="0" fillId="0" borderId="13" xfId="0" applyNumberFormat="1" applyFill="1" applyBorder="1" applyAlignment="1"/>
    <xf numFmtId="17" fontId="0" fillId="0" borderId="11" xfId="0" applyNumberFormat="1" applyFill="1" applyBorder="1" applyAlignment="1"/>
    <xf numFmtId="17" fontId="0" fillId="4" borderId="13" xfId="0" applyNumberFormat="1" applyFill="1" applyBorder="1" applyAlignment="1"/>
    <xf numFmtId="17" fontId="0" fillId="4" borderId="11" xfId="0" applyNumberForma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8">
          <cell r="G58">
            <v>-15030469.906000003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B6">
            <v>91000</v>
          </cell>
          <cell r="C6">
            <v>-6344000</v>
          </cell>
          <cell r="D6">
            <v>-3636000</v>
          </cell>
          <cell r="E6">
            <v>344000</v>
          </cell>
          <cell r="G6">
            <v>-668000</v>
          </cell>
          <cell r="H6">
            <v>1453000</v>
          </cell>
          <cell r="I6">
            <v>-1000</v>
          </cell>
          <cell r="J6">
            <v>468000</v>
          </cell>
          <cell r="K6">
            <v>70000</v>
          </cell>
          <cell r="L6">
            <v>1441000</v>
          </cell>
          <cell r="M6">
            <v>2704000</v>
          </cell>
          <cell r="N6">
            <v>265000</v>
          </cell>
          <cell r="O6">
            <v>290000</v>
          </cell>
          <cell r="P6">
            <v>424000</v>
          </cell>
          <cell r="Q6">
            <v>-348000</v>
          </cell>
          <cell r="R6">
            <v>406000</v>
          </cell>
          <cell r="S6">
            <v>-10000</v>
          </cell>
          <cell r="U6">
            <v>-3051000</v>
          </cell>
        </row>
        <row r="23">
          <cell r="U23">
            <v>-1394368</v>
          </cell>
        </row>
        <row r="40">
          <cell r="B40">
            <v>118083</v>
          </cell>
          <cell r="C40">
            <v>-6847429</v>
          </cell>
          <cell r="D40">
            <v>-3636000</v>
          </cell>
          <cell r="E40">
            <v>344000</v>
          </cell>
          <cell r="G40">
            <v>-1177600</v>
          </cell>
          <cell r="H40">
            <v>1457809</v>
          </cell>
          <cell r="I40">
            <v>-1000</v>
          </cell>
          <cell r="J40">
            <v>468000</v>
          </cell>
          <cell r="K40">
            <v>70000</v>
          </cell>
          <cell r="L40">
            <v>-1555</v>
          </cell>
          <cell r="M40">
            <v>3640792</v>
          </cell>
          <cell r="N40">
            <v>265000</v>
          </cell>
          <cell r="O40">
            <v>244599</v>
          </cell>
          <cell r="P40">
            <v>424000</v>
          </cell>
          <cell r="Q40">
            <v>-397358</v>
          </cell>
          <cell r="R40">
            <v>406000</v>
          </cell>
          <cell r="S40">
            <v>177291</v>
          </cell>
          <cell r="U40">
            <v>-4445368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462996476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1226979125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447191656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1167788547.6099999</v>
      </c>
      <c r="H11" s="60">
        <f>F11-D11</f>
        <v>-15804820</v>
      </c>
      <c r="I11" s="38">
        <f>G11-E11</f>
        <v>-59190577.390000105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8752473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27916646.560000006</v>
      </c>
      <c r="H12" s="60">
        <f>F12-D12</f>
        <v>0</v>
      </c>
      <c r="I12" s="38">
        <f>G12-E12</f>
        <v>19164173.560000006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188851013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543769677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43925227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128601348</v>
      </c>
      <c r="H13" s="60">
        <f t="shared" ref="H13:I15" si="0">F13-D13</f>
        <v>-144925786</v>
      </c>
      <c r="I13" s="38">
        <f t="shared" si="0"/>
        <v>-415168329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-464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10632425.220000001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24455486.300000004</v>
      </c>
      <c r="H15" s="60">
        <f t="shared" si="0"/>
        <v>0</v>
      </c>
      <c r="I15" s="38">
        <f t="shared" si="0"/>
        <v>13823061.080000004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651847489</v>
      </c>
      <c r="E16" s="39">
        <f t="shared" si="1"/>
        <v>1790133236.22</v>
      </c>
      <c r="F16" s="61">
        <f t="shared" si="1"/>
        <v>491116883</v>
      </c>
      <c r="G16" s="39">
        <f t="shared" si="1"/>
        <v>1348762028.4699998</v>
      </c>
      <c r="H16" s="61">
        <f t="shared" si="1"/>
        <v>-160730606</v>
      </c>
      <c r="I16" s="39">
        <f t="shared" si="1"/>
        <v>-441371207.75000012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-449948685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-1187764531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-432885717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-1127844047.8500001</v>
      </c>
      <c r="H19" s="60">
        <f>F19-D19</f>
        <v>17062968</v>
      </c>
      <c r="I19" s="38">
        <f>G19-E19</f>
        <v>59920483.149999857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-26963718.829999998</v>
      </c>
      <c r="H20" s="60">
        <f>F20-D20</f>
        <v>0</v>
      </c>
      <c r="I20" s="38">
        <f>G20-E20</f>
        <v>-26963718.829999998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-189609200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-545517189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-43925227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-122750557</v>
      </c>
      <c r="H21" s="60">
        <f t="shared" ref="H21:I23" si="2">F21-D21</f>
        <v>145683973</v>
      </c>
      <c r="I21" s="38">
        <f t="shared" si="2"/>
        <v>422766632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2373821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6392080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2598696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6792361.5979999993</v>
      </c>
      <c r="H23" s="60">
        <f t="shared" si="2"/>
        <v>224875</v>
      </c>
      <c r="I23" s="38">
        <f t="shared" si="2"/>
        <v>400281.5979999993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-637184064</v>
      </c>
      <c r="E24" s="39">
        <f t="shared" si="3"/>
        <v>-1726889640</v>
      </c>
      <c r="F24" s="61">
        <f t="shared" si="3"/>
        <v>-474212248</v>
      </c>
      <c r="G24" s="39">
        <f t="shared" si="3"/>
        <v>-1270765962.082</v>
      </c>
      <c r="H24" s="61">
        <f t="shared" si="3"/>
        <v>162971816</v>
      </c>
      <c r="I24" s="39">
        <f t="shared" si="3"/>
        <v>456123677.91799986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86160554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222959580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50919666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133520197.76000001</v>
      </c>
      <c r="H27" s="60">
        <f>F27-D27</f>
        <v>-35240888</v>
      </c>
      <c r="I27" s="38">
        <f>G27-E27</f>
        <v>-89439382.239999995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-86228879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-223136627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-50933000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-133534772.90000001</v>
      </c>
      <c r="H28" s="60">
        <f>F28-D28</f>
        <v>35295879</v>
      </c>
      <c r="I28" s="38">
        <f>G28-E28</f>
        <v>89601854.099999994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-13334</v>
      </c>
      <c r="G29" s="70">
        <f t="shared" si="4"/>
        <v>-14575.140000000596</v>
      </c>
      <c r="H29" s="69">
        <f t="shared" si="4"/>
        <v>54991</v>
      </c>
      <c r="I29" s="70">
        <f t="shared" si="4"/>
        <v>162471.8599999994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-42370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126269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-1047909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-2714927.734000003</v>
      </c>
      <c r="H32" s="60">
        <f>F32-D32</f>
        <v>-1005539</v>
      </c>
      <c r="I32" s="38">
        <f>G32-E32</f>
        <v>-2841196.734000003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1074878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2684870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-2950581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-419167.56</v>
      </c>
      <c r="H33" s="60">
        <f t="shared" ref="H33:I35" si="5">F33-D33</f>
        <v>-4025459</v>
      </c>
      <c r="I33" s="38">
        <f t="shared" si="5"/>
        <v>-3104037.56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-715382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-1813230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3275039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1263242.0900000001</v>
      </c>
      <c r="H34" s="60">
        <f t="shared" si="5"/>
        <v>3990421</v>
      </c>
      <c r="I34" s="38">
        <f t="shared" si="5"/>
        <v>3076472.09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-700294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-1136749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-21604.99</v>
      </c>
      <c r="H35" s="60">
        <f t="shared" si="5"/>
        <v>700294</v>
      </c>
      <c r="I35" s="38">
        <f t="shared" si="5"/>
        <v>1115144.01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-383168</v>
      </c>
      <c r="E36" s="39">
        <f t="shared" si="6"/>
        <v>-138840</v>
      </c>
      <c r="F36" s="61">
        <f t="shared" si="6"/>
        <v>-723451</v>
      </c>
      <c r="G36" s="39">
        <f t="shared" si="6"/>
        <v>-1892458.1940000029</v>
      </c>
      <c r="H36" s="61">
        <f t="shared" si="6"/>
        <v>-340283</v>
      </c>
      <c r="I36" s="39">
        <f t="shared" si="6"/>
        <v>-1753618.1940000036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11749292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29902910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1503912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3963943.1100000003</v>
      </c>
      <c r="H39" s="60">
        <f t="shared" ref="H39:I41" si="7">F39-D39</f>
        <v>-10245380</v>
      </c>
      <c r="I39" s="38">
        <f t="shared" si="7"/>
        <v>-25938966.890000001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-28249019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-62091974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-17805622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-32449601.84</v>
      </c>
      <c r="H40" s="60">
        <f t="shared" si="7"/>
        <v>10443397</v>
      </c>
      <c r="I40" s="38">
        <f t="shared" si="7"/>
        <v>29642372.16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981351</v>
      </c>
      <c r="H41" s="60">
        <f t="shared" si="7"/>
        <v>0</v>
      </c>
      <c r="I41" s="38">
        <f t="shared" si="7"/>
        <v>981351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-28249019</v>
      </c>
      <c r="E42" s="70">
        <f t="shared" si="8"/>
        <v>-62091974</v>
      </c>
      <c r="F42" s="69">
        <f t="shared" si="8"/>
        <v>-17805622</v>
      </c>
      <c r="G42" s="70">
        <f t="shared" si="8"/>
        <v>-31468250.84</v>
      </c>
      <c r="H42" s="69">
        <f t="shared" si="8"/>
        <v>10443397</v>
      </c>
      <c r="I42" s="70">
        <f t="shared" si="8"/>
        <v>30623723.16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-16499727</v>
      </c>
      <c r="E43" s="39">
        <f t="shared" si="9"/>
        <v>-32189064</v>
      </c>
      <c r="F43" s="61">
        <f t="shared" si="9"/>
        <v>-16301710</v>
      </c>
      <c r="G43" s="39">
        <f t="shared" si="9"/>
        <v>-27504307.73</v>
      </c>
      <c r="H43" s="61">
        <f t="shared" si="9"/>
        <v>198017</v>
      </c>
      <c r="I43" s="39">
        <f t="shared" si="9"/>
        <v>4684756.2699999996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-12629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2290601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5978243.1984045263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146489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454327.29800000205</v>
      </c>
      <c r="H49" s="60">
        <f>F49-D49</f>
        <v>-2144112</v>
      </c>
      <c r="I49" s="38">
        <f>G49-E49</f>
        <v>-5523915.9004045241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-2363588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-6366876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-2556468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-6807091.5979999993</v>
      </c>
      <c r="H51" s="60">
        <f>F51-D51</f>
        <v>-192880</v>
      </c>
      <c r="I51" s="38">
        <f>G51-E51</f>
        <v>-440215.5979999993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-5114305.28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-274007636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-6042888.3500000006</v>
      </c>
      <c r="H54" s="60">
        <f>F54-D54</f>
        <v>-274007636</v>
      </c>
      <c r="I54" s="38">
        <f>G54-E54</f>
        <v>-928583.0700000003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-15542219.140000001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430510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-26295265.43</v>
      </c>
      <c r="H55" s="60">
        <f>F55-D55</f>
        <v>430510</v>
      </c>
      <c r="I55" s="38">
        <f>G55-E55</f>
        <v>-10753046.289999999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-20656524.420000002</v>
      </c>
      <c r="F56" s="61">
        <f t="shared" si="10"/>
        <v>-273577126</v>
      </c>
      <c r="G56" s="39">
        <f t="shared" si="10"/>
        <v>-32338153.780000001</v>
      </c>
      <c r="H56" s="61">
        <f t="shared" si="10"/>
        <v>-273577126</v>
      </c>
      <c r="I56" s="39">
        <f t="shared" si="10"/>
        <v>-11681629.359999999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4088787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48146.36</v>
      </c>
      <c r="H59" s="60">
        <f>F59-D59</f>
        <v>4088787</v>
      </c>
      <c r="I59" s="38">
        <f>G59-E59</f>
        <v>48146.36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-149125</v>
      </c>
      <c r="H60" s="60">
        <f>F60-D60</f>
        <v>0</v>
      </c>
      <c r="I60" s="38">
        <f>G60-E60</f>
        <v>-199125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4088787</v>
      </c>
      <c r="G61" s="70">
        <f t="shared" si="11"/>
        <v>-100978.64</v>
      </c>
      <c r="H61" s="69">
        <f t="shared" si="11"/>
        <v>4088787</v>
      </c>
      <c r="I61" s="70">
        <f t="shared" si="11"/>
        <v>-150978.64000000001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29080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-24721057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-2900990.8799999994</v>
      </c>
      <c r="H64" s="60">
        <f>F64-D64</f>
        <v>-24721057</v>
      </c>
      <c r="I64" s="38">
        <f>G64-E64</f>
        <v>-2930070.8799999994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24545093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2949874.9499999997</v>
      </c>
      <c r="H65" s="60">
        <f>F65-D65</f>
        <v>24545093</v>
      </c>
      <c r="I65" s="38">
        <f>G65-E65</f>
        <v>2949874.9499999997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48884.070000000298</v>
      </c>
      <c r="H66" s="61">
        <f t="shared" si="12"/>
        <v>-175964</v>
      </c>
      <c r="I66" s="39">
        <f t="shared" si="12"/>
        <v>19804.070000000298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-7885779.4703009091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-7885739.9600000028</v>
      </c>
      <c r="H70" s="60">
        <f>F70-D70</f>
        <v>0</v>
      </c>
      <c r="I70" s="38">
        <f>G70-E70</f>
        <v>39.510300906375051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-44046136.894999996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-44423358.740000002</v>
      </c>
      <c r="H71" s="60">
        <f>F71-D71</f>
        <v>0</v>
      </c>
      <c r="I71" s="38">
        <f>G71-E71</f>
        <v>-377221.84500000626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-51931916.365300909</v>
      </c>
      <c r="F72" s="69">
        <f t="shared" si="13"/>
        <v>0</v>
      </c>
      <c r="G72" s="70">
        <f t="shared" si="13"/>
        <v>-52309098.700000003</v>
      </c>
      <c r="H72" s="69">
        <f t="shared" si="13"/>
        <v>0</v>
      </c>
      <c r="I72" s="70">
        <f t="shared" si="13"/>
        <v>-377182.33469909988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-3</v>
      </c>
      <c r="H73" s="60">
        <f>F73-D73</f>
        <v>0</v>
      </c>
      <c r="I73" s="38">
        <f>G73-E73</f>
        <v>-3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38714432.700800002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25281288.519999992</v>
      </c>
      <c r="H74" s="60">
        <f t="shared" ref="H74:I79" si="14">F74-D74</f>
        <v>0</v>
      </c>
      <c r="I74" s="38">
        <f t="shared" si="14"/>
        <v>-13433144.18080001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38722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37100</v>
      </c>
      <c r="H75" s="60">
        <f t="shared" si="14"/>
        <v>0</v>
      </c>
      <c r="I75" s="38">
        <f t="shared" si="14"/>
        <v>-1622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-73165.5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-180771.26</v>
      </c>
      <c r="H76" s="60">
        <f t="shared" si="14"/>
        <v>0</v>
      </c>
      <c r="I76" s="38">
        <f t="shared" si="14"/>
        <v>-107605.76000000001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-4394536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-3380883</v>
      </c>
      <c r="H77" s="60">
        <f t="shared" si="14"/>
        <v>0</v>
      </c>
      <c r="I77" s="38">
        <f t="shared" si="14"/>
        <v>1013653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22942</v>
      </c>
      <c r="H78" s="60">
        <f t="shared" si="14"/>
        <v>0</v>
      </c>
      <c r="I78" s="38">
        <f t="shared" si="14"/>
        <v>-819999.755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324907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-414902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-187922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-89144</v>
      </c>
      <c r="H80" s="60">
        <f>F80-D80</f>
        <v>0</v>
      </c>
      <c r="I80" s="38">
        <f>G80-E80</f>
        <v>98778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2595068.75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4882.2300000000141</v>
      </c>
      <c r="H81" s="60">
        <f>F81-D81</f>
        <v>0</v>
      </c>
      <c r="I81" s="38">
        <f>G81-E81</f>
        <v>-2590186.52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2806</v>
      </c>
      <c r="E82" s="92">
        <f>SUM(E72:E81)+E16+E24+E29+E36+E43+E45+E47+E49+E51+E56+E61+E66</f>
        <v>-4298899.6610962823</v>
      </c>
      <c r="F82" s="91">
        <f>F16+F24+F29+F36+F43+F45+F47+F49</f>
        <v>0</v>
      </c>
      <c r="G82" s="92">
        <f>SUM(G72:G81)+G16+G24+G29+G36+G43+G45+G47+G49+G51+G56+G61+G66</f>
        <v>-20786714.076000273</v>
      </c>
      <c r="H82" s="91">
        <f>H16+H24+H29+H36+H43+H45+H47+H49</f>
        <v>-2806</v>
      </c>
      <c r="I82" s="92">
        <f>SUM(I72:I81)+I16+I24+I29+I36+I43+I45+I47+I49+I51+I56+I61+I66</f>
        <v>-16487814.414903864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3253947</v>
      </c>
      <c r="H86" s="145">
        <f t="shared" ref="H86:I88" si="15">F86-D86</f>
        <v>0</v>
      </c>
      <c r="I86" s="145">
        <f t="shared" si="15"/>
        <v>2010401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-18086.68</v>
      </c>
      <c r="H87" s="146">
        <f t="shared" si="15"/>
        <v>0</v>
      </c>
      <c r="I87" s="146">
        <f t="shared" si="15"/>
        <v>-18086.68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-1925000</v>
      </c>
      <c r="H88" s="147">
        <f t="shared" si="15"/>
        <v>0</v>
      </c>
      <c r="I88" s="147">
        <f t="shared" si="15"/>
        <v>-1925000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1310860.3199999998</v>
      </c>
      <c r="H89" s="160">
        <f t="shared" si="16"/>
        <v>0</v>
      </c>
      <c r="I89" s="160">
        <f t="shared" si="16"/>
        <v>67314.320000000065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2806</v>
      </c>
      <c r="E91" s="160">
        <f t="shared" si="17"/>
        <v>-3055353.6610962823</v>
      </c>
      <c r="F91" s="160">
        <f t="shared" si="17"/>
        <v>0</v>
      </c>
      <c r="G91" s="160">
        <f t="shared" si="17"/>
        <v>-19475853.756000273</v>
      </c>
      <c r="H91" s="160">
        <f t="shared" si="17"/>
        <v>-2806</v>
      </c>
      <c r="I91" s="160">
        <f t="shared" si="17"/>
        <v>-16420500.094903864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D13" activePane="bottomRight" state="frozen"/>
      <selection activeCell="D10" sqref="D10"/>
      <selection pane="topRight" activeCell="D10" sqref="D10"/>
      <selection pane="bottomLeft" activeCell="D10" sqref="D10"/>
      <selection pane="bottomRight" activeCell="E28" sqref="E28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104079.34923600359</v>
      </c>
      <c r="C11" s="65">
        <f t="shared" ref="C11:C27" si="0">+D11-B11</f>
        <v>-13079.349236003589</v>
      </c>
      <c r="D11" s="124">
        <f>+'[2]ST Warroom 99'!$B$6</f>
        <v>91000</v>
      </c>
      <c r="E11" s="124">
        <f>+F11-D11</f>
        <v>27083</v>
      </c>
      <c r="F11" s="124">
        <f>+'[2]ST Warroom 99'!$B$40</f>
        <v>118083</v>
      </c>
      <c r="G11" s="168">
        <f>CE_GL!$E$82</f>
        <v>-731113.14400008181</v>
      </c>
      <c r="H11" s="107">
        <f t="shared" ref="H11:H28" si="1">G11-F11</f>
        <v>-849196.14400008181</v>
      </c>
      <c r="I11" s="31"/>
      <c r="J11" s="31"/>
    </row>
    <row r="12" spans="1:10" x14ac:dyDescent="0.25">
      <c r="A12" s="101" t="s">
        <v>195</v>
      </c>
      <c r="B12" s="124">
        <f>'SITHE-FLSH'!$M$82</f>
        <v>265484.1646299485</v>
      </c>
      <c r="C12" s="65">
        <f>+D12-B12</f>
        <v>-484.16462994850008</v>
      </c>
      <c r="D12" s="124">
        <f>+'[2]ST Warroom 99'!$N$6</f>
        <v>265000</v>
      </c>
      <c r="E12" s="124">
        <f>+F12-D12</f>
        <v>0</v>
      </c>
      <c r="F12" s="124">
        <f>+'[2]ST Warroom 99'!$N$40</f>
        <v>265000</v>
      </c>
      <c r="G12" s="168">
        <f>SITHE_GL!$E$82</f>
        <v>357687.13800000213</v>
      </c>
      <c r="H12" s="107">
        <f>G12-F12</f>
        <v>92687.138000002131</v>
      </c>
      <c r="I12" s="31"/>
      <c r="J12" s="31"/>
    </row>
    <row r="13" spans="1:10" x14ac:dyDescent="0.25">
      <c r="A13" s="101" t="s">
        <v>189</v>
      </c>
      <c r="B13" s="124">
        <f>'ARUBA-FLSH'!$M$82</f>
        <v>-348185.28946497152</v>
      </c>
      <c r="C13" s="65">
        <f>+D13-B13</f>
        <v>185.28946497151628</v>
      </c>
      <c r="D13" s="124">
        <f>+'[2]ST Warroom 99'!$Q$6</f>
        <v>-348000</v>
      </c>
      <c r="E13" s="124">
        <f>+F13-D13</f>
        <v>-49358</v>
      </c>
      <c r="F13" s="124">
        <f>+'[2]ST Warroom 99'!$Q$40</f>
        <v>-397358</v>
      </c>
      <c r="G13" s="168">
        <f>ARUBA_GL!$E$82</f>
        <v>-2659512.0699999924</v>
      </c>
      <c r="H13" s="107">
        <f>G13-F13</f>
        <v>-2262154.0699999924</v>
      </c>
      <c r="I13" s="31"/>
      <c r="J13" s="31"/>
    </row>
    <row r="14" spans="1:10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3">
        <f>'BGC-EGM-FLSH'!$M$82+'EAST-EGM-FLSH'!M82</f>
        <v>-6360427.24889981</v>
      </c>
      <c r="C15" s="65">
        <f t="shared" si="0"/>
        <v>16427.248899810016</v>
      </c>
      <c r="D15" s="123">
        <f>+'[2]ST Warroom 99'!$C$6</f>
        <v>-6344000</v>
      </c>
      <c r="E15" s="124">
        <f t="shared" si="2"/>
        <v>-503429</v>
      </c>
      <c r="F15" s="123">
        <f>+'[2]ST Warroom 99'!$C$40</f>
        <v>-6847429</v>
      </c>
      <c r="G15" s="168">
        <f>'BGC-EGM-GL'!$E$82+'EAST-EGM-GL'!E82</f>
        <v>-11499874.480000023</v>
      </c>
      <c r="H15" s="107">
        <f t="shared" si="1"/>
        <v>-4652445.4800000228</v>
      </c>
      <c r="I15" s="31"/>
      <c r="J15" s="31"/>
    </row>
    <row r="16" spans="1:10" x14ac:dyDescent="0.25">
      <c r="A16" s="101" t="s">
        <v>157</v>
      </c>
      <c r="B16" s="123">
        <f>'EAST-LRC-FLSH'!$M$82</f>
        <v>-3636483.9617002215</v>
      </c>
      <c r="C16" s="65">
        <f t="shared" si="0"/>
        <v>483.96170022152364</v>
      </c>
      <c r="D16" s="123">
        <f>+'[2]ST Warroom 99'!$D$6</f>
        <v>-3636000</v>
      </c>
      <c r="E16" s="124">
        <f t="shared" si="2"/>
        <v>0</v>
      </c>
      <c r="F16" s="123">
        <f>+'[2]ST Warroom 99'!$D$40</f>
        <v>-3636000</v>
      </c>
      <c r="G16" s="168">
        <f>'EAST-LRC-GL'!$E$82</f>
        <v>-188344.48000000761</v>
      </c>
      <c r="H16" s="107">
        <f t="shared" si="1"/>
        <v>3447655.5199999926</v>
      </c>
      <c r="I16" s="31"/>
      <c r="J16" s="31"/>
    </row>
    <row r="17" spans="1:10" x14ac:dyDescent="0.25">
      <c r="A17" s="101" t="s">
        <v>164</v>
      </c>
      <c r="B17" s="123">
        <f>+'EAST-EGM-FLSH'!M89</f>
        <v>344137</v>
      </c>
      <c r="C17" s="65">
        <f t="shared" si="0"/>
        <v>-137</v>
      </c>
      <c r="D17" s="123">
        <f>+'[2]ST Warroom 99'!$E$6</f>
        <v>344000</v>
      </c>
      <c r="E17" s="124">
        <f t="shared" si="2"/>
        <v>0</v>
      </c>
      <c r="F17" s="123">
        <f>+'[2]ST Warroom 99'!$E$40</f>
        <v>344000</v>
      </c>
      <c r="G17" s="168">
        <f>+'EAST-EGM-GL'!E89</f>
        <v>344137</v>
      </c>
      <c r="H17" s="107">
        <f t="shared" si="1"/>
        <v>137</v>
      </c>
      <c r="I17" s="31"/>
      <c r="J17" s="31"/>
    </row>
    <row r="18" spans="1:10" x14ac:dyDescent="0.25">
      <c r="A18" s="101" t="s">
        <v>16</v>
      </c>
      <c r="B18" s="123">
        <f>'TX-EGM-FLSH'!$M$82</f>
        <v>1452523.8501875661</v>
      </c>
      <c r="C18" s="65">
        <f t="shared" si="0"/>
        <v>476.14981243386865</v>
      </c>
      <c r="D18" s="123">
        <f>+'[2]ST Warroom 99'!$H$6</f>
        <v>1453000</v>
      </c>
      <c r="E18" s="124">
        <f t="shared" si="2"/>
        <v>4809</v>
      </c>
      <c r="F18" s="123">
        <f>+'[2]ST Warroom 99'!$H$40</f>
        <v>1457809</v>
      </c>
      <c r="G18" s="168">
        <f>'TX-EGM-GL'!$E$91</f>
        <v>-2686134.7619999941</v>
      </c>
      <c r="H18" s="107">
        <f t="shared" si="1"/>
        <v>-4143943.7619999941</v>
      </c>
      <c r="I18" s="31"/>
      <c r="J18" s="31"/>
    </row>
    <row r="19" spans="1:10" x14ac:dyDescent="0.25">
      <c r="A19" s="101" t="s">
        <v>182</v>
      </c>
      <c r="B19" s="123">
        <f>'TX-HPLR-FLSH'!$M$82</f>
        <v>-759.44000002741814</v>
      </c>
      <c r="C19" s="65">
        <f t="shared" si="0"/>
        <v>-240.55999997258186</v>
      </c>
      <c r="D19" s="123">
        <f>+'[2]ST Warroom 99'!$I$6</f>
        <v>-1000</v>
      </c>
      <c r="E19" s="124">
        <f t="shared" si="2"/>
        <v>0</v>
      </c>
      <c r="F19" s="123">
        <f>+'[2]ST Warroom 99'!$I$40</f>
        <v>-1000</v>
      </c>
      <c r="G19" s="168">
        <f>'TX-HPLR-GL '!$E$82</f>
        <v>83810.560000000012</v>
      </c>
      <c r="H19" s="107">
        <f t="shared" si="1"/>
        <v>84810.560000000012</v>
      </c>
      <c r="I19" s="31"/>
      <c r="J19" s="31"/>
    </row>
    <row r="20" spans="1:10" x14ac:dyDescent="0.25">
      <c r="A20" s="101" t="s">
        <v>183</v>
      </c>
      <c r="B20" s="123">
        <f>'TX-HPLC-FLSH'!$M$82</f>
        <v>467945.80701240525</v>
      </c>
      <c r="C20" s="65">
        <f t="shared" si="0"/>
        <v>54.192987594753504</v>
      </c>
      <c r="D20" s="123">
        <f>+'[2]ST Warroom 99'!$J$6</f>
        <v>468000</v>
      </c>
      <c r="E20" s="124">
        <f t="shared" si="2"/>
        <v>0</v>
      </c>
      <c r="F20" s="123">
        <f>+'[2]ST Warroom 99'!$J$40</f>
        <v>468000</v>
      </c>
      <c r="G20" s="168">
        <f>'TX-HPLC-GL'!$E$82</f>
        <v>4333783.6700000018</v>
      </c>
      <c r="H20" s="107">
        <f t="shared" si="1"/>
        <v>3865783.6700000018</v>
      </c>
      <c r="I20" s="31"/>
      <c r="J20" s="31"/>
    </row>
    <row r="21" spans="1:10" x14ac:dyDescent="0.25">
      <c r="A21" s="101" t="s">
        <v>176</v>
      </c>
      <c r="B21" s="123">
        <f>'TX-EGM-FLSH'!$M$89</f>
        <v>70072</v>
      </c>
      <c r="C21" s="65">
        <f t="shared" si="0"/>
        <v>-72</v>
      </c>
      <c r="D21" s="60">
        <f>+'[2]ST Warroom 99'!$K$6</f>
        <v>70000</v>
      </c>
      <c r="E21" s="124">
        <f t="shared" si="2"/>
        <v>0</v>
      </c>
      <c r="F21" s="60">
        <f>+'[2]ST Warroom 99'!$K$40</f>
        <v>70000</v>
      </c>
      <c r="G21" s="168">
        <f>'TX-HPLC-GL'!$E$89</f>
        <v>70000</v>
      </c>
      <c r="H21" s="107">
        <f t="shared" si="1"/>
        <v>0</v>
      </c>
      <c r="I21" s="31"/>
      <c r="J21" s="31"/>
    </row>
    <row r="22" spans="1:10" x14ac:dyDescent="0.25">
      <c r="A22" s="101" t="s">
        <v>17</v>
      </c>
      <c r="B22" s="123">
        <f>'WE-FLSH'!$M$82</f>
        <v>1440674.2639502995</v>
      </c>
      <c r="C22" s="65">
        <f t="shared" si="0"/>
        <v>325.73604970052838</v>
      </c>
      <c r="D22" s="123">
        <f>+'[2]ST Warroom 99'!$L$6</f>
        <v>1441000</v>
      </c>
      <c r="E22" s="124">
        <f t="shared" si="2"/>
        <v>-1442555</v>
      </c>
      <c r="F22" s="123">
        <f>+'[2]ST Warroom 99'!$L$40</f>
        <v>-1555</v>
      </c>
      <c r="G22" s="168">
        <f>'WE-GL '!$E$82</f>
        <v>-1277515.0930000162</v>
      </c>
      <c r="H22" s="107">
        <f t="shared" si="1"/>
        <v>-1275960.0930000162</v>
      </c>
      <c r="I22" s="31"/>
      <c r="J22" s="31"/>
    </row>
    <row r="23" spans="1:10" x14ac:dyDescent="0.25">
      <c r="A23" s="101" t="s">
        <v>199</v>
      </c>
      <c r="B23" s="123">
        <f>'DEN-FLSH'!$M$82</f>
        <v>-10179.948646734934</v>
      </c>
      <c r="C23" s="65">
        <f>+D23-B23</f>
        <v>179.9486467349343</v>
      </c>
      <c r="D23" s="123">
        <f>+'[2]ST Warroom 99'!$S$6</f>
        <v>-10000</v>
      </c>
      <c r="E23" s="124">
        <f>+F23-D23</f>
        <v>187291</v>
      </c>
      <c r="F23" s="123">
        <f>+'[2]ST Warroom 99'!$S$40</f>
        <v>177291</v>
      </c>
      <c r="G23" s="168">
        <f>'DEN-GL'!$E$82</f>
        <v>-93438.280000000435</v>
      </c>
      <c r="H23" s="107">
        <f>G23-F23</f>
        <v>-270729.28000000044</v>
      </c>
      <c r="I23" s="31"/>
      <c r="J23" s="31"/>
    </row>
    <row r="24" spans="1:10" x14ac:dyDescent="0.25">
      <c r="A24" s="101" t="s">
        <v>211</v>
      </c>
      <c r="B24" s="123">
        <f>'DEN-FLSH'!$M$89</f>
        <v>405697</v>
      </c>
      <c r="C24" s="65">
        <f>+D24-B24</f>
        <v>303</v>
      </c>
      <c r="D24" s="123">
        <f>+'[2]ST Warroom 99'!$R$6</f>
        <v>406000</v>
      </c>
      <c r="E24" s="124">
        <f>+F24-D24</f>
        <v>0</v>
      </c>
      <c r="F24" s="123">
        <f>+'[2]ST Warroom 99'!$R$40</f>
        <v>406000</v>
      </c>
      <c r="G24" s="168">
        <f>'DEN-GL'!$E$89</f>
        <v>472723</v>
      </c>
      <c r="H24" s="107">
        <f>G24-F24</f>
        <v>66723</v>
      </c>
      <c r="I24" s="31"/>
      <c r="J24" s="31"/>
    </row>
    <row r="25" spans="1:10" x14ac:dyDescent="0.25">
      <c r="A25" s="101" t="s">
        <v>18</v>
      </c>
      <c r="B25" s="123">
        <f>STG_FLSH!$M$82</f>
        <v>2704302</v>
      </c>
      <c r="C25" s="65">
        <f t="shared" si="0"/>
        <v>-302</v>
      </c>
      <c r="D25" s="123">
        <f>+'[2]ST Warroom 99'!$M$6</f>
        <v>2704000</v>
      </c>
      <c r="E25" s="124">
        <f t="shared" si="2"/>
        <v>936792</v>
      </c>
      <c r="F25" s="123">
        <f>+'[2]ST Warroom 99'!$M$40</f>
        <v>3640792</v>
      </c>
      <c r="G25" s="168">
        <f>STG_GL!$E$82</f>
        <v>2129979.7200000007</v>
      </c>
      <c r="H25" s="107">
        <f t="shared" si="1"/>
        <v>-1510812.2799999993</v>
      </c>
      <c r="I25" s="31"/>
      <c r="J25" s="31"/>
    </row>
    <row r="26" spans="1:10" x14ac:dyDescent="0.25">
      <c r="A26" s="101" t="s">
        <v>158</v>
      </c>
      <c r="B26" s="123">
        <f>ONT_FLSH!$M$82</f>
        <v>289657.0428982866</v>
      </c>
      <c r="C26" s="65">
        <f t="shared" si="0"/>
        <v>342.95710171340033</v>
      </c>
      <c r="D26" s="123">
        <f>+'[2]ST Warroom 99'!$O$6</f>
        <v>290000</v>
      </c>
      <c r="E26" s="124">
        <f t="shared" si="2"/>
        <v>-45401</v>
      </c>
      <c r="F26" s="123">
        <f>+'[2]ST Warroom 99'!$O$40</f>
        <v>244599</v>
      </c>
      <c r="G26" s="168">
        <f>'ONT_GL '!$E$82</f>
        <v>272549.59999997512</v>
      </c>
      <c r="H26" s="107">
        <f t="shared" si="1"/>
        <v>27950.599999975122</v>
      </c>
      <c r="I26" s="31"/>
      <c r="J26" s="31"/>
    </row>
    <row r="27" spans="1:10" x14ac:dyDescent="0.25">
      <c r="A27" s="101" t="s">
        <v>163</v>
      </c>
      <c r="B27" s="123">
        <f>ONT_FLSH!$M$89</f>
        <v>423640</v>
      </c>
      <c r="C27" s="65">
        <f t="shared" si="0"/>
        <v>360</v>
      </c>
      <c r="D27" s="168">
        <f>+'[2]ST Warroom 99'!$P$6</f>
        <v>424000</v>
      </c>
      <c r="E27" s="124">
        <f t="shared" si="2"/>
        <v>0</v>
      </c>
      <c r="F27" s="168">
        <f>+'[2]ST Warroom 99'!$P$40</f>
        <v>424000</v>
      </c>
      <c r="G27" s="168">
        <f>+'ONT_GL '!E89</f>
        <v>424000.32</v>
      </c>
      <c r="H27" s="107">
        <f t="shared" si="1"/>
        <v>0.32000000000698492</v>
      </c>
      <c r="I27" s="31"/>
      <c r="J27" s="31"/>
    </row>
    <row r="28" spans="1:10" x14ac:dyDescent="0.25">
      <c r="A28" s="138" t="s">
        <v>113</v>
      </c>
      <c r="B28" s="123">
        <f>+BUG_FLSH!M82</f>
        <v>-667530.25029919483</v>
      </c>
      <c r="C28" s="65">
        <f>+D28-B28</f>
        <v>-469.74970080517232</v>
      </c>
      <c r="D28" s="123">
        <f>+'[2]ST Warroom 99'!$G$6</f>
        <v>-668000</v>
      </c>
      <c r="E28" s="124">
        <f t="shared" si="2"/>
        <v>-509600</v>
      </c>
      <c r="F28" s="123">
        <f>+'[2]ST Warroom 99'!$G$40</f>
        <v>-1177600</v>
      </c>
      <c r="G28" s="168">
        <f>+BUG_GL!E82</f>
        <v>-8828592.4549999908</v>
      </c>
      <c r="H28" s="107">
        <f t="shared" si="1"/>
        <v>-7650992.4549999908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-3055353.6610964513</v>
      </c>
      <c r="C29" s="61">
        <f t="shared" si="3"/>
        <v>4353.6610964506981</v>
      </c>
      <c r="D29" s="61">
        <f t="shared" si="3"/>
        <v>-3051000</v>
      </c>
      <c r="E29" s="61">
        <f t="shared" si="3"/>
        <v>-1394368</v>
      </c>
      <c r="F29" s="61">
        <f t="shared" si="3"/>
        <v>-4445368</v>
      </c>
      <c r="G29" s="61">
        <f t="shared" si="3"/>
        <v>-19475853.756000131</v>
      </c>
      <c r="H29" s="108">
        <f t="shared" si="3"/>
        <v>-15030485.756000128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-3055353.6610962823</v>
      </c>
      <c r="C30" s="103">
        <f>+C29</f>
        <v>4353.6610964506981</v>
      </c>
      <c r="D30" s="103">
        <f>+'[2]ST Warroom 99'!$U$6</f>
        <v>-3051000</v>
      </c>
      <c r="E30" s="103">
        <f>+'[2]ST Warroom 99'!$U$23</f>
        <v>-1394368</v>
      </c>
      <c r="F30" s="103">
        <f>+'[2]ST Warroom 99'!$U$40</f>
        <v>-4445368</v>
      </c>
      <c r="G30" s="103">
        <f>TOTAL!$G$91</f>
        <v>-19475853.756000273</v>
      </c>
      <c r="H30" s="179">
        <f>+[1]OAvsACT!$G$58</f>
        <v>-15030469.906000003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15.850000124424696</v>
      </c>
      <c r="I31" s="45"/>
      <c r="J31" s="45"/>
    </row>
    <row r="32" spans="1:10" x14ac:dyDescent="0.25">
      <c r="B32" s="45">
        <f t="shared" ref="B32:G32" si="4">+B29-B30</f>
        <v>-1.6903504729270935E-7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1.4156103134155273E-7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0" activePane="bottomRight" state="frozen"/>
      <selection activeCell="D10" sqref="D10"/>
      <selection pane="topRight" activeCell="D10" sqref="D10"/>
      <selection pane="bottomLeft" activeCell="D10" sqref="D10"/>
      <selection pane="bottomRight" activeCell="I11" sqref="I11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-10259122</v>
      </c>
      <c r="F11" s="60"/>
      <c r="G11" s="38">
        <f>1723000-1620484-730800-172163</f>
        <v>-800447</v>
      </c>
      <c r="H11" s="60"/>
      <c r="I11" s="38">
        <f>-1113079+535377+178764-142405-22942+170000</f>
        <v>-394285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>
        <v>130500</v>
      </c>
      <c r="AB11" s="60"/>
      <c r="AC11" s="38"/>
      <c r="AD11" s="60"/>
      <c r="AE11" s="38">
        <v>0</v>
      </c>
      <c r="AF11" s="60"/>
      <c r="AG11" s="38">
        <f>-13427849+4090554+142405</f>
        <v>-9194890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-774940</v>
      </c>
      <c r="F12" s="60"/>
      <c r="G12" s="38">
        <v>-130500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-745248+95808+5000</f>
        <v>-644440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-5767018</v>
      </c>
      <c r="F15" s="60"/>
      <c r="G15" s="38">
        <f>-1723000+461913</f>
        <v>-1261087</v>
      </c>
      <c r="H15" s="60"/>
      <c r="I15" s="38">
        <f>-10512425-535377</f>
        <v>-11047802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10512425-4090554</f>
        <v>6421871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-16801080</v>
      </c>
      <c r="F16" s="61">
        <f t="shared" si="1"/>
        <v>0</v>
      </c>
      <c r="G16" s="39">
        <f t="shared" si="1"/>
        <v>-2192034</v>
      </c>
      <c r="H16" s="61">
        <f t="shared" si="1"/>
        <v>0</v>
      </c>
      <c r="I16" s="39">
        <f t="shared" si="1"/>
        <v>-11442087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-524440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130500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-2773019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1100629</v>
      </c>
      <c r="F19" s="60"/>
      <c r="G19" s="38">
        <f>1620484-461913+172163</f>
        <v>1330734</v>
      </c>
      <c r="H19" s="60"/>
      <c r="I19" s="38">
        <v>5998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-236103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-411202</v>
      </c>
      <c r="F20" s="60"/>
      <c r="G20" s="38"/>
      <c r="H20" s="60"/>
      <c r="I20" s="38">
        <v>528798</v>
      </c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>
        <v>-940000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689427</v>
      </c>
      <c r="F24" s="61">
        <f t="shared" si="4"/>
        <v>0</v>
      </c>
      <c r="G24" s="39">
        <f t="shared" si="4"/>
        <v>1330734</v>
      </c>
      <c r="H24" s="61">
        <f t="shared" si="4"/>
        <v>0</v>
      </c>
      <c r="I24" s="39">
        <f t="shared" si="4"/>
        <v>534796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-1176103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150000</v>
      </c>
      <c r="E35" s="66">
        <f t="shared" si="8"/>
        <v>-21605</v>
      </c>
      <c r="F35" s="60"/>
      <c r="G35" s="38"/>
      <c r="H35" s="60">
        <v>150000</v>
      </c>
      <c r="I35" s="38">
        <v>-21605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150000</v>
      </c>
      <c r="E36" s="39">
        <f>SUM(E32:E35)</f>
        <v>-21605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-95808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-95808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-150000</v>
      </c>
      <c r="E40" s="66">
        <f t="shared" si="11"/>
        <v>13449454</v>
      </c>
      <c r="F40" s="60"/>
      <c r="G40" s="38"/>
      <c r="H40" s="60">
        <v>-150000</v>
      </c>
      <c r="I40" s="38">
        <v>21605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13427849</v>
      </c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981351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-1428901+745248+236103</f>
        <v>-447550</v>
      </c>
      <c r="X41" s="60"/>
      <c r="Y41" s="38">
        <v>1428901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-150000</v>
      </c>
      <c r="E42" s="39">
        <f t="shared" si="12"/>
        <v>14430805</v>
      </c>
      <c r="F42" s="61">
        <f t="shared" si="12"/>
        <v>0</v>
      </c>
      <c r="G42" s="39">
        <f t="shared" si="12"/>
        <v>0</v>
      </c>
      <c r="H42" s="61">
        <f t="shared" si="12"/>
        <v>-150000</v>
      </c>
      <c r="I42" s="39">
        <f t="shared" si="12"/>
        <v>21605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-447550</v>
      </c>
      <c r="X42" s="61">
        <f t="shared" si="13"/>
        <v>0</v>
      </c>
      <c r="Y42" s="39">
        <f t="shared" si="13"/>
        <v>1428901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13427849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-150000</v>
      </c>
      <c r="E43" s="39">
        <f t="shared" si="14"/>
        <v>14334997</v>
      </c>
      <c r="F43" s="61">
        <f t="shared" si="14"/>
        <v>0</v>
      </c>
      <c r="G43" s="39">
        <f t="shared" si="14"/>
        <v>0</v>
      </c>
      <c r="H43" s="61">
        <f t="shared" si="14"/>
        <v>-150000</v>
      </c>
      <c r="I43" s="39">
        <f t="shared" si="14"/>
        <v>21605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-543358</v>
      </c>
      <c r="X43" s="61">
        <f t="shared" si="15"/>
        <v>0</v>
      </c>
      <c r="Y43" s="39">
        <f t="shared" si="15"/>
        <v>1428901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13427849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-5998</v>
      </c>
      <c r="F54" s="60"/>
      <c r="G54" s="38"/>
      <c r="H54" s="60"/>
      <c r="I54" s="38">
        <f>28497+6571-5998+3610</f>
        <v>32680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-28497-6571-3610</f>
        <v>-38678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291440</v>
      </c>
      <c r="F55" s="60"/>
      <c r="G55" s="38">
        <v>0</v>
      </c>
      <c r="H55" s="60"/>
      <c r="I55" s="38">
        <f>32870+1134-170000</f>
        <v>-135996</v>
      </c>
      <c r="J55" s="60"/>
      <c r="K55" s="38"/>
      <c r="L55" s="60"/>
      <c r="M55" s="38"/>
      <c r="N55" s="60"/>
      <c r="O55" s="38">
        <v>0</v>
      </c>
      <c r="P55" s="60"/>
      <c r="Q55" s="38">
        <v>318140</v>
      </c>
      <c r="R55" s="60"/>
      <c r="S55" s="38"/>
      <c r="T55" s="60"/>
      <c r="U55" s="38"/>
      <c r="V55" s="60"/>
      <c r="W55" s="38">
        <f>93300+50000</f>
        <v>143300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-32870-1134</f>
        <v>-34004</v>
      </c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285442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-103316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318140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143300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-72682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-50000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>
        <v>-50000</v>
      </c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-50000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-50000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2135081</v>
      </c>
      <c r="F74" s="60"/>
      <c r="G74" s="38">
        <f>730800-528798-152864-43500+32500+21000</f>
        <v>59138</v>
      </c>
      <c r="H74" s="60"/>
      <c r="I74" s="38">
        <f>1113079-358800-110000-32500</f>
        <v>611779</v>
      </c>
      <c r="J74" s="60"/>
      <c r="K74" s="38"/>
      <c r="L74" s="60"/>
      <c r="M74" s="38"/>
      <c r="N74" s="60"/>
      <c r="O74" s="38">
        <v>-135000</v>
      </c>
      <c r="P74" s="60"/>
      <c r="Q74" s="38"/>
      <c r="R74" s="60"/>
      <c r="S74" s="38"/>
      <c r="T74" s="60"/>
      <c r="U74" s="38">
        <v>0</v>
      </c>
      <c r="V74" s="60"/>
      <c r="W74" s="38">
        <f>135000-78500</f>
        <v>56500</v>
      </c>
      <c r="X74" s="60"/>
      <c r="Y74" s="38">
        <f>820000+358800+78500</f>
        <v>1257300</v>
      </c>
      <c r="Z74" s="60"/>
      <c r="AA74" s="38">
        <f>152864+110000-73225</f>
        <v>189639</v>
      </c>
      <c r="AB74" s="60"/>
      <c r="AC74" s="38">
        <v>-21000</v>
      </c>
      <c r="AD74" s="60"/>
      <c r="AE74" s="38">
        <f>73225+43500</f>
        <v>116725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22942</v>
      </c>
      <c r="F78" s="60"/>
      <c r="G78" s="38"/>
      <c r="H78" s="60"/>
      <c r="I78" s="38">
        <v>22942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-496904</v>
      </c>
      <c r="F81" s="60"/>
      <c r="G81" s="38"/>
      <c r="H81" s="60"/>
      <c r="I81" s="38">
        <v>-178764</v>
      </c>
      <c r="J81" s="60"/>
      <c r="K81" s="38"/>
      <c r="L81" s="60"/>
      <c r="M81" s="38"/>
      <c r="N81" s="60"/>
      <c r="O81" s="38"/>
      <c r="P81" s="60"/>
      <c r="Q81" s="38">
        <v>-318140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-802162</v>
      </c>
      <c r="H82" s="91">
        <f>H16+H24+H29+H36+H43+H45+H47+H49</f>
        <v>-150000</v>
      </c>
      <c r="I82" s="92">
        <f>SUM(I72:I81)+I16+I24+I29+I36+I43+I45+I47+I49+I51+I56+I61+I66</f>
        <v>-10533045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-135000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-2192401</v>
      </c>
      <c r="X82" s="91">
        <f>X16+X24+X29+X36+X43+X45+X47+X49</f>
        <v>0</v>
      </c>
      <c r="Y82" s="92">
        <f>SUM(Y72:Y81)+Y16+Y24+Y29+Y36+Y43+Y45+Y47+Y49+Y51+Y56+Y61+Y66</f>
        <v>2686201</v>
      </c>
      <c r="Z82" s="91">
        <f>Z16+Z24+Z29+Z36+Z43+Z45+Z47+Z49</f>
        <v>0</v>
      </c>
      <c r="AA82" s="92">
        <f>SUM(AA72:AA81)+AA16+AA24+AA29+AA36+AA43+AA45+AA47+AA49+AA51+AA56+AA61+AA66</f>
        <v>320139</v>
      </c>
      <c r="AB82" s="91">
        <f>AB16+AB24+AB29+AB36+AB43+AB45+AB47+AB49</f>
        <v>0</v>
      </c>
      <c r="AC82" s="92">
        <f>SUM(AC72:AC81)+AC16+AC24+AC29+AC36+AC43+AC45+AC47+AC49+AC51+AC56+AC61+AC66</f>
        <v>-21000</v>
      </c>
      <c r="AD82" s="91">
        <f>AD16+AD24+AD29+AD36+AD43+AD45+AD47+AD49</f>
        <v>0</v>
      </c>
      <c r="AE82" s="92">
        <f>SUM(AE72:AE81)+AE16+AE24+AE29+AE36+AE43+AE45+AE47+AE49+AE51+AE56+AE61+AE66</f>
        <v>116725</v>
      </c>
      <c r="AF82" s="91">
        <f>AF16+AF24+AF29+AF36+AF43+AF45+AF47+AF49</f>
        <v>0</v>
      </c>
      <c r="AG82" s="92">
        <f>SUM(AG72:AG81)+AG16+AG24+AG29+AG36+AG43+AG45+AG47+AG49+AG51+AG56+AG61+AG66</f>
        <v>10582148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U75" activePane="bottomRight" state="frozen"/>
      <selection activeCell="D10" sqref="D10"/>
      <selection pane="topRight" activeCell="D10" sqref="D10"/>
      <selection pane="bottomLeft" activeCell="D10" sqref="D10"/>
      <selection pane="bottomRight" activeCell="Y80" sqref="Y80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0002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30908916.050000001</v>
      </c>
      <c r="F12" s="65"/>
      <c r="G12" s="38">
        <v>3328701.23</v>
      </c>
      <c r="H12" s="65"/>
      <c r="I12" s="38">
        <v>885146.6</v>
      </c>
      <c r="J12" s="65">
        <v>0</v>
      </c>
      <c r="K12" s="38">
        <v>10514800.390000001</v>
      </c>
      <c r="L12" s="65"/>
      <c r="M12" s="38">
        <v>-63207.21</v>
      </c>
      <c r="N12" s="65"/>
      <c r="O12" s="38">
        <v>0</v>
      </c>
      <c r="P12" s="65"/>
      <c r="Q12" s="38">
        <v>6017954.2699999996</v>
      </c>
      <c r="R12" s="65"/>
      <c r="S12" s="38">
        <v>-480009.7</v>
      </c>
      <c r="T12" s="65"/>
      <c r="U12" s="38">
        <v>-3497.4</v>
      </c>
      <c r="V12" s="65"/>
      <c r="W12" s="38">
        <v>-3624181.05</v>
      </c>
      <c r="X12" s="65">
        <v>0</v>
      </c>
      <c r="Y12" s="38">
        <v>541540.44999999995</v>
      </c>
      <c r="Z12" s="65"/>
      <c r="AA12" s="38">
        <v>0</v>
      </c>
      <c r="AB12" s="65">
        <v>0</v>
      </c>
      <c r="AC12" s="38">
        <v>14461558.24</v>
      </c>
      <c r="AD12" s="65"/>
      <c r="AE12" s="38">
        <v>-669889.77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30908916.050000001</v>
      </c>
      <c r="F16" s="61">
        <f t="shared" si="1"/>
        <v>0</v>
      </c>
      <c r="G16" s="39">
        <f t="shared" si="1"/>
        <v>3328701.23</v>
      </c>
      <c r="H16" s="61">
        <f>SUM(H11:H15)</f>
        <v>0</v>
      </c>
      <c r="I16" s="39">
        <f>SUM(I11:I15)</f>
        <v>885146.6</v>
      </c>
      <c r="J16" s="61">
        <f t="shared" si="1"/>
        <v>0</v>
      </c>
      <c r="K16" s="39">
        <f t="shared" si="1"/>
        <v>10514800.390000001</v>
      </c>
      <c r="L16" s="61">
        <f t="shared" si="1"/>
        <v>0</v>
      </c>
      <c r="M16" s="39">
        <f t="shared" si="1"/>
        <v>-63207.21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6017954.2699999996</v>
      </c>
      <c r="R16" s="61">
        <f>SUM(R11:R15)</f>
        <v>0</v>
      </c>
      <c r="S16" s="39">
        <f>SUM(S11:S15)</f>
        <v>-480009.7</v>
      </c>
      <c r="T16" s="61">
        <f t="shared" si="1"/>
        <v>0</v>
      </c>
      <c r="U16" s="39">
        <f t="shared" si="1"/>
        <v>-3497.4</v>
      </c>
      <c r="V16" s="61">
        <f t="shared" si="1"/>
        <v>0</v>
      </c>
      <c r="W16" s="39">
        <f t="shared" si="1"/>
        <v>-3624181.05</v>
      </c>
      <c r="X16" s="61">
        <f>SUM(X11:X15)</f>
        <v>0</v>
      </c>
      <c r="Y16" s="39">
        <f>SUM(Y11:Y15)</f>
        <v>541540.44999999995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14461558.24</v>
      </c>
      <c r="AD16" s="61">
        <f>SUM(AD11:AD15)</f>
        <v>0</v>
      </c>
      <c r="AE16" s="39">
        <f>SUM(AE11:AE15)</f>
        <v>-669889.77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-26916832.419999998</v>
      </c>
      <c r="F20" s="65"/>
      <c r="G20" s="38">
        <v>1335743.94</v>
      </c>
      <c r="H20" s="65"/>
      <c r="I20" s="38">
        <v>-544502.03</v>
      </c>
      <c r="J20" s="65"/>
      <c r="K20" s="38">
        <v>-17923260.280000001</v>
      </c>
      <c r="L20" s="65"/>
      <c r="M20" s="38">
        <v>0</v>
      </c>
      <c r="N20" s="65"/>
      <c r="O20" s="38">
        <v>0</v>
      </c>
      <c r="P20" s="65"/>
      <c r="Q20" s="38">
        <v>-2854454.09</v>
      </c>
      <c r="R20" s="65"/>
      <c r="S20" s="38">
        <v>394265.22</v>
      </c>
      <c r="T20" s="65"/>
      <c r="U20" s="38">
        <v>0</v>
      </c>
      <c r="V20" s="65"/>
      <c r="W20" s="38">
        <v>1987338.19</v>
      </c>
      <c r="X20" s="65"/>
      <c r="Y20" s="38">
        <v>-567592</v>
      </c>
      <c r="Z20" s="65"/>
      <c r="AA20" s="38">
        <v>0</v>
      </c>
      <c r="AB20" s="65">
        <v>0</v>
      </c>
      <c r="AC20" s="38">
        <v>-8368848.7199999997</v>
      </c>
      <c r="AD20" s="65"/>
      <c r="AE20" s="38">
        <v>-54782.65</v>
      </c>
      <c r="AF20" s="65"/>
      <c r="AG20" s="38">
        <v>-320740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-26916832.419999998</v>
      </c>
      <c r="F24" s="61">
        <f t="shared" si="3"/>
        <v>0</v>
      </c>
      <c r="G24" s="39">
        <f t="shared" si="3"/>
        <v>1335743.94</v>
      </c>
      <c r="H24" s="61">
        <f>SUM(H19:H23)</f>
        <v>0</v>
      </c>
      <c r="I24" s="39">
        <f>SUM(I19:I23)</f>
        <v>-544502.03</v>
      </c>
      <c r="J24" s="61">
        <f t="shared" si="3"/>
        <v>0</v>
      </c>
      <c r="K24" s="39">
        <f t="shared" si="3"/>
        <v>-17923260.280000001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-2854454.09</v>
      </c>
      <c r="R24" s="61">
        <f>SUM(R19:R23)</f>
        <v>0</v>
      </c>
      <c r="S24" s="39">
        <f>SUM(S19:S23)</f>
        <v>394265.22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1987338.19</v>
      </c>
      <c r="X24" s="61">
        <f>SUM(X19:X23)</f>
        <v>0</v>
      </c>
      <c r="Y24" s="39">
        <f>SUM(Y19:Y23)</f>
        <v>-567592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-8368848.7199999997</v>
      </c>
      <c r="AD24" s="61">
        <f>SUM(AD19:AD23)</f>
        <v>0</v>
      </c>
      <c r="AE24" s="39">
        <f>SUM(AE19:AE23)</f>
        <v>-54782.65</v>
      </c>
      <c r="AF24" s="61">
        <f t="shared" si="3"/>
        <v>0</v>
      </c>
      <c r="AG24" s="39">
        <f t="shared" si="3"/>
        <v>-320740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-1024412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-1024412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-1024412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-1024412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-8576009.959999999</v>
      </c>
      <c r="F70" s="60"/>
      <c r="G70" s="38">
        <v>4506255.0199999996</v>
      </c>
      <c r="H70" s="60"/>
      <c r="I70" s="38">
        <v>8290601</v>
      </c>
      <c r="J70" s="60"/>
      <c r="K70" s="38">
        <v>563222.05000000005</v>
      </c>
      <c r="L70" s="60"/>
      <c r="M70" s="38">
        <v>0</v>
      </c>
      <c r="N70" s="60"/>
      <c r="O70" s="38">
        <v>0</v>
      </c>
      <c r="P70" s="60">
        <v>0</v>
      </c>
      <c r="Q70" s="38">
        <v>2516504.2799999998</v>
      </c>
      <c r="R70" s="60"/>
      <c r="S70" s="38">
        <v>-9099</v>
      </c>
      <c r="T70" s="60"/>
      <c r="U70" s="38">
        <v>0</v>
      </c>
      <c r="V70" s="60">
        <v>0</v>
      </c>
      <c r="W70" s="38">
        <v>-7489614.6200000001</v>
      </c>
      <c r="X70" s="60">
        <v>0</v>
      </c>
      <c r="Y70" s="38">
        <v>0</v>
      </c>
      <c r="Z70" s="60">
        <v>0</v>
      </c>
      <c r="AA70" s="38">
        <v>-15782424</v>
      </c>
      <c r="AB70" s="60"/>
      <c r="AC70" s="38">
        <v>1556139.52</v>
      </c>
      <c r="AD70" s="60"/>
      <c r="AE70" s="38">
        <v>-259749.42</v>
      </c>
      <c r="AF70" s="60"/>
      <c r="AG70" s="38">
        <v>-2467844.79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-44423358.739999995</v>
      </c>
      <c r="F71" s="60"/>
      <c r="G71" s="38">
        <v>-7591856.8799999999</v>
      </c>
      <c r="H71" s="60"/>
      <c r="I71" s="38">
        <v>-12261468.49</v>
      </c>
      <c r="J71" s="60"/>
      <c r="K71" s="38">
        <v>-13133657.73</v>
      </c>
      <c r="L71" s="60"/>
      <c r="M71" s="38">
        <v>0</v>
      </c>
      <c r="N71" s="60"/>
      <c r="O71" s="38">
        <v>0</v>
      </c>
      <c r="P71" s="60"/>
      <c r="Q71" s="38">
        <v>-6953222</v>
      </c>
      <c r="R71" s="60"/>
      <c r="S71" s="38">
        <v>0</v>
      </c>
      <c r="T71" s="60"/>
      <c r="U71" s="38">
        <v>0</v>
      </c>
      <c r="V71" s="60"/>
      <c r="W71" s="38">
        <v>2639306.77</v>
      </c>
      <c r="X71" s="60"/>
      <c r="Y71" s="38">
        <v>0</v>
      </c>
      <c r="Z71" s="60"/>
      <c r="AA71" s="38">
        <v>0</v>
      </c>
      <c r="AB71" s="60"/>
      <c r="AC71" s="38">
        <v>-1508208.52</v>
      </c>
      <c r="AD71" s="60"/>
      <c r="AE71" s="38">
        <v>322863.27</v>
      </c>
      <c r="AF71" s="60"/>
      <c r="AG71" s="38">
        <v>-5937115.1600000001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2">
        <f t="shared" si="13"/>
        <v>-52999368.699999996</v>
      </c>
      <c r="F72" s="61">
        <f t="shared" si="13"/>
        <v>0</v>
      </c>
      <c r="G72" s="183">
        <f t="shared" si="13"/>
        <v>-3085601.8600000003</v>
      </c>
      <c r="H72" s="61">
        <f>SUM(H70:H71)</f>
        <v>0</v>
      </c>
      <c r="I72" s="183">
        <f>SUM(I70:I71)</f>
        <v>-3970867.49</v>
      </c>
      <c r="J72" s="61">
        <f t="shared" si="13"/>
        <v>0</v>
      </c>
      <c r="K72" s="183">
        <f t="shared" si="13"/>
        <v>-12570435.68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-4436717.7200000007</v>
      </c>
      <c r="R72" s="61">
        <f>SUM(R70:R71)</f>
        <v>0</v>
      </c>
      <c r="S72" s="39">
        <f>SUM(S70:S71)</f>
        <v>-9099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-4850307.8499999996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-15782424</v>
      </c>
      <c r="AB72" s="61">
        <f t="shared" si="13"/>
        <v>0</v>
      </c>
      <c r="AC72" s="39">
        <f t="shared" si="13"/>
        <v>47931</v>
      </c>
      <c r="AD72" s="61">
        <f>SUM(AD70:AD71)</f>
        <v>0</v>
      </c>
      <c r="AE72" s="183">
        <f>SUM(AE70:AE71)</f>
        <v>63113.850000000006</v>
      </c>
      <c r="AF72" s="61">
        <f t="shared" si="13"/>
        <v>0</v>
      </c>
      <c r="AG72" s="183">
        <f t="shared" si="13"/>
        <v>-8404959.9499999993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19365431.399999999</v>
      </c>
      <c r="F74" s="65"/>
      <c r="G74" s="66">
        <f>2963857.17-181</f>
        <v>2963676.17</v>
      </c>
      <c r="H74" s="65"/>
      <c r="I74" s="66">
        <v>824886.97</v>
      </c>
      <c r="J74" s="65"/>
      <c r="K74" s="66">
        <f>4827583.59+11725</f>
        <v>4839308.59</v>
      </c>
      <c r="L74" s="65"/>
      <c r="M74" s="66">
        <v>0</v>
      </c>
      <c r="N74" s="65"/>
      <c r="O74" s="66">
        <v>0</v>
      </c>
      <c r="P74" s="65"/>
      <c r="Q74" s="66">
        <v>5305442.1100000003</v>
      </c>
      <c r="R74" s="65"/>
      <c r="S74" s="66">
        <v>22124</v>
      </c>
      <c r="T74" s="65"/>
      <c r="U74" s="66">
        <v>0</v>
      </c>
      <c r="V74" s="65"/>
      <c r="W74" s="66">
        <v>-107244.44</v>
      </c>
      <c r="X74" s="65"/>
      <c r="Y74" s="66">
        <v>-13730.28</v>
      </c>
      <c r="Z74" s="65"/>
      <c r="AA74" s="180">
        <v>9162040.2200000007</v>
      </c>
      <c r="AB74" s="65"/>
      <c r="AC74" s="180">
        <v>1028011.69</v>
      </c>
      <c r="AD74" s="65"/>
      <c r="AE74" s="66">
        <v>-36714.17</v>
      </c>
      <c r="AF74" s="65"/>
      <c r="AG74" s="180">
        <v>-4622369.46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37100</v>
      </c>
      <c r="F75" s="65"/>
      <c r="G75" s="38">
        <v>12700</v>
      </c>
      <c r="H75" s="65"/>
      <c r="I75" s="38">
        <v>0</v>
      </c>
      <c r="J75" s="65"/>
      <c r="K75" s="38">
        <v>9400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15000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-18007.5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-18007.5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-2906000</v>
      </c>
      <c r="F77" s="65"/>
      <c r="G77" s="38"/>
      <c r="H77" s="65"/>
      <c r="I77" s="38"/>
      <c r="J77" s="65"/>
      <c r="K77" s="38">
        <v>-2906000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873548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873548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318140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318140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-32361485.169999994</v>
      </c>
      <c r="F82" s="91">
        <f>F16+F24+F29+F36+F43+F45+F47+F49</f>
        <v>0</v>
      </c>
      <c r="G82" s="92">
        <f>SUM(G72:G81)+G16+G24+G29+G36+G43+G45+G47+G49+G51+G56+G61+G66</f>
        <v>4555219.4799999995</v>
      </c>
      <c r="H82" s="91">
        <f>H16+H24+H29+H36+H43+H45+H47+H49</f>
        <v>0</v>
      </c>
      <c r="I82" s="92">
        <f>SUM(I72:I81)+I16+I24+I29+I36+I43+I45+I47+I49+I51+I56+I61+I66</f>
        <v>-2805335.95</v>
      </c>
      <c r="J82" s="91">
        <f>J16+J24+J29+J36+J43+J45+J47+J49</f>
        <v>0</v>
      </c>
      <c r="K82" s="92">
        <f>SUM(K72:K81)+K16+K24+K29+K36+K43+K45+K47+K49+K51+K56+K61+K66</f>
        <v>-18036186.98</v>
      </c>
      <c r="L82" s="91">
        <f>L16+L24+L29+L36+L43+L45+L47+L49</f>
        <v>0</v>
      </c>
      <c r="M82" s="92">
        <f>SUM(M72:M81)+M16+M24+M29+M36+M43+M45+M47+M49+M51+M56+M61+M66</f>
        <v>-63207.21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4032224.5699999994</v>
      </c>
      <c r="R82" s="91">
        <f>R16+R24+R29+R36+R43+R45+R47+R49</f>
        <v>0</v>
      </c>
      <c r="S82" s="92">
        <f>SUM(S72:S81)+S16+S24+S29+S36+S43+S45+S47+S49+S51+S56+S61+S66</f>
        <v>245420.51999999996</v>
      </c>
      <c r="T82" s="91">
        <f>T16+T24+T29+T36+T43+T45+T47+T49</f>
        <v>0</v>
      </c>
      <c r="U82" s="92">
        <f>SUM(U72:U81)+U16+U24+U29+U36+U43+U45+U47+U49+U51+U56+U61+U66</f>
        <v>-3497.4</v>
      </c>
      <c r="V82" s="91">
        <f>V16+V24+V29+V36+V43+V45+V47+V49</f>
        <v>0</v>
      </c>
      <c r="W82" s="92">
        <f>SUM(W72:W81)+W16+W24+W29+W36+W43+W45+W47+W49+W51+W56+W61+W66</f>
        <v>-6579395.1500000004</v>
      </c>
      <c r="X82" s="91">
        <f>X16+X24+X29+X36+X43+X45+X47+X49</f>
        <v>0</v>
      </c>
      <c r="Y82" s="92">
        <f>SUM(Y72:Y81)+Y16+Y24+Y29+Y36+Y43+Y45+Y47+Y49+Y51+Y56+Y61+Y66</f>
        <v>-190645.83000000007</v>
      </c>
      <c r="Z82" s="91">
        <f>Z16+Z24+Z29+Z36+Z43+Z45+Z47+Z49</f>
        <v>0</v>
      </c>
      <c r="AA82" s="92">
        <f>SUM(AA72:AA81)+AA16+AA24+AA29+AA36+AA43+AA45+AA47+AA49+AA51+AA56+AA61+AA66</f>
        <v>-6638391.2799999993</v>
      </c>
      <c r="AB82" s="91">
        <f>AB16+AB24+AB29+AB36+AB43+AB45+AB47+AB49</f>
        <v>0</v>
      </c>
      <c r="AC82" s="92">
        <f>SUM(AC72:AC81)+AC16+AC24+AC29+AC36+AC43+AC45+AC47+AC49+AC51+AC56+AC61+AC66</f>
        <v>7168652.21</v>
      </c>
      <c r="AD82" s="91">
        <f>AD16+AD24+AD29+AD36+AD43+AD45+AD47+AD49</f>
        <v>0</v>
      </c>
      <c r="AE82" s="92">
        <f>SUM(AE72:AE81)+AE16+AE24+AE29+AE36+AE43+AE45+AE47+AE49+AE51+AE56+AE61+AE66</f>
        <v>-698272.74</v>
      </c>
      <c r="AF82" s="91">
        <f>AF16+AF24+AF29+AF36+AF43+AF45+AF47+AF49</f>
        <v>0</v>
      </c>
      <c r="AG82" s="92">
        <f>SUM(AG72:AG81)+AG16+AG24+AG29+AG36+AG43+AG45+AG47+AG49+AG51+AG56+AG61+AG66</f>
        <v>-13348069.41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3451409</v>
      </c>
      <c r="F86" s="145"/>
      <c r="G86" s="145">
        <v>0</v>
      </c>
      <c r="H86" s="145"/>
      <c r="I86" s="145">
        <v>0</v>
      </c>
      <c r="J86" s="145"/>
      <c r="K86" s="184">
        <v>344137</v>
      </c>
      <c r="L86" s="145"/>
      <c r="M86" s="145"/>
      <c r="N86" s="145"/>
      <c r="O86" s="145"/>
      <c r="P86" s="145"/>
      <c r="Q86" s="145"/>
      <c r="R86" s="145"/>
      <c r="S86" s="145">
        <v>472991</v>
      </c>
      <c r="T86" s="145"/>
      <c r="U86" s="145"/>
      <c r="V86" s="145"/>
      <c r="W86" s="145">
        <v>0</v>
      </c>
      <c r="X86" s="145"/>
      <c r="Y86" s="145">
        <f>2342347-40862</f>
        <v>2301485</v>
      </c>
      <c r="Z86" s="145"/>
      <c r="AA86" s="145"/>
      <c r="AB86" s="145"/>
      <c r="AC86" s="145">
        <v>332796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-18086.68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-17818.68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v>-1925000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1508322.3199999998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344137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472723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376485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314977.32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-30853162.849999994</v>
      </c>
      <c r="F91" s="160">
        <f t="shared" si="19"/>
        <v>0</v>
      </c>
      <c r="G91" s="160">
        <f t="shared" si="19"/>
        <v>4555219.4799999995</v>
      </c>
      <c r="H91" s="160">
        <f>+H82+H89</f>
        <v>0</v>
      </c>
      <c r="I91" s="160">
        <f>+I82+I89</f>
        <v>-2805335.95</v>
      </c>
      <c r="J91" s="160">
        <f t="shared" si="19"/>
        <v>0</v>
      </c>
      <c r="K91" s="160">
        <f t="shared" si="19"/>
        <v>-17692049.98</v>
      </c>
      <c r="L91" s="160">
        <f t="shared" si="19"/>
        <v>0</v>
      </c>
      <c r="M91" s="160">
        <f t="shared" si="19"/>
        <v>-63207.21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4032224.5699999994</v>
      </c>
      <c r="R91" s="160">
        <f>+R82+R89</f>
        <v>0</v>
      </c>
      <c r="S91" s="160">
        <f>+S82+S89</f>
        <v>718143.52</v>
      </c>
      <c r="T91" s="160">
        <f t="shared" si="20"/>
        <v>0</v>
      </c>
      <c r="U91" s="160">
        <f t="shared" si="20"/>
        <v>-3497.4</v>
      </c>
      <c r="V91" s="160">
        <f t="shared" si="20"/>
        <v>0</v>
      </c>
      <c r="W91" s="160">
        <f t="shared" si="20"/>
        <v>-6579395.1500000004</v>
      </c>
      <c r="X91" s="160">
        <f>+X82+X89</f>
        <v>0</v>
      </c>
      <c r="Y91" s="160">
        <f>+Y82+Y89</f>
        <v>185839.16999999993</v>
      </c>
      <c r="Z91" s="160">
        <f t="shared" si="20"/>
        <v>0</v>
      </c>
      <c r="AA91" s="160">
        <f t="shared" si="20"/>
        <v>-6638391.2799999993</v>
      </c>
      <c r="AB91" s="160">
        <f t="shared" si="20"/>
        <v>0</v>
      </c>
      <c r="AC91" s="160">
        <f t="shared" si="20"/>
        <v>7483629.5300000003</v>
      </c>
      <c r="AD91" s="160">
        <f>+AD82+AD89</f>
        <v>0</v>
      </c>
      <c r="AE91" s="160">
        <f>+AE82+AE89</f>
        <v>-698272.74</v>
      </c>
      <c r="AF91" s="160">
        <f t="shared" si="20"/>
        <v>0</v>
      </c>
      <c r="AG91" s="160">
        <f t="shared" si="20"/>
        <v>-13348069.41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23357515.030000005</v>
      </c>
      <c r="G94" s="163">
        <f>+G12+G20+G74</f>
        <v>7628121.3399999999</v>
      </c>
      <c r="I94" s="163">
        <f>+I12+I20+I74</f>
        <v>1165531.54</v>
      </c>
      <c r="K94" s="163">
        <f>+K12+K20+K74</f>
        <v>-2569151.3000000007</v>
      </c>
      <c r="M94" s="163">
        <f>+M12+M20+M74</f>
        <v>-63207.21</v>
      </c>
      <c r="O94" s="163">
        <f>+O12+O20+O74</f>
        <v>0</v>
      </c>
      <c r="Q94" s="163">
        <f>+Q12+Q20+Q74</f>
        <v>8468942.2899999991</v>
      </c>
      <c r="S94" s="163">
        <f>+S12+S20+S74</f>
        <v>-63620.48000000004</v>
      </c>
      <c r="U94" s="163">
        <f>+U12+U20+U74</f>
        <v>-3497.4</v>
      </c>
      <c r="W94" s="163">
        <f>+W12+W20+W74</f>
        <v>-1744087.2999999998</v>
      </c>
      <c r="Y94" s="163">
        <f>+Y12+Y20+Y74</f>
        <v>-39781.830000000045</v>
      </c>
      <c r="AA94" s="163">
        <f>+AA12+AA20+AA74</f>
        <v>9162040.2200000007</v>
      </c>
      <c r="AC94" s="163">
        <f>+AC12+AC20+AC74</f>
        <v>7120721.2100000009</v>
      </c>
      <c r="AE94" s="163">
        <f>+AE12+AE20+AE74</f>
        <v>-761386.59000000008</v>
      </c>
      <c r="AG94" s="163">
        <f>+AG12+AG20+AG74</f>
        <v>-4943109.46</v>
      </c>
    </row>
    <row r="95" spans="1:34" x14ac:dyDescent="0.25">
      <c r="A95" s="4"/>
      <c r="B95" s="3"/>
      <c r="E95" s="171">
        <v>23357515</v>
      </c>
    </row>
    <row r="96" spans="1:34" x14ac:dyDescent="0.25">
      <c r="A96" s="4"/>
      <c r="B96" s="3"/>
      <c r="E96" s="171">
        <f>+E94-E95</f>
        <v>3.0000004917383194E-2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89479379</v>
      </c>
      <c r="E11" s="146">
        <v>230336937</v>
      </c>
      <c r="F11" s="60">
        <f>H11-D11</f>
        <v>0</v>
      </c>
      <c r="G11" s="37">
        <f>I11-E11</f>
        <v>0</v>
      </c>
      <c r="H11" s="65">
        <f t="shared" ref="H11:I15" si="0">D11</f>
        <v>89479379</v>
      </c>
      <c r="I11" s="66">
        <f t="shared" si="0"/>
        <v>230336937</v>
      </c>
      <c r="J11" s="37"/>
      <c r="K11" s="38"/>
      <c r="L11" s="60">
        <f t="shared" ref="L11:M15" si="1">H11+J11</f>
        <v>89479379</v>
      </c>
      <c r="M11" s="38">
        <f t="shared" si="1"/>
        <v>230336937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39137924</v>
      </c>
      <c r="E13" s="146">
        <v>101009075</v>
      </c>
      <c r="F13" s="60">
        <f t="shared" si="2"/>
        <v>0</v>
      </c>
      <c r="G13" s="37">
        <f t="shared" si="2"/>
        <v>0</v>
      </c>
      <c r="H13" s="65">
        <f t="shared" si="0"/>
        <v>39137924</v>
      </c>
      <c r="I13" s="66">
        <f t="shared" si="0"/>
        <v>101009075</v>
      </c>
      <c r="J13" s="37"/>
      <c r="K13" s="38"/>
      <c r="L13" s="60">
        <f t="shared" si="1"/>
        <v>39137924</v>
      </c>
      <c r="M13" s="38">
        <f t="shared" si="1"/>
        <v>101009075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128617303</v>
      </c>
      <c r="E16" s="166">
        <v>331346012</v>
      </c>
      <c r="F16" s="61">
        <f t="shared" ref="F16:M16" si="3">SUM(F11:F15)</f>
        <v>0</v>
      </c>
      <c r="G16" s="39">
        <f t="shared" si="3"/>
        <v>0</v>
      </c>
      <c r="H16" s="61">
        <f>SUM(H11:H15)</f>
        <v>128617303</v>
      </c>
      <c r="I16" s="39">
        <f>SUM(I11:I15)</f>
        <v>331346012</v>
      </c>
      <c r="J16" s="133">
        <f t="shared" si="3"/>
        <v>0</v>
      </c>
      <c r="K16" s="39">
        <f t="shared" si="3"/>
        <v>0</v>
      </c>
      <c r="L16" s="61">
        <f t="shared" si="3"/>
        <v>128617303</v>
      </c>
      <c r="M16" s="39">
        <f t="shared" si="3"/>
        <v>331346012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-100343382</v>
      </c>
      <c r="E19" s="146">
        <v>-257199518</v>
      </c>
      <c r="F19" s="60">
        <f>H19-D19</f>
        <v>0</v>
      </c>
      <c r="G19" s="37">
        <f>I19-E19</f>
        <v>0</v>
      </c>
      <c r="H19" s="65">
        <f t="shared" si="4"/>
        <v>-100343382</v>
      </c>
      <c r="I19" s="66">
        <f t="shared" si="4"/>
        <v>-257199518</v>
      </c>
      <c r="J19" s="37">
        <v>0</v>
      </c>
      <c r="K19" s="38">
        <v>0</v>
      </c>
      <c r="L19" s="60">
        <f t="shared" ref="L19:M23" si="5">H19+J19</f>
        <v>-100343382</v>
      </c>
      <c r="M19" s="38">
        <f t="shared" si="5"/>
        <v>-257199518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-28106245</v>
      </c>
      <c r="E21" s="146">
        <v>-72328753</v>
      </c>
      <c r="F21" s="60">
        <f t="shared" si="6"/>
        <v>0</v>
      </c>
      <c r="G21" s="37">
        <f t="shared" si="6"/>
        <v>0</v>
      </c>
      <c r="H21" s="65">
        <f t="shared" si="4"/>
        <v>-28106245</v>
      </c>
      <c r="I21" s="66">
        <f t="shared" si="4"/>
        <v>-72328753</v>
      </c>
      <c r="J21" s="37"/>
      <c r="K21" s="38"/>
      <c r="L21" s="60">
        <f t="shared" si="5"/>
        <v>-28106245</v>
      </c>
      <c r="M21" s="38">
        <f t="shared" si="5"/>
        <v>-72328753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345130</v>
      </c>
      <c r="E23" s="146">
        <v>867585</v>
      </c>
      <c r="F23" s="60">
        <f t="shared" si="6"/>
        <v>0</v>
      </c>
      <c r="G23" s="37">
        <f t="shared" si="6"/>
        <v>0</v>
      </c>
      <c r="H23" s="65">
        <f t="shared" si="4"/>
        <v>345130</v>
      </c>
      <c r="I23" s="66">
        <f t="shared" si="4"/>
        <v>867585</v>
      </c>
      <c r="J23" s="37"/>
      <c r="K23" s="38"/>
      <c r="L23" s="60">
        <f t="shared" si="5"/>
        <v>345130</v>
      </c>
      <c r="M23" s="38">
        <f t="shared" si="5"/>
        <v>867585</v>
      </c>
    </row>
    <row r="24" spans="1:13" x14ac:dyDescent="0.25">
      <c r="A24" s="9"/>
      <c r="B24" s="7" t="s">
        <v>33</v>
      </c>
      <c r="C24" s="6"/>
      <c r="D24" s="166">
        <v>-128104497</v>
      </c>
      <c r="E24" s="166">
        <v>-328660686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-128104497</v>
      </c>
      <c r="I24" s="39">
        <f>SUM(I19:I23)</f>
        <v>-328660686</v>
      </c>
      <c r="J24" s="133">
        <f t="shared" si="7"/>
        <v>0</v>
      </c>
      <c r="K24" s="39">
        <f t="shared" si="7"/>
        <v>0</v>
      </c>
      <c r="L24" s="61">
        <f t="shared" si="7"/>
        <v>-128104497</v>
      </c>
      <c r="M24" s="39">
        <f t="shared" si="7"/>
        <v>-328660686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-4473</v>
      </c>
      <c r="E32" s="146">
        <v>-177</v>
      </c>
      <c r="F32" s="60">
        <f>H32-D32</f>
        <v>0</v>
      </c>
      <c r="G32" s="37">
        <f>I32-E32</f>
        <v>0</v>
      </c>
      <c r="H32" s="65">
        <f t="shared" ref="H32:I35" si="9">D32</f>
        <v>-4473</v>
      </c>
      <c r="I32" s="66">
        <f t="shared" si="9"/>
        <v>-177</v>
      </c>
      <c r="J32" s="37"/>
      <c r="K32" s="38"/>
      <c r="L32" s="60">
        <f t="shared" ref="L32:M35" si="10">H32+J32</f>
        <v>-4473</v>
      </c>
      <c r="M32" s="38">
        <f t="shared" si="10"/>
        <v>-177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-18066</v>
      </c>
      <c r="E35" s="146">
        <v>-45399</v>
      </c>
      <c r="F35" s="60">
        <f t="shared" si="11"/>
        <v>0</v>
      </c>
      <c r="G35" s="37">
        <f t="shared" si="11"/>
        <v>0</v>
      </c>
      <c r="H35" s="65">
        <f t="shared" si="9"/>
        <v>-18066</v>
      </c>
      <c r="I35" s="66">
        <f t="shared" si="9"/>
        <v>-45399</v>
      </c>
      <c r="J35" s="37">
        <v>0</v>
      </c>
      <c r="K35" s="38">
        <v>0</v>
      </c>
      <c r="L35" s="60">
        <f t="shared" si="10"/>
        <v>-18066</v>
      </c>
      <c r="M35" s="38">
        <f t="shared" si="10"/>
        <v>-45399</v>
      </c>
    </row>
    <row r="36" spans="1:13" x14ac:dyDescent="0.25">
      <c r="A36" s="9"/>
      <c r="B36" s="7" t="s">
        <v>43</v>
      </c>
      <c r="C36" s="6"/>
      <c r="D36" s="166">
        <v>-22539</v>
      </c>
      <c r="E36" s="166">
        <v>-45576</v>
      </c>
      <c r="F36" s="61">
        <f>SUM(F32:F35)</f>
        <v>0</v>
      </c>
      <c r="G36" s="39">
        <f>SUM(G32:G35)</f>
        <v>0</v>
      </c>
      <c r="H36" s="61">
        <f>SUM(H32:H35)</f>
        <v>-22539</v>
      </c>
      <c r="I36" s="39">
        <f>SUM(I32:I35)</f>
        <v>-45576</v>
      </c>
      <c r="J36" s="133">
        <f>SUM(J32:J34)</f>
        <v>0</v>
      </c>
      <c r="K36" s="39">
        <f>SUM(K32:K34)</f>
        <v>0</v>
      </c>
      <c r="L36" s="61">
        <f>SUM(L32:L35)</f>
        <v>-22539</v>
      </c>
      <c r="M36" s="39">
        <f>SUM(M32:M35)</f>
        <v>-45576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50140</v>
      </c>
      <c r="E39" s="146">
        <v>130199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50140</v>
      </c>
      <c r="I39" s="66">
        <f t="shared" si="12"/>
        <v>130199</v>
      </c>
      <c r="J39" s="37"/>
      <c r="K39" s="38"/>
      <c r="L39" s="60">
        <f t="shared" ref="L39:M41" si="14">H39+J39</f>
        <v>50140</v>
      </c>
      <c r="M39" s="38">
        <f t="shared" si="14"/>
        <v>130199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-544509</v>
      </c>
      <c r="E40" s="146">
        <v>-1455168</v>
      </c>
      <c r="F40" s="60">
        <f t="shared" si="13"/>
        <v>0</v>
      </c>
      <c r="G40" s="37">
        <f t="shared" si="13"/>
        <v>0</v>
      </c>
      <c r="H40" s="65">
        <f t="shared" si="12"/>
        <v>-544509</v>
      </c>
      <c r="I40" s="66">
        <f t="shared" si="12"/>
        <v>-1455168</v>
      </c>
      <c r="J40" s="37"/>
      <c r="K40" s="38"/>
      <c r="L40" s="60">
        <f t="shared" si="14"/>
        <v>-544509</v>
      </c>
      <c r="M40" s="38">
        <f t="shared" si="14"/>
        <v>-1455168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-544509</v>
      </c>
      <c r="E42" s="166">
        <v>-1455168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-544509</v>
      </c>
      <c r="I42" s="39">
        <f>SUM(I40:I41)</f>
        <v>-1455168</v>
      </c>
      <c r="J42" s="133">
        <f t="shared" si="15"/>
        <v>0</v>
      </c>
      <c r="K42" s="39">
        <f t="shared" si="15"/>
        <v>0</v>
      </c>
      <c r="L42" s="61">
        <f t="shared" si="15"/>
        <v>-544509</v>
      </c>
      <c r="M42" s="39">
        <f t="shared" si="15"/>
        <v>-1455168</v>
      </c>
    </row>
    <row r="43" spans="1:13" ht="21" customHeight="1" x14ac:dyDescent="0.25">
      <c r="A43" s="9"/>
      <c r="B43" s="7" t="s">
        <v>49</v>
      </c>
      <c r="C43" s="6"/>
      <c r="D43" s="166">
        <v>-494369</v>
      </c>
      <c r="E43" s="166">
        <v>-1324969</v>
      </c>
      <c r="F43" s="61">
        <f t="shared" ref="F43:M43" si="16">F42+F39</f>
        <v>0</v>
      </c>
      <c r="G43" s="39">
        <f t="shared" si="16"/>
        <v>0</v>
      </c>
      <c r="H43" s="61">
        <f>H42+H39</f>
        <v>-494369</v>
      </c>
      <c r="I43" s="39">
        <f>I42+I39</f>
        <v>-1324969</v>
      </c>
      <c r="J43" s="133">
        <f t="shared" si="16"/>
        <v>0</v>
      </c>
      <c r="K43" s="39">
        <f t="shared" si="16"/>
        <v>0</v>
      </c>
      <c r="L43" s="61">
        <f t="shared" si="16"/>
        <v>-494369</v>
      </c>
      <c r="M43" s="39">
        <f t="shared" si="16"/>
        <v>-1324969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6908</v>
      </c>
      <c r="E49" s="146">
        <v>17762.830536000001</v>
      </c>
      <c r="F49" s="60">
        <f>H49-D49</f>
        <v>0</v>
      </c>
      <c r="G49" s="37">
        <f>I49-E49</f>
        <v>0</v>
      </c>
      <c r="H49" s="65">
        <f>D49</f>
        <v>6908</v>
      </c>
      <c r="I49" s="66">
        <f>E49</f>
        <v>17762.830536000001</v>
      </c>
      <c r="J49" s="37"/>
      <c r="K49" s="38"/>
      <c r="L49" s="60">
        <f>H49+J49</f>
        <v>6908</v>
      </c>
      <c r="M49" s="38">
        <f>I49+K49</f>
        <v>17762.830536000001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-345130</v>
      </c>
      <c r="E51" s="146">
        <v>-867585</v>
      </c>
      <c r="F51" s="60">
        <f>H51-D51</f>
        <v>0</v>
      </c>
      <c r="G51" s="37">
        <f>I51-E51</f>
        <v>0</v>
      </c>
      <c r="H51" s="65">
        <f>D51</f>
        <v>-345130</v>
      </c>
      <c r="I51" s="66">
        <f>E51</f>
        <v>-867585</v>
      </c>
      <c r="J51" s="37"/>
      <c r="K51" s="38"/>
      <c r="L51" s="60">
        <f>H51+J51</f>
        <v>-345130</v>
      </c>
      <c r="M51" s="38">
        <f>I51+K51</f>
        <v>-867585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-406932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-406932</v>
      </c>
      <c r="J54" s="37"/>
      <c r="K54" s="38"/>
      <c r="L54" s="60">
        <f>H54+J54</f>
        <v>0</v>
      </c>
      <c r="M54" s="38">
        <f>I54+K54</f>
        <v>-406932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-2565922.5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-2565922.5</v>
      </c>
      <c r="J55" s="37"/>
      <c r="K55" s="38"/>
      <c r="L55" s="60">
        <f>H55+J55</f>
        <v>0</v>
      </c>
      <c r="M55" s="38">
        <f>I55+K55</f>
        <v>-2565922.5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-2972854.5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-2972854.5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-2972854.5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4506255.0186999999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4506255.0186999999</v>
      </c>
      <c r="J70" s="37"/>
      <c r="K70" s="38"/>
      <c r="L70" s="60">
        <f t="shared" si="20"/>
        <v>0</v>
      </c>
      <c r="M70" s="38">
        <f t="shared" si="20"/>
        <v>4506255.0186999999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-7591856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-7591856</v>
      </c>
      <c r="J71" s="37"/>
      <c r="K71" s="38"/>
      <c r="L71" s="60">
        <f t="shared" si="20"/>
        <v>0</v>
      </c>
      <c r="M71" s="38">
        <f t="shared" si="20"/>
        <v>-7591856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-3085600.9813000001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-3085600.9813000001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-3085600.9813000001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4552700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4552700</v>
      </c>
      <c r="J74" s="37"/>
      <c r="K74" s="38"/>
      <c r="L74" s="60">
        <f t="shared" si="24"/>
        <v>0</v>
      </c>
      <c r="M74" s="38">
        <f t="shared" si="24"/>
        <v>4552700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14359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14359</v>
      </c>
      <c r="J75" s="37"/>
      <c r="K75" s="38"/>
      <c r="L75" s="60">
        <f t="shared" si="24"/>
        <v>0</v>
      </c>
      <c r="M75" s="38">
        <f t="shared" si="24"/>
        <v>14359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-14519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-14519</v>
      </c>
      <c r="J76" s="37"/>
      <c r="K76" s="38"/>
      <c r="L76" s="60">
        <f t="shared" si="24"/>
        <v>0</v>
      </c>
      <c r="M76" s="38">
        <f t="shared" si="24"/>
        <v>-14519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1145036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1145036</v>
      </c>
      <c r="J79" s="37"/>
      <c r="K79" s="38"/>
      <c r="L79" s="60">
        <f t="shared" si="24"/>
        <v>0</v>
      </c>
      <c r="M79" s="38">
        <f t="shared" si="24"/>
        <v>1145036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2806</v>
      </c>
      <c r="E82" s="141">
        <f>SUM(E72:E81)+E16+E24+E29+E36+E43+E45+E47+E49+E51+E56+E61+E66</f>
        <v>104079.34923600359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2806</v>
      </c>
      <c r="I82" s="135">
        <f>SUM(I72:I81)+I16+I24+I29+I36+I43+I45+I47+I49+I51+I56+I61+I66</f>
        <v>104079.34923600359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2806</v>
      </c>
      <c r="M82" s="74">
        <f>SUM(M72:M81)+M16+M24+M29+M36+M43+M45+M47+M49+M51+M56+M61+M66</f>
        <v>104079.34923600359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79" sqref="E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5709814</v>
      </c>
      <c r="E11" s="146">
        <v>14580741</v>
      </c>
      <c r="F11" s="60">
        <f>H11-D11</f>
        <v>0</v>
      </c>
      <c r="G11" s="37">
        <f>I11-E11</f>
        <v>0</v>
      </c>
      <c r="H11" s="65">
        <f t="shared" ref="H11:I15" si="0">D11</f>
        <v>5709814</v>
      </c>
      <c r="I11" s="66">
        <f t="shared" si="0"/>
        <v>14580741</v>
      </c>
      <c r="J11" s="37"/>
      <c r="K11" s="38"/>
      <c r="L11" s="60">
        <f t="shared" ref="L11:M15" si="1">H11+J11</f>
        <v>5709814</v>
      </c>
      <c r="M11" s="38">
        <f t="shared" si="1"/>
        <v>14580741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4883736</v>
      </c>
      <c r="E13" s="146">
        <v>13046146</v>
      </c>
      <c r="F13" s="60">
        <f t="shared" si="2"/>
        <v>0</v>
      </c>
      <c r="G13" s="37">
        <f t="shared" si="2"/>
        <v>0</v>
      </c>
      <c r="H13" s="65">
        <f t="shared" si="0"/>
        <v>4883736</v>
      </c>
      <c r="I13" s="66">
        <f t="shared" si="0"/>
        <v>13046146</v>
      </c>
      <c r="J13" s="37"/>
      <c r="K13" s="38"/>
      <c r="L13" s="60">
        <f t="shared" si="1"/>
        <v>4883736</v>
      </c>
      <c r="M13" s="38">
        <f t="shared" si="1"/>
        <v>13046146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10593550</v>
      </c>
      <c r="E16" s="166">
        <v>27626887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10593550</v>
      </c>
      <c r="I16" s="39">
        <f>SUM(I11:I15)</f>
        <v>27626887</v>
      </c>
      <c r="J16" s="133">
        <f t="shared" si="3"/>
        <v>0</v>
      </c>
      <c r="K16" s="39">
        <f t="shared" si="3"/>
        <v>0</v>
      </c>
      <c r="L16" s="61">
        <f t="shared" si="3"/>
        <v>10593550</v>
      </c>
      <c r="M16" s="39">
        <f t="shared" si="3"/>
        <v>27626887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-813187</v>
      </c>
      <c r="E19" s="146">
        <v>-2202053</v>
      </c>
      <c r="F19" s="60">
        <f>H19-D19</f>
        <v>0</v>
      </c>
      <c r="G19" s="37">
        <f>I19-E19</f>
        <v>0</v>
      </c>
      <c r="H19" s="65">
        <f t="shared" si="4"/>
        <v>-813187</v>
      </c>
      <c r="I19" s="66">
        <f t="shared" si="4"/>
        <v>-2202053</v>
      </c>
      <c r="J19" s="37">
        <v>0</v>
      </c>
      <c r="K19" s="38">
        <v>0</v>
      </c>
      <c r="L19" s="60">
        <f t="shared" ref="L19:M23" si="5">H19+J19</f>
        <v>-813187</v>
      </c>
      <c r="M19" s="38">
        <f t="shared" si="5"/>
        <v>-2202053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-9725476</v>
      </c>
      <c r="E21" s="146">
        <v>-25364923</v>
      </c>
      <c r="F21" s="60">
        <f t="shared" si="6"/>
        <v>0</v>
      </c>
      <c r="G21" s="37">
        <f t="shared" si="6"/>
        <v>0</v>
      </c>
      <c r="H21" s="65">
        <f t="shared" si="4"/>
        <v>-9725476</v>
      </c>
      <c r="I21" s="66">
        <f t="shared" si="4"/>
        <v>-25364923</v>
      </c>
      <c r="J21" s="37"/>
      <c r="K21" s="38"/>
      <c r="L21" s="60">
        <f t="shared" si="5"/>
        <v>-9725476</v>
      </c>
      <c r="M21" s="38">
        <f t="shared" si="5"/>
        <v>-25364923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2450</v>
      </c>
      <c r="E23" s="146">
        <v>6292</v>
      </c>
      <c r="F23" s="60">
        <f t="shared" si="6"/>
        <v>0</v>
      </c>
      <c r="G23" s="37">
        <f t="shared" si="6"/>
        <v>0</v>
      </c>
      <c r="H23" s="65">
        <f t="shared" si="4"/>
        <v>2450</v>
      </c>
      <c r="I23" s="66">
        <f t="shared" si="4"/>
        <v>6292</v>
      </c>
      <c r="J23" s="37"/>
      <c r="K23" s="38"/>
      <c r="L23" s="60">
        <f t="shared" si="5"/>
        <v>2450</v>
      </c>
      <c r="M23" s="38">
        <f t="shared" si="5"/>
        <v>6292</v>
      </c>
    </row>
    <row r="24" spans="1:13" x14ac:dyDescent="0.25">
      <c r="A24" s="9"/>
      <c r="B24" s="7" t="s">
        <v>33</v>
      </c>
      <c r="C24" s="6"/>
      <c r="D24" s="166">
        <v>-10536213</v>
      </c>
      <c r="E24" s="166">
        <v>-27560684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-10536213</v>
      </c>
      <c r="I24" s="39">
        <f>SUM(I19:I23)</f>
        <v>-27560684</v>
      </c>
      <c r="J24" s="133">
        <f t="shared" si="7"/>
        <v>0</v>
      </c>
      <c r="K24" s="39">
        <f t="shared" si="7"/>
        <v>0</v>
      </c>
      <c r="L24" s="61">
        <f t="shared" si="7"/>
        <v>-10536213</v>
      </c>
      <c r="M24" s="39">
        <f t="shared" si="7"/>
        <v>-27560684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-38096</v>
      </c>
      <c r="E32" s="146">
        <v>123685</v>
      </c>
      <c r="F32" s="60">
        <f>H32-D32</f>
        <v>0</v>
      </c>
      <c r="G32" s="37">
        <f>I32-E32</f>
        <v>0</v>
      </c>
      <c r="H32" s="65">
        <f t="shared" ref="H32:I35" si="9">D32</f>
        <v>-38096</v>
      </c>
      <c r="I32" s="66">
        <f t="shared" si="9"/>
        <v>123685</v>
      </c>
      <c r="J32" s="37"/>
      <c r="K32" s="38"/>
      <c r="L32" s="60">
        <f t="shared" ref="L32:M35" si="10">H32+J32</f>
        <v>-38096</v>
      </c>
      <c r="M32" s="38">
        <f t="shared" si="10"/>
        <v>123685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-38096</v>
      </c>
      <c r="E36" s="166">
        <v>123685</v>
      </c>
      <c r="F36" s="61">
        <f>SUM(F32:F35)</f>
        <v>0</v>
      </c>
      <c r="G36" s="39">
        <f>SUM(G32:G35)</f>
        <v>0</v>
      </c>
      <c r="H36" s="61">
        <f>SUM(H32:H35)</f>
        <v>-38096</v>
      </c>
      <c r="I36" s="39">
        <f>SUM(I32:I35)</f>
        <v>123685</v>
      </c>
      <c r="J36" s="133">
        <f>SUM(J32:J34)</f>
        <v>0</v>
      </c>
      <c r="K36" s="39">
        <f>SUM(K32:K34)</f>
        <v>0</v>
      </c>
      <c r="L36" s="61">
        <f>SUM(L32:L35)</f>
        <v>-38096</v>
      </c>
      <c r="M36" s="39">
        <f>SUM(M32:M35)</f>
        <v>123685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-19241</v>
      </c>
      <c r="E49" s="146">
        <v>-48947.420170052712</v>
      </c>
      <c r="F49" s="60">
        <f>H49-D49</f>
        <v>0</v>
      </c>
      <c r="G49" s="37">
        <f>I49-E49</f>
        <v>0</v>
      </c>
      <c r="H49" s="65">
        <f>D49</f>
        <v>-19241</v>
      </c>
      <c r="I49" s="66">
        <f>E49</f>
        <v>-48947.420170052712</v>
      </c>
      <c r="J49" s="37"/>
      <c r="K49" s="38"/>
      <c r="L49" s="60">
        <f>H49+J49</f>
        <v>-19241</v>
      </c>
      <c r="M49" s="38">
        <f>I49+K49</f>
        <v>-48947.420170052712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-2450</v>
      </c>
      <c r="E51" s="146">
        <v>-6292</v>
      </c>
      <c r="F51" s="60">
        <f>H51-D51</f>
        <v>0</v>
      </c>
      <c r="G51" s="37">
        <f>I51-E51</f>
        <v>0</v>
      </c>
      <c r="H51" s="65">
        <f>D51</f>
        <v>-2450</v>
      </c>
      <c r="I51" s="66">
        <f>E51</f>
        <v>-6292</v>
      </c>
      <c r="J51" s="37"/>
      <c r="K51" s="38"/>
      <c r="L51" s="60">
        <f>H51+J51</f>
        <v>-2450</v>
      </c>
      <c r="M51" s="38">
        <f>I51+K51</f>
        <v>-6292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-5682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-5682</v>
      </c>
      <c r="J54" s="37"/>
      <c r="K54" s="38"/>
      <c r="L54" s="60">
        <f>H54+J54</f>
        <v>0</v>
      </c>
      <c r="M54" s="38">
        <f>I54+K54</f>
        <v>-5682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-5682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-5682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-5682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-259749.41519999999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-259749.41519999999</v>
      </c>
      <c r="J70" s="37"/>
      <c r="K70" s="38"/>
      <c r="L70" s="60">
        <f t="shared" si="20"/>
        <v>0</v>
      </c>
      <c r="M70" s="38">
        <f t="shared" si="20"/>
        <v>-259749.41519999999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322864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322864</v>
      </c>
      <c r="J71" s="37"/>
      <c r="K71" s="38"/>
      <c r="L71" s="60">
        <f t="shared" si="20"/>
        <v>0</v>
      </c>
      <c r="M71" s="38">
        <f t="shared" si="20"/>
        <v>322864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63114.584800000011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63114.584800000011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63114.584800000011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80011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80011</v>
      </c>
      <c r="J74" s="37"/>
      <c r="K74" s="38"/>
      <c r="L74" s="60">
        <f t="shared" si="23"/>
        <v>0</v>
      </c>
      <c r="M74" s="38">
        <f t="shared" si="23"/>
        <v>80011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-6608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-6608</v>
      </c>
      <c r="J81" s="37"/>
      <c r="K81" s="38"/>
      <c r="L81" s="60">
        <f t="shared" si="23"/>
        <v>0</v>
      </c>
      <c r="M81" s="38">
        <f t="shared" si="23"/>
        <v>-6608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265484.1646299485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265484.1646299485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265484.1646299485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15465468</v>
      </c>
      <c r="E11" s="146">
        <v>41679437</v>
      </c>
      <c r="F11" s="60">
        <f>H11-D11</f>
        <v>0</v>
      </c>
      <c r="G11" s="37">
        <f>I11-E11</f>
        <v>0</v>
      </c>
      <c r="H11" s="65">
        <f t="shared" ref="H11:I15" si="0">D11</f>
        <v>15465468</v>
      </c>
      <c r="I11" s="66">
        <f t="shared" si="0"/>
        <v>41679437</v>
      </c>
      <c r="J11" s="37"/>
      <c r="K11" s="38"/>
      <c r="L11" s="60">
        <f t="shared" ref="L11:M15" si="1">H11+J11</f>
        <v>15465468</v>
      </c>
      <c r="M11" s="38">
        <f t="shared" si="1"/>
        <v>41679437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21293649</v>
      </c>
      <c r="E13" s="146">
        <v>55351498</v>
      </c>
      <c r="F13" s="60">
        <f t="shared" si="2"/>
        <v>0</v>
      </c>
      <c r="G13" s="37">
        <f t="shared" si="2"/>
        <v>0</v>
      </c>
      <c r="H13" s="65">
        <f t="shared" si="0"/>
        <v>21293649</v>
      </c>
      <c r="I13" s="66">
        <f t="shared" si="0"/>
        <v>55351498</v>
      </c>
      <c r="J13" s="37"/>
      <c r="K13" s="38"/>
      <c r="L13" s="60">
        <f t="shared" si="1"/>
        <v>21293649</v>
      </c>
      <c r="M13" s="38">
        <f t="shared" si="1"/>
        <v>55351498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36759117</v>
      </c>
      <c r="E16" s="166">
        <v>97030935</v>
      </c>
      <c r="F16" s="61">
        <f t="shared" ref="F16:M16" si="3">SUM(F11:F15)</f>
        <v>0</v>
      </c>
      <c r="G16" s="39">
        <f t="shared" si="3"/>
        <v>0</v>
      </c>
      <c r="H16" s="61">
        <f>SUM(H11:H15)</f>
        <v>36759117</v>
      </c>
      <c r="I16" s="39">
        <f>SUM(I11:I15)</f>
        <v>97030935</v>
      </c>
      <c r="J16" s="133">
        <f t="shared" si="3"/>
        <v>0</v>
      </c>
      <c r="K16" s="39">
        <f t="shared" si="3"/>
        <v>0</v>
      </c>
      <c r="L16" s="61">
        <f t="shared" si="3"/>
        <v>36759117</v>
      </c>
      <c r="M16" s="39">
        <f t="shared" si="3"/>
        <v>97030935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-8950787</v>
      </c>
      <c r="E19" s="146">
        <v>-23395546</v>
      </c>
      <c r="F19" s="60">
        <f>H19-D19</f>
        <v>0</v>
      </c>
      <c r="G19" s="37">
        <f>I19-E19</f>
        <v>0</v>
      </c>
      <c r="H19" s="65">
        <f t="shared" si="4"/>
        <v>-8950787</v>
      </c>
      <c r="I19" s="66">
        <f t="shared" si="4"/>
        <v>-23395546</v>
      </c>
      <c r="J19" s="37">
        <v>0</v>
      </c>
      <c r="K19" s="38">
        <v>0</v>
      </c>
      <c r="L19" s="60">
        <f t="shared" ref="L19:M23" si="5">H19+J19</f>
        <v>-8950787</v>
      </c>
      <c r="M19" s="38">
        <f t="shared" si="5"/>
        <v>-23395546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-28092979</v>
      </c>
      <c r="E21" s="146">
        <v>-73058872</v>
      </c>
      <c r="F21" s="60">
        <f t="shared" si="6"/>
        <v>0</v>
      </c>
      <c r="G21" s="37">
        <f t="shared" si="6"/>
        <v>0</v>
      </c>
      <c r="H21" s="65">
        <f t="shared" si="4"/>
        <v>-28092979</v>
      </c>
      <c r="I21" s="66">
        <f t="shared" si="4"/>
        <v>-73058872</v>
      </c>
      <c r="J21" s="37"/>
      <c r="K21" s="38"/>
      <c r="L21" s="60">
        <f t="shared" si="5"/>
        <v>-28092979</v>
      </c>
      <c r="M21" s="38">
        <f t="shared" si="5"/>
        <v>-73058872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290458</v>
      </c>
      <c r="E23" s="146">
        <v>748647</v>
      </c>
      <c r="F23" s="60">
        <f t="shared" si="6"/>
        <v>0</v>
      </c>
      <c r="G23" s="37">
        <f t="shared" si="6"/>
        <v>0</v>
      </c>
      <c r="H23" s="65">
        <f t="shared" si="4"/>
        <v>290458</v>
      </c>
      <c r="I23" s="66">
        <f t="shared" si="4"/>
        <v>748647</v>
      </c>
      <c r="J23" s="37"/>
      <c r="K23" s="38"/>
      <c r="L23" s="60">
        <f t="shared" si="5"/>
        <v>290458</v>
      </c>
      <c r="M23" s="38">
        <f t="shared" si="5"/>
        <v>748647</v>
      </c>
    </row>
    <row r="24" spans="1:13" x14ac:dyDescent="0.25">
      <c r="A24" s="9"/>
      <c r="B24" s="7" t="s">
        <v>33</v>
      </c>
      <c r="C24" s="6"/>
      <c r="D24" s="166">
        <v>-36753308</v>
      </c>
      <c r="E24" s="166">
        <v>-95705771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-36753308</v>
      </c>
      <c r="I24" s="39">
        <f>SUM(I19:I23)</f>
        <v>-95705771</v>
      </c>
      <c r="J24" s="133">
        <f t="shared" si="7"/>
        <v>0</v>
      </c>
      <c r="K24" s="39">
        <f t="shared" si="7"/>
        <v>0</v>
      </c>
      <c r="L24" s="61">
        <f t="shared" si="7"/>
        <v>-36753308</v>
      </c>
      <c r="M24" s="39">
        <f t="shared" si="7"/>
        <v>-95705771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-5809</v>
      </c>
      <c r="E49" s="146">
        <v>-15213.289464971507</v>
      </c>
      <c r="F49" s="60">
        <f>H49-D49</f>
        <v>0</v>
      </c>
      <c r="G49" s="37">
        <f>I49-E49</f>
        <v>0</v>
      </c>
      <c r="H49" s="65">
        <f>D49</f>
        <v>-5809</v>
      </c>
      <c r="I49" s="66">
        <f>E49</f>
        <v>-15213.289464971507</v>
      </c>
      <c r="J49" s="37"/>
      <c r="K49" s="38"/>
      <c r="L49" s="60">
        <f>H49+J49</f>
        <v>-5809</v>
      </c>
      <c r="M49" s="38">
        <f>I49+K49</f>
        <v>-15213.289464971507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-290458</v>
      </c>
      <c r="E51" s="146">
        <v>-748647</v>
      </c>
      <c r="F51" s="60">
        <f>H51-D51</f>
        <v>0</v>
      </c>
      <c r="G51" s="37">
        <f>I51-E51</f>
        <v>0</v>
      </c>
      <c r="H51" s="65">
        <f>D51</f>
        <v>-290458</v>
      </c>
      <c r="I51" s="66">
        <f>E51</f>
        <v>-748647</v>
      </c>
      <c r="J51" s="37"/>
      <c r="K51" s="38"/>
      <c r="L51" s="60">
        <f>H51+J51</f>
        <v>-290458</v>
      </c>
      <c r="M51" s="38">
        <f>I51+K51</f>
        <v>-748647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-144172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-144172</v>
      </c>
      <c r="J54" s="37"/>
      <c r="K54" s="38"/>
      <c r="L54" s="60">
        <f>H54+J54</f>
        <v>0</v>
      </c>
      <c r="M54" s="38">
        <f>I54+K54</f>
        <v>-144172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-144172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-144172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-144172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8290600.942900002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8290600.942900002</v>
      </c>
      <c r="J70" s="37"/>
      <c r="K70" s="38"/>
      <c r="L70" s="60">
        <f t="shared" si="20"/>
        <v>0</v>
      </c>
      <c r="M70" s="38">
        <f t="shared" si="20"/>
        <v>8290600.942900002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-12262546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-12262546</v>
      </c>
      <c r="J71" s="37"/>
      <c r="K71" s="38"/>
      <c r="L71" s="60">
        <f t="shared" si="20"/>
        <v>0</v>
      </c>
      <c r="M71" s="38">
        <f t="shared" si="20"/>
        <v>-12262546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-3971945.057099998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-3971945.057099998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-3971945.057099998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3159746.0570999999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3159746.0570999999</v>
      </c>
      <c r="J74" s="37"/>
      <c r="K74" s="38"/>
      <c r="L74" s="60">
        <f t="shared" si="23"/>
        <v>0</v>
      </c>
      <c r="M74" s="38">
        <f t="shared" si="23"/>
        <v>3159746.0570999999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46882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46882</v>
      </c>
      <c r="J81" s="37"/>
      <c r="K81" s="38"/>
      <c r="L81" s="60">
        <f t="shared" si="23"/>
        <v>0</v>
      </c>
      <c r="M81" s="38">
        <f t="shared" si="23"/>
        <v>46882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-348185.28946497152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-348185.28946497152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-348185.28946497152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I77" sqref="I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3">
        <v>179966793</v>
      </c>
      <c r="E11" s="213">
        <v>512032518.36309409</v>
      </c>
      <c r="F11" s="60">
        <f>H11-D11</f>
        <v>0</v>
      </c>
      <c r="G11" s="37">
        <f>I11-E11</f>
        <v>0</v>
      </c>
      <c r="H11" s="65">
        <f>D11</f>
        <v>179966793</v>
      </c>
      <c r="I11" s="66">
        <f>E11</f>
        <v>512032518.36309409</v>
      </c>
      <c r="J11" s="60"/>
      <c r="K11" s="38"/>
      <c r="L11" s="60">
        <f t="shared" ref="L11:M15" si="0">H11+J11</f>
        <v>179966793</v>
      </c>
      <c r="M11" s="38">
        <f t="shared" si="0"/>
        <v>512032518.36309409</v>
      </c>
    </row>
    <row r="12" spans="1:26" x14ac:dyDescent="0.25">
      <c r="A12" s="9">
        <v>2</v>
      </c>
      <c r="B12" s="7"/>
      <c r="C12" s="18" t="s">
        <v>26</v>
      </c>
      <c r="D12" s="213">
        <v>0</v>
      </c>
      <c r="E12" s="213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3">
        <v>59448522</v>
      </c>
      <c r="E13" s="213">
        <v>164486618</v>
      </c>
      <c r="F13" s="60">
        <f t="shared" si="1"/>
        <v>0</v>
      </c>
      <c r="G13" s="37">
        <f t="shared" si="1"/>
        <v>0</v>
      </c>
      <c r="H13" s="65">
        <f t="shared" si="2"/>
        <v>59448522</v>
      </c>
      <c r="I13" s="66">
        <f t="shared" si="2"/>
        <v>164486618</v>
      </c>
      <c r="J13" s="60"/>
      <c r="K13" s="38"/>
      <c r="L13" s="60">
        <f t="shared" si="0"/>
        <v>59448522</v>
      </c>
      <c r="M13" s="38">
        <f t="shared" si="0"/>
        <v>164486618</v>
      </c>
    </row>
    <row r="14" spans="1:26" x14ac:dyDescent="0.25">
      <c r="A14" s="9">
        <v>4</v>
      </c>
      <c r="B14" s="7"/>
      <c r="C14" s="18" t="s">
        <v>28</v>
      </c>
      <c r="D14" s="213">
        <v>0</v>
      </c>
      <c r="E14" s="213">
        <v>-464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-464</v>
      </c>
      <c r="J14" s="60"/>
      <c r="K14" s="38"/>
      <c r="L14" s="60">
        <f t="shared" si="0"/>
        <v>0</v>
      </c>
      <c r="M14" s="38">
        <f t="shared" si="0"/>
        <v>-464</v>
      </c>
    </row>
    <row r="15" spans="1:26" x14ac:dyDescent="0.25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4">
        <v>239415315</v>
      </c>
      <c r="E16" s="214">
        <v>676518672.36309409</v>
      </c>
      <c r="F16" s="61">
        <f t="shared" ref="F16:M16" si="3">SUM(F11:F15)</f>
        <v>0</v>
      </c>
      <c r="G16" s="39">
        <f t="shared" si="3"/>
        <v>0</v>
      </c>
      <c r="H16" s="61">
        <f>SUM(H11:H15)</f>
        <v>239415315</v>
      </c>
      <c r="I16" s="39">
        <f>SUM(I11:I15)</f>
        <v>676518672.36309409</v>
      </c>
      <c r="J16" s="61">
        <f t="shared" si="3"/>
        <v>0</v>
      </c>
      <c r="K16" s="39">
        <f t="shared" si="3"/>
        <v>0</v>
      </c>
      <c r="L16" s="61">
        <f t="shared" si="3"/>
        <v>239415315</v>
      </c>
      <c r="M16" s="39">
        <f t="shared" si="3"/>
        <v>676518672.36309409</v>
      </c>
    </row>
    <row r="17" spans="1:13" x14ac:dyDescent="0.25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3">
        <v>-175816045</v>
      </c>
      <c r="E19" s="213">
        <v>-489912407</v>
      </c>
      <c r="F19" s="60">
        <f>H19-D19</f>
        <v>0</v>
      </c>
      <c r="G19" s="37">
        <f>I19-E19</f>
        <v>0</v>
      </c>
      <c r="H19" s="65">
        <f t="shared" si="4"/>
        <v>-175816045</v>
      </c>
      <c r="I19" s="66">
        <f t="shared" si="4"/>
        <v>-489912407</v>
      </c>
      <c r="J19" s="60"/>
      <c r="K19" s="38"/>
      <c r="L19" s="60">
        <f t="shared" ref="L19:M23" si="5">H19+J19</f>
        <v>-175816045</v>
      </c>
      <c r="M19" s="38">
        <f t="shared" si="5"/>
        <v>-489912407</v>
      </c>
    </row>
    <row r="20" spans="1:13" x14ac:dyDescent="0.25">
      <c r="A20" s="9">
        <v>7</v>
      </c>
      <c r="B20" s="7"/>
      <c r="C20" s="18" t="s">
        <v>26</v>
      </c>
      <c r="D20" s="213">
        <v>0</v>
      </c>
      <c r="E20" s="213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3">
        <v>-65865685</v>
      </c>
      <c r="E21" s="213">
        <v>-186824785</v>
      </c>
      <c r="F21" s="60">
        <f t="shared" si="6"/>
        <v>0</v>
      </c>
      <c r="G21" s="37">
        <f t="shared" si="6"/>
        <v>0</v>
      </c>
      <c r="H21" s="65">
        <f t="shared" si="4"/>
        <v>-65865685</v>
      </c>
      <c r="I21" s="66">
        <f t="shared" si="4"/>
        <v>-186824785</v>
      </c>
      <c r="J21" s="60"/>
      <c r="K21" s="38"/>
      <c r="L21" s="60">
        <f t="shared" si="5"/>
        <v>-65865685</v>
      </c>
      <c r="M21" s="38">
        <f t="shared" si="5"/>
        <v>-186824785</v>
      </c>
    </row>
    <row r="22" spans="1:13" x14ac:dyDescent="0.25">
      <c r="A22" s="9">
        <v>9</v>
      </c>
      <c r="B22" s="7"/>
      <c r="C22" s="18" t="s">
        <v>28</v>
      </c>
      <c r="D22" s="213">
        <v>0</v>
      </c>
      <c r="E22" s="213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3">
        <v>699964</v>
      </c>
      <c r="E23" s="213">
        <v>1882599</v>
      </c>
      <c r="F23" s="60">
        <f t="shared" si="6"/>
        <v>0</v>
      </c>
      <c r="G23" s="37">
        <f t="shared" si="6"/>
        <v>0</v>
      </c>
      <c r="H23" s="65">
        <f t="shared" si="4"/>
        <v>699964</v>
      </c>
      <c r="I23" s="66">
        <f t="shared" si="4"/>
        <v>1882599</v>
      </c>
      <c r="J23" s="60"/>
      <c r="K23" s="38"/>
      <c r="L23" s="60">
        <f t="shared" si="5"/>
        <v>699964</v>
      </c>
      <c r="M23" s="38">
        <f t="shared" si="5"/>
        <v>1882599</v>
      </c>
    </row>
    <row r="24" spans="1:13" x14ac:dyDescent="0.25">
      <c r="A24" s="9"/>
      <c r="B24" s="7" t="s">
        <v>33</v>
      </c>
      <c r="C24" s="6"/>
      <c r="D24" s="214">
        <v>-240981766</v>
      </c>
      <c r="E24" s="214">
        <v>-674854593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-240981766</v>
      </c>
      <c r="I24" s="39">
        <f>SUM(I19:I23)</f>
        <v>-674854593</v>
      </c>
      <c r="J24" s="61">
        <f t="shared" si="7"/>
        <v>0</v>
      </c>
      <c r="K24" s="39">
        <f t="shared" si="7"/>
        <v>0</v>
      </c>
      <c r="L24" s="61">
        <f t="shared" si="7"/>
        <v>-240981766</v>
      </c>
      <c r="M24" s="39">
        <f t="shared" si="7"/>
        <v>-674854593</v>
      </c>
    </row>
    <row r="25" spans="1:13" x14ac:dyDescent="0.25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3">
        <v>0</v>
      </c>
      <c r="E27" s="213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3">
        <v>0</v>
      </c>
      <c r="E28" s="213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3">
        <v>7715</v>
      </c>
      <c r="E32" s="213">
        <v>21673</v>
      </c>
      <c r="F32" s="60">
        <f>H32-D32</f>
        <v>0</v>
      </c>
      <c r="G32" s="37">
        <f>I32-E32</f>
        <v>0</v>
      </c>
      <c r="H32" s="65">
        <f t="shared" ref="H32:I35" si="9">D32</f>
        <v>7715</v>
      </c>
      <c r="I32" s="66">
        <f t="shared" si="9"/>
        <v>21673</v>
      </c>
      <c r="J32" s="60"/>
      <c r="K32" s="38"/>
      <c r="L32" s="60">
        <f t="shared" ref="L32:M35" si="10">H32+J32</f>
        <v>7715</v>
      </c>
      <c r="M32" s="38">
        <f t="shared" si="10"/>
        <v>21673</v>
      </c>
    </row>
    <row r="33" spans="1:13" x14ac:dyDescent="0.25">
      <c r="A33" s="9">
        <v>14</v>
      </c>
      <c r="B33" s="7"/>
      <c r="C33" s="18" t="s">
        <v>40</v>
      </c>
      <c r="D33" s="213">
        <v>1074878</v>
      </c>
      <c r="E33" s="213">
        <v>2684870</v>
      </c>
      <c r="F33" s="60">
        <f t="shared" ref="F33:G35" si="11">H33-D33</f>
        <v>0</v>
      </c>
      <c r="G33" s="37">
        <f t="shared" si="11"/>
        <v>0</v>
      </c>
      <c r="H33" s="65">
        <f t="shared" si="9"/>
        <v>1074878</v>
      </c>
      <c r="I33" s="66">
        <f t="shared" si="9"/>
        <v>2684870</v>
      </c>
      <c r="J33" s="60"/>
      <c r="K33" s="38"/>
      <c r="L33" s="60">
        <f t="shared" si="10"/>
        <v>1074878</v>
      </c>
      <c r="M33" s="38">
        <f t="shared" si="10"/>
        <v>2684870</v>
      </c>
    </row>
    <row r="34" spans="1:13" x14ac:dyDescent="0.25">
      <c r="A34" s="9">
        <v>15</v>
      </c>
      <c r="B34" s="7"/>
      <c r="C34" s="18" t="s">
        <v>41</v>
      </c>
      <c r="D34" s="213">
        <v>-715382</v>
      </c>
      <c r="E34" s="213">
        <v>-1813230</v>
      </c>
      <c r="F34" s="60">
        <f t="shared" si="11"/>
        <v>0</v>
      </c>
      <c r="G34" s="37">
        <f t="shared" si="11"/>
        <v>0</v>
      </c>
      <c r="H34" s="65">
        <f t="shared" si="9"/>
        <v>-715382</v>
      </c>
      <c r="I34" s="66">
        <f t="shared" si="9"/>
        <v>-1813230</v>
      </c>
      <c r="J34" s="60"/>
      <c r="K34" s="38"/>
      <c r="L34" s="60">
        <f t="shared" si="10"/>
        <v>-715382</v>
      </c>
      <c r="M34" s="38">
        <f t="shared" si="10"/>
        <v>-1813230</v>
      </c>
    </row>
    <row r="35" spans="1:13" x14ac:dyDescent="0.25">
      <c r="A35" s="9">
        <v>16</v>
      </c>
      <c r="B35" s="7"/>
      <c r="C35" s="18" t="s">
        <v>42</v>
      </c>
      <c r="D35" s="213">
        <v>-673965</v>
      </c>
      <c r="E35" s="213">
        <v>-1072809</v>
      </c>
      <c r="F35" s="60">
        <f t="shared" si="11"/>
        <v>0</v>
      </c>
      <c r="G35" s="37">
        <f t="shared" si="11"/>
        <v>0</v>
      </c>
      <c r="H35" s="65">
        <f t="shared" si="9"/>
        <v>-673965</v>
      </c>
      <c r="I35" s="66">
        <f t="shared" si="9"/>
        <v>-1072809</v>
      </c>
      <c r="J35" s="60"/>
      <c r="K35" s="38"/>
      <c r="L35" s="60">
        <f t="shared" si="10"/>
        <v>-673965</v>
      </c>
      <c r="M35" s="38">
        <f t="shared" si="10"/>
        <v>-1072809</v>
      </c>
    </row>
    <row r="36" spans="1:13" x14ac:dyDescent="0.25">
      <c r="A36" s="9"/>
      <c r="B36" s="7" t="s">
        <v>43</v>
      </c>
      <c r="C36" s="6"/>
      <c r="D36" s="214">
        <v>-306754</v>
      </c>
      <c r="E36" s="214">
        <v>-179496</v>
      </c>
      <c r="F36" s="61">
        <f>SUM(F32:F35)</f>
        <v>0</v>
      </c>
      <c r="G36" s="39">
        <f>SUM(G32:G35)</f>
        <v>0</v>
      </c>
      <c r="H36" s="61">
        <f>SUM(H32:H35)</f>
        <v>-306754</v>
      </c>
      <c r="I36" s="39">
        <f>SUM(I32:I35)</f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5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3">
        <v>755678</v>
      </c>
      <c r="E39" s="213">
        <v>1971756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755678</v>
      </c>
      <c r="I39" s="66">
        <f t="shared" si="12"/>
        <v>1971756</v>
      </c>
      <c r="J39" s="60"/>
      <c r="K39" s="38"/>
      <c r="L39" s="60">
        <f t="shared" ref="L39:M41" si="14">H39+J39</f>
        <v>755678</v>
      </c>
      <c r="M39" s="38">
        <f t="shared" si="14"/>
        <v>1971756</v>
      </c>
    </row>
    <row r="40" spans="1:13" ht="22.5" customHeight="1" x14ac:dyDescent="0.25">
      <c r="A40" s="9">
        <v>18</v>
      </c>
      <c r="B40" s="7"/>
      <c r="C40" s="18" t="s">
        <v>46</v>
      </c>
      <c r="D40" s="213">
        <v>-1883830</v>
      </c>
      <c r="E40" s="213">
        <v>-5156650</v>
      </c>
      <c r="F40" s="60">
        <f t="shared" si="13"/>
        <v>0</v>
      </c>
      <c r="G40" s="37">
        <f t="shared" si="13"/>
        <v>0</v>
      </c>
      <c r="H40" s="65">
        <f t="shared" si="12"/>
        <v>-1883830</v>
      </c>
      <c r="I40" s="66">
        <f t="shared" si="12"/>
        <v>-5156650</v>
      </c>
      <c r="J40" s="60"/>
      <c r="K40" s="38"/>
      <c r="L40" s="60">
        <f t="shared" si="14"/>
        <v>-1883830</v>
      </c>
      <c r="M40" s="38">
        <f t="shared" si="14"/>
        <v>-5156650</v>
      </c>
    </row>
    <row r="41" spans="1:13" x14ac:dyDescent="0.25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4">
        <v>-1883830</v>
      </c>
      <c r="E42" s="214">
        <v>-5156650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-1883830</v>
      </c>
      <c r="I42" s="39">
        <f>SUM(I40:I41)</f>
        <v>-5156650</v>
      </c>
      <c r="J42" s="61">
        <f t="shared" si="15"/>
        <v>0</v>
      </c>
      <c r="K42" s="39">
        <f t="shared" si="15"/>
        <v>0</v>
      </c>
      <c r="L42" s="61">
        <f t="shared" si="15"/>
        <v>-1883830</v>
      </c>
      <c r="M42" s="39">
        <f t="shared" si="15"/>
        <v>-5156650</v>
      </c>
    </row>
    <row r="43" spans="1:13" ht="21" customHeight="1" x14ac:dyDescent="0.25">
      <c r="A43" s="9"/>
      <c r="B43" s="7" t="s">
        <v>49</v>
      </c>
      <c r="C43" s="6"/>
      <c r="D43" s="214">
        <v>-1128152</v>
      </c>
      <c r="E43" s="214">
        <v>-3184894</v>
      </c>
      <c r="F43" s="61">
        <f t="shared" ref="F43:M43" si="16">F42+F39</f>
        <v>0</v>
      </c>
      <c r="G43" s="39">
        <f t="shared" si="16"/>
        <v>0</v>
      </c>
      <c r="H43" s="61">
        <f>H42+H39</f>
        <v>-1128152</v>
      </c>
      <c r="I43" s="39">
        <f>I42+I39</f>
        <v>-3184894</v>
      </c>
      <c r="J43" s="61">
        <f t="shared" si="16"/>
        <v>0</v>
      </c>
      <c r="K43" s="39">
        <f t="shared" si="16"/>
        <v>0</v>
      </c>
      <c r="L43" s="61">
        <f t="shared" si="16"/>
        <v>-1128152</v>
      </c>
      <c r="M43" s="39">
        <f t="shared" si="16"/>
        <v>-3184894</v>
      </c>
    </row>
    <row r="44" spans="1:13" x14ac:dyDescent="0.25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5">
        <v>0</v>
      </c>
      <c r="E46" s="21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5">
        <v>0</v>
      </c>
      <c r="E48" s="21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3">
        <v>3061357</v>
      </c>
      <c r="E49" s="213">
        <v>8033244.6936061457</v>
      </c>
      <c r="F49" s="60">
        <f>H49-D49</f>
        <v>0</v>
      </c>
      <c r="G49" s="37">
        <f>I49-E49</f>
        <v>0</v>
      </c>
      <c r="H49" s="65">
        <f>D49</f>
        <v>3061357</v>
      </c>
      <c r="I49" s="66">
        <f>E49</f>
        <v>8033244.6936061457</v>
      </c>
      <c r="J49" s="60"/>
      <c r="K49" s="38"/>
      <c r="L49" s="60">
        <f>H49+J49</f>
        <v>3061357</v>
      </c>
      <c r="M49" s="38">
        <f>I49+K49</f>
        <v>8033244.6936061457</v>
      </c>
    </row>
    <row r="50" spans="1:15" x14ac:dyDescent="0.25">
      <c r="A50" s="9"/>
      <c r="B50" s="7"/>
      <c r="C50" s="6"/>
      <c r="D50" s="215">
        <v>0</v>
      </c>
      <c r="E50" s="21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3">
        <v>-699964</v>
      </c>
      <c r="E51" s="213">
        <v>-1882599</v>
      </c>
      <c r="F51" s="60">
        <f>H51-D51</f>
        <v>0</v>
      </c>
      <c r="G51" s="37">
        <f>I51-E51</f>
        <v>0</v>
      </c>
      <c r="H51" s="65">
        <f>D51</f>
        <v>-699964</v>
      </c>
      <c r="I51" s="66">
        <f>E51</f>
        <v>-1882599</v>
      </c>
      <c r="J51" s="60"/>
      <c r="K51" s="38"/>
      <c r="L51" s="60">
        <f>H51+J51</f>
        <v>-699964</v>
      </c>
      <c r="M51" s="38">
        <f>I51+K51</f>
        <v>-1882599</v>
      </c>
    </row>
    <row r="52" spans="1:15" x14ac:dyDescent="0.25">
      <c r="A52" s="9"/>
      <c r="B52" s="7"/>
      <c r="C52" s="6"/>
      <c r="D52" s="215">
        <v>0</v>
      </c>
      <c r="E52" s="21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5">
        <v>0</v>
      </c>
      <c r="E53" s="21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3">
        <v>0</v>
      </c>
      <c r="E54" s="213">
        <v>-1589098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-1589098</v>
      </c>
      <c r="J54" s="60"/>
      <c r="K54" s="38"/>
      <c r="L54" s="60">
        <f>H54+J54</f>
        <v>0</v>
      </c>
      <c r="M54" s="38">
        <f>I54+K54</f>
        <v>-1589098</v>
      </c>
    </row>
    <row r="55" spans="1:15" x14ac:dyDescent="0.25">
      <c r="A55" s="9">
        <v>25</v>
      </c>
      <c r="B55" s="7"/>
      <c r="C55" s="18" t="s">
        <v>56</v>
      </c>
      <c r="D55" s="213">
        <v>0</v>
      </c>
      <c r="E55" s="213">
        <v>-1289833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-1289833</v>
      </c>
      <c r="J55" s="60"/>
      <c r="K55" s="38"/>
      <c r="L55" s="60">
        <f>H55+J55</f>
        <v>0</v>
      </c>
      <c r="M55" s="38">
        <f>I55+K55</f>
        <v>-1289833</v>
      </c>
    </row>
    <row r="56" spans="1:15" x14ac:dyDescent="0.25">
      <c r="A56" s="9"/>
      <c r="B56" s="7" t="s">
        <v>57</v>
      </c>
      <c r="C56" s="6"/>
      <c r="D56" s="214">
        <v>0</v>
      </c>
      <c r="E56" s="214">
        <v>-2878931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-2878931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-2878931</v>
      </c>
    </row>
    <row r="57" spans="1:15" x14ac:dyDescent="0.25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3">
        <v>0</v>
      </c>
      <c r="E60" s="213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214">
        <v>0</v>
      </c>
      <c r="E61" s="214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3">
        <v>0</v>
      </c>
      <c r="E64" s="213">
        <v>29080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29080</v>
      </c>
      <c r="J64" s="60"/>
      <c r="K64" s="38"/>
      <c r="L64" s="60">
        <f>H64+J64</f>
        <v>0</v>
      </c>
      <c r="M64" s="38">
        <f>I64+K64</f>
        <v>29080</v>
      </c>
    </row>
    <row r="65" spans="1:13" x14ac:dyDescent="0.25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4">
        <v>0</v>
      </c>
      <c r="E66" s="214">
        <v>29080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29080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29080</v>
      </c>
    </row>
    <row r="67" spans="1:13" x14ac:dyDescent="0.25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3">
        <v>0</v>
      </c>
      <c r="E70" s="213">
        <v>563222.05070000049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563222.05070000049</v>
      </c>
      <c r="J70" s="60"/>
      <c r="K70" s="38"/>
      <c r="L70" s="60">
        <f>H70+J70</f>
        <v>0</v>
      </c>
      <c r="M70" s="38">
        <f>I70+K70</f>
        <v>563222.05070000049</v>
      </c>
    </row>
    <row r="71" spans="1:13" x14ac:dyDescent="0.25">
      <c r="A71" s="9">
        <v>31</v>
      </c>
      <c r="B71" s="3"/>
      <c r="C71" s="10" t="s">
        <v>68</v>
      </c>
      <c r="D71" s="213">
        <v>0</v>
      </c>
      <c r="E71" s="213">
        <v>-12755359.895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-12755359.895</v>
      </c>
      <c r="J71" s="60"/>
      <c r="K71" s="38"/>
      <c r="L71" s="60">
        <f>H71+J71</f>
        <v>0</v>
      </c>
      <c r="M71" s="38">
        <f>I71+K71</f>
        <v>-12755359.895</v>
      </c>
    </row>
    <row r="72" spans="1:13" x14ac:dyDescent="0.25">
      <c r="A72" s="9"/>
      <c r="B72" s="3"/>
      <c r="C72" s="55" t="s">
        <v>69</v>
      </c>
      <c r="D72" s="214">
        <v>0</v>
      </c>
      <c r="E72" s="214">
        <v>-12192137.844299998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-12192137.844299998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-12192137.844299998</v>
      </c>
    </row>
    <row r="73" spans="1:13" x14ac:dyDescent="0.25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3">
        <v>0</v>
      </c>
      <c r="E74" s="213">
        <v>4006930.7836999996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4006930.7836999996</v>
      </c>
      <c r="J74" s="60"/>
      <c r="K74" s="38"/>
      <c r="L74" s="60">
        <f t="shared" si="22"/>
        <v>0</v>
      </c>
      <c r="M74" s="38">
        <f t="shared" si="22"/>
        <v>4006930.7836999996</v>
      </c>
    </row>
    <row r="75" spans="1:13" x14ac:dyDescent="0.25">
      <c r="A75" s="9">
        <v>34</v>
      </c>
      <c r="B75" s="3"/>
      <c r="C75" s="10" t="s">
        <v>72</v>
      </c>
      <c r="D75" s="213">
        <v>0</v>
      </c>
      <c r="E75" s="213">
        <v>9351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9351</v>
      </c>
      <c r="J75" s="60"/>
      <c r="K75" s="38"/>
      <c r="L75" s="60">
        <f t="shared" si="22"/>
        <v>0</v>
      </c>
      <c r="M75" s="38">
        <f t="shared" si="22"/>
        <v>9351</v>
      </c>
    </row>
    <row r="76" spans="1:13" x14ac:dyDescent="0.25">
      <c r="A76" s="9">
        <v>35</v>
      </c>
      <c r="B76" s="3"/>
      <c r="C76" s="10" t="s">
        <v>73</v>
      </c>
      <c r="D76" s="213">
        <v>0</v>
      </c>
      <c r="E76" s="213">
        <v>-16608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-16608</v>
      </c>
      <c r="J76" s="60"/>
      <c r="K76" s="38"/>
      <c r="L76" s="60">
        <f t="shared" si="22"/>
        <v>0</v>
      </c>
      <c r="M76" s="38">
        <f t="shared" si="22"/>
        <v>-16608</v>
      </c>
    </row>
    <row r="77" spans="1:13" x14ac:dyDescent="0.25">
      <c r="A77" s="9">
        <v>36</v>
      </c>
      <c r="B77" s="3"/>
      <c r="C77" s="10" t="s">
        <v>74</v>
      </c>
      <c r="D77" s="213">
        <v>0</v>
      </c>
      <c r="E77" s="213">
        <v>-16809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-16809</v>
      </c>
      <c r="J77" s="60"/>
      <c r="K77" s="38"/>
      <c r="L77" s="60">
        <f t="shared" si="22"/>
        <v>0</v>
      </c>
      <c r="M77" s="38">
        <f t="shared" si="22"/>
        <v>-16809</v>
      </c>
    </row>
    <row r="78" spans="1:13" x14ac:dyDescent="0.25">
      <c r="A78" s="9">
        <v>37</v>
      </c>
      <c r="B78" s="3"/>
      <c r="C78" s="10" t="s">
        <v>75</v>
      </c>
      <c r="D78" s="213">
        <v>0</v>
      </c>
      <c r="E78" s="213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3">
        <v>0</v>
      </c>
      <c r="E80" s="213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213">
        <v>0</v>
      </c>
      <c r="E81" s="213">
        <v>307947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307947</v>
      </c>
      <c r="J81" s="60"/>
      <c r="K81" s="38"/>
      <c r="L81" s="60">
        <f t="shared" si="22"/>
        <v>0</v>
      </c>
      <c r="M81" s="38">
        <f t="shared" si="22"/>
        <v>307947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60000</v>
      </c>
      <c r="E82" s="141">
        <f>SUM(E72:E81)+E16+E24+E29+E36+E43+E45+E47+E49+E51+E56+E61+E66</f>
        <v>-6360427.24889981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5">
        <f>SUM(I72:I81)+I16+I24+I29+I36+I43+I45+I47+I49+I51+I56+I61+I66</f>
        <v>-6360427.24889981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-6360427.24889981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60000</v>
      </c>
      <c r="E91" s="156">
        <f t="shared" ref="E91:M91" si="27">+E82+E89</f>
        <v>-6016290.24889981</v>
      </c>
      <c r="F91" s="156">
        <f t="shared" si="27"/>
        <v>0</v>
      </c>
      <c r="G91" s="156">
        <f t="shared" si="27"/>
        <v>0</v>
      </c>
      <c r="H91" s="156">
        <f t="shared" si="27"/>
        <v>60000</v>
      </c>
      <c r="I91" s="156">
        <f t="shared" si="27"/>
        <v>-6016290.24889981</v>
      </c>
      <c r="J91" s="156">
        <f t="shared" si="27"/>
        <v>0</v>
      </c>
      <c r="K91" s="156">
        <f t="shared" si="27"/>
        <v>0</v>
      </c>
      <c r="L91" s="156">
        <f t="shared" si="27"/>
        <v>60000</v>
      </c>
      <c r="M91" s="156">
        <f t="shared" si="27"/>
        <v>-6016290.24889981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16180985</v>
      </c>
      <c r="E11" s="65">
        <v>42909911.636905923</v>
      </c>
      <c r="F11" s="65">
        <f>H11-D11</f>
        <v>0</v>
      </c>
      <c r="G11" s="63">
        <f>I11-E11</f>
        <v>0</v>
      </c>
      <c r="H11" s="65">
        <f>D11</f>
        <v>16180985</v>
      </c>
      <c r="I11" s="66">
        <f>E11</f>
        <v>42909911.636905923</v>
      </c>
      <c r="J11" s="60"/>
      <c r="K11" s="38"/>
      <c r="L11" s="60">
        <f t="shared" ref="L11:M15" si="0">H11+J11</f>
        <v>16180985</v>
      </c>
      <c r="M11" s="38">
        <f t="shared" si="0"/>
        <v>42909911.636905923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16180985</v>
      </c>
      <c r="E16" s="39">
        <v>42909911.636905923</v>
      </c>
      <c r="F16" s="61">
        <f t="shared" ref="F16:M16" si="3">SUM(F11:F15)</f>
        <v>0</v>
      </c>
      <c r="G16" s="39">
        <f t="shared" si="3"/>
        <v>0</v>
      </c>
      <c r="H16" s="61">
        <f>SUM(H11:H15)</f>
        <v>16180985</v>
      </c>
      <c r="I16" s="39">
        <f>SUM(I11:I15)</f>
        <v>42909911.636905923</v>
      </c>
      <c r="J16" s="61">
        <f t="shared" si="3"/>
        <v>0</v>
      </c>
      <c r="K16" s="39">
        <f t="shared" si="3"/>
        <v>0</v>
      </c>
      <c r="L16" s="61">
        <f t="shared" si="3"/>
        <v>16180985</v>
      </c>
      <c r="M16" s="39">
        <f t="shared" si="3"/>
        <v>42909911.636905923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-15423881</v>
      </c>
      <c r="E19" s="65">
        <v>-40633352</v>
      </c>
      <c r="F19" s="65">
        <f>H19-D19</f>
        <v>0</v>
      </c>
      <c r="G19" s="63">
        <f>I19-E19</f>
        <v>0</v>
      </c>
      <c r="H19" s="65">
        <f t="shared" si="4"/>
        <v>-15423881</v>
      </c>
      <c r="I19" s="66">
        <f t="shared" si="4"/>
        <v>-40633352</v>
      </c>
      <c r="J19" s="60"/>
      <c r="K19" s="38"/>
      <c r="L19" s="60">
        <f t="shared" ref="L19:M23" si="5">H19+J19</f>
        <v>-15423881</v>
      </c>
      <c r="M19" s="38">
        <f t="shared" si="5"/>
        <v>-40633352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-15423881</v>
      </c>
      <c r="E24" s="39">
        <v>-40633352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-15423881</v>
      </c>
      <c r="I24" s="39">
        <f>SUM(I19:I23)</f>
        <v>-40633352</v>
      </c>
      <c r="J24" s="61">
        <f t="shared" si="7"/>
        <v>0</v>
      </c>
      <c r="K24" s="39">
        <f t="shared" si="7"/>
        <v>0</v>
      </c>
      <c r="L24" s="61">
        <f t="shared" si="7"/>
        <v>-15423881</v>
      </c>
      <c r="M24" s="39">
        <f t="shared" si="7"/>
        <v>-40633352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1524299</v>
      </c>
      <c r="E39" s="65">
        <v>3978419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1524299</v>
      </c>
      <c r="I39" s="66">
        <f t="shared" si="12"/>
        <v>3978419</v>
      </c>
      <c r="J39" s="60"/>
      <c r="K39" s="38"/>
      <c r="L39" s="60">
        <f t="shared" ref="L39:M41" si="14">H39+J39</f>
        <v>1524299</v>
      </c>
      <c r="M39" s="38">
        <f t="shared" si="14"/>
        <v>3978419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-309033</v>
      </c>
      <c r="E40" s="65">
        <v>-806575</v>
      </c>
      <c r="F40" s="65">
        <f t="shared" si="13"/>
        <v>0</v>
      </c>
      <c r="G40" s="63">
        <f t="shared" si="13"/>
        <v>0</v>
      </c>
      <c r="H40" s="65">
        <f t="shared" si="12"/>
        <v>-309033</v>
      </c>
      <c r="I40" s="66">
        <f t="shared" si="12"/>
        <v>-806575</v>
      </c>
      <c r="J40" s="60"/>
      <c r="K40" s="38"/>
      <c r="L40" s="60">
        <f t="shared" si="14"/>
        <v>-309033</v>
      </c>
      <c r="M40" s="38">
        <f t="shared" si="14"/>
        <v>-806575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-309033</v>
      </c>
      <c r="E42" s="39">
        <v>-806575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-309033</v>
      </c>
      <c r="I42" s="39">
        <f>SUM(I40:I41)</f>
        <v>-806575</v>
      </c>
      <c r="J42" s="61">
        <f t="shared" si="15"/>
        <v>0</v>
      </c>
      <c r="K42" s="39">
        <f t="shared" si="15"/>
        <v>0</v>
      </c>
      <c r="L42" s="61">
        <f t="shared" si="15"/>
        <v>-309033</v>
      </c>
      <c r="M42" s="39">
        <f t="shared" si="15"/>
        <v>-806575</v>
      </c>
    </row>
    <row r="43" spans="1:13" ht="21" customHeight="1" x14ac:dyDescent="0.25">
      <c r="A43" s="9"/>
      <c r="B43" s="7" t="s">
        <v>49</v>
      </c>
      <c r="C43" s="6"/>
      <c r="D43" s="61">
        <v>1215266</v>
      </c>
      <c r="E43" s="39">
        <v>3171844</v>
      </c>
      <c r="F43" s="61">
        <f t="shared" ref="F43:M43" si="16">F42+F39</f>
        <v>0</v>
      </c>
      <c r="G43" s="39">
        <f t="shared" si="16"/>
        <v>0</v>
      </c>
      <c r="H43" s="61">
        <f>H42+H39</f>
        <v>1215266</v>
      </c>
      <c r="I43" s="39">
        <f>I42+I39</f>
        <v>3171844</v>
      </c>
      <c r="J43" s="61">
        <f t="shared" si="16"/>
        <v>0</v>
      </c>
      <c r="K43" s="39">
        <f t="shared" si="16"/>
        <v>0</v>
      </c>
      <c r="L43" s="61">
        <f t="shared" si="16"/>
        <v>1215266</v>
      </c>
      <c r="M43" s="39">
        <f t="shared" si="16"/>
        <v>3171844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-2032370</v>
      </c>
      <c r="E49" s="65">
        <v>-5270414.598606145</v>
      </c>
      <c r="F49" s="65">
        <f>H49-D49</f>
        <v>0</v>
      </c>
      <c r="G49" s="63">
        <f>I49-E49</f>
        <v>0</v>
      </c>
      <c r="H49" s="65">
        <f>D49</f>
        <v>-2032370</v>
      </c>
      <c r="I49" s="66">
        <f>E49</f>
        <v>-5270414.598606145</v>
      </c>
      <c r="J49" s="60"/>
      <c r="K49" s="38"/>
      <c r="L49" s="60">
        <f>H49+J49</f>
        <v>-2032370</v>
      </c>
      <c r="M49" s="38">
        <f>I49+K49</f>
        <v>-5270414.598606145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-60000</v>
      </c>
      <c r="E82" s="141">
        <f>SUM(E72:E81)+E16+E24+E29+E36+E43+E45+E47+E49+E51+E56+E61+E66</f>
        <v>-3636483.9617002215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5">
        <f>SUM(I72:I81)+I16+I24+I29+I36+I43+I45+I47+I49+I51+I56+I61+I66</f>
        <v>-3636483.9617002215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-3636483.9617002215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196147778</v>
      </c>
      <c r="E11" s="66">
        <f>'EAST-EGM-FLSH'!E11+'EAST-LRC-FLSH'!E11</f>
        <v>554942430</v>
      </c>
      <c r="F11" s="37">
        <f>H11-D11</f>
        <v>0</v>
      </c>
      <c r="G11" s="37">
        <f>I11-E11</f>
        <v>0</v>
      </c>
      <c r="H11" s="60">
        <f>'EAST-EGM-FLSH'!H11+'EAST-LRC-FLSH'!H11</f>
        <v>196147778</v>
      </c>
      <c r="I11" s="38">
        <f>'EAST-EGM-FLSH'!I11+'EAST-LRC-FLSH'!I11</f>
        <v>554942430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196147778</v>
      </c>
      <c r="M11" s="38">
        <f t="shared" si="0"/>
        <v>554942430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59448522</v>
      </c>
      <c r="E13" s="66">
        <f>'EAST-EGM-FLSH'!E13+'EAST-LRC-FLSH'!E13</f>
        <v>164486618</v>
      </c>
      <c r="F13" s="60">
        <f t="shared" si="1"/>
        <v>0</v>
      </c>
      <c r="G13" s="37">
        <f t="shared" si="1"/>
        <v>0</v>
      </c>
      <c r="H13" s="60">
        <f>'EAST-EGM-FLSH'!H13+'EAST-LRC-FLSH'!H13</f>
        <v>59448522</v>
      </c>
      <c r="I13" s="38">
        <f>'EAST-EGM-FLSH'!I13+'EAST-LRC-FLSH'!I13</f>
        <v>164486618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59448522</v>
      </c>
      <c r="M13" s="38">
        <f t="shared" si="0"/>
        <v>164486618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-464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-464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-464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255596300</v>
      </c>
      <c r="E16" s="39">
        <f>SUM(E11:E15)</f>
        <v>719428584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255596300</v>
      </c>
      <c r="I16" s="39">
        <f t="shared" si="2"/>
        <v>719428584</v>
      </c>
      <c r="J16" s="61">
        <f t="shared" si="2"/>
        <v>0</v>
      </c>
      <c r="K16" s="39">
        <f t="shared" si="2"/>
        <v>0</v>
      </c>
      <c r="L16" s="61">
        <f t="shared" si="2"/>
        <v>255596300</v>
      </c>
      <c r="M16" s="39">
        <f t="shared" si="2"/>
        <v>719428584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-191239926</v>
      </c>
      <c r="E19" s="66">
        <f>'EAST-EGM-FLSH'!E19+'EAST-LRC-FLSH'!E19</f>
        <v>-530545759</v>
      </c>
      <c r="F19" s="60">
        <f>H19-D19</f>
        <v>0</v>
      </c>
      <c r="G19" s="37">
        <f>I19-E19</f>
        <v>0</v>
      </c>
      <c r="H19" s="60">
        <f>'EAST-EGM-FLSH'!H19+'EAST-LRC-FLSH'!H19</f>
        <v>-191239926</v>
      </c>
      <c r="I19" s="38">
        <f>'EAST-EGM-FLSH'!I19+'EAST-LRC-FLSH'!I19</f>
        <v>-530545759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-191239926</v>
      </c>
      <c r="M19" s="38">
        <f t="shared" si="3"/>
        <v>-530545759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-65865685</v>
      </c>
      <c r="E21" s="66">
        <f>'EAST-EGM-FLSH'!E21+'EAST-LRC-FLSH'!E21</f>
        <v>-186824785</v>
      </c>
      <c r="F21" s="60">
        <f t="shared" si="4"/>
        <v>0</v>
      </c>
      <c r="G21" s="37">
        <f t="shared" si="4"/>
        <v>0</v>
      </c>
      <c r="H21" s="60">
        <f>'EAST-EGM-FLSH'!H21+'EAST-LRC-FLSH'!H21</f>
        <v>-65865685</v>
      </c>
      <c r="I21" s="38">
        <f>'EAST-EGM-FLSH'!I21+'EAST-LRC-FLSH'!I21</f>
        <v>-186824785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-65865685</v>
      </c>
      <c r="M21" s="38">
        <f t="shared" si="3"/>
        <v>-186824785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699964</v>
      </c>
      <c r="E23" s="66">
        <f>'EAST-EGM-FLSH'!E23+'EAST-LRC-FLSH'!E23</f>
        <v>1882599</v>
      </c>
      <c r="F23" s="60">
        <f t="shared" si="4"/>
        <v>0</v>
      </c>
      <c r="G23" s="37">
        <f t="shared" si="4"/>
        <v>0</v>
      </c>
      <c r="H23" s="60">
        <f>'EAST-EGM-FLSH'!H23+'EAST-LRC-FLSH'!H23</f>
        <v>699964</v>
      </c>
      <c r="I23" s="38">
        <f>'EAST-EGM-FLSH'!I23+'EAST-LRC-FLSH'!I23</f>
        <v>1882599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699964</v>
      </c>
      <c r="M23" s="38">
        <f t="shared" si="3"/>
        <v>1882599</v>
      </c>
    </row>
    <row r="24" spans="1:13" x14ac:dyDescent="0.25">
      <c r="A24" s="9"/>
      <c r="B24" s="7" t="s">
        <v>33</v>
      </c>
      <c r="C24" s="6"/>
      <c r="D24" s="61">
        <f>SUM(D19:D23)</f>
        <v>-256405647</v>
      </c>
      <c r="E24" s="39">
        <f>SUM(E19:E23)</f>
        <v>-715487945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-256405647</v>
      </c>
      <c r="I24" s="39">
        <f t="shared" si="5"/>
        <v>-715487945</v>
      </c>
      <c r="J24" s="61">
        <f t="shared" si="5"/>
        <v>0</v>
      </c>
      <c r="K24" s="39">
        <f t="shared" si="5"/>
        <v>0</v>
      </c>
      <c r="L24" s="61">
        <f t="shared" si="5"/>
        <v>-256405647</v>
      </c>
      <c r="M24" s="39">
        <f t="shared" si="5"/>
        <v>-715487945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7715</v>
      </c>
      <c r="E32" s="66">
        <f>'EAST-EGM-FLSH'!E32+'EAST-LRC-FLSH'!E32</f>
        <v>21673</v>
      </c>
      <c r="F32" s="60">
        <f>H32-D32</f>
        <v>0</v>
      </c>
      <c r="G32" s="37">
        <f>I32-E32</f>
        <v>0</v>
      </c>
      <c r="H32" s="60">
        <f>'EAST-EGM-FLSH'!H32+'EAST-LRC-FLSH'!H32</f>
        <v>7715</v>
      </c>
      <c r="I32" s="38">
        <f>'EAST-EGM-FLSH'!I32+'EAST-LRC-FLSH'!I32</f>
        <v>21673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7715</v>
      </c>
      <c r="M32" s="38">
        <f t="shared" si="7"/>
        <v>21673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1074878</v>
      </c>
      <c r="E33" s="66">
        <f>'EAST-EGM-FLSH'!E33+'EAST-LRC-FLSH'!E33</f>
        <v>2684870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1074878</v>
      </c>
      <c r="I33" s="38">
        <f>'EAST-EGM-FLSH'!I33+'EAST-LRC-FLSH'!I33</f>
        <v>2684870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1074878</v>
      </c>
      <c r="M33" s="38">
        <f t="shared" si="7"/>
        <v>2684870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-715382</v>
      </c>
      <c r="E34" s="66">
        <f>'EAST-EGM-FLSH'!E34+'EAST-LRC-FLSH'!E34</f>
        <v>-1813230</v>
      </c>
      <c r="F34" s="60">
        <f t="shared" si="8"/>
        <v>0</v>
      </c>
      <c r="G34" s="37">
        <f t="shared" si="8"/>
        <v>0</v>
      </c>
      <c r="H34" s="60">
        <f>'EAST-EGM-FLSH'!H34+'EAST-LRC-FLSH'!H34</f>
        <v>-715382</v>
      </c>
      <c r="I34" s="38">
        <f>'EAST-EGM-FLSH'!I34+'EAST-LRC-FLSH'!I34</f>
        <v>-1813230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-715382</v>
      </c>
      <c r="M34" s="38">
        <f t="shared" si="7"/>
        <v>-1813230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-673965</v>
      </c>
      <c r="E35" s="66">
        <f>'EAST-EGM-FLSH'!E35+'EAST-LRC-FLSH'!E35</f>
        <v>-1072809</v>
      </c>
      <c r="F35" s="60">
        <f t="shared" si="8"/>
        <v>0</v>
      </c>
      <c r="G35" s="37">
        <f t="shared" si="8"/>
        <v>0</v>
      </c>
      <c r="H35" s="60">
        <f>'EAST-EGM-FLSH'!H35+'EAST-LRC-FLSH'!H35</f>
        <v>-673965</v>
      </c>
      <c r="I35" s="38">
        <f>'EAST-EGM-FLSH'!I35+'EAST-LRC-FLSH'!I35</f>
        <v>-1072809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-673965</v>
      </c>
      <c r="M35" s="38">
        <f t="shared" si="7"/>
        <v>-1072809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-306754</v>
      </c>
      <c r="E36" s="39">
        <f t="shared" si="9"/>
        <v>-179496</v>
      </c>
      <c r="F36" s="61">
        <f t="shared" si="9"/>
        <v>0</v>
      </c>
      <c r="G36" s="39">
        <f t="shared" si="9"/>
        <v>0</v>
      </c>
      <c r="H36" s="61">
        <f t="shared" si="9"/>
        <v>-306754</v>
      </c>
      <c r="I36" s="39">
        <f t="shared" si="9"/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2279977</v>
      </c>
      <c r="E39" s="66">
        <f>'EAST-EGM-FLSH'!E39+'EAST-LRC-FLSH'!E39</f>
        <v>5950175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2279977</v>
      </c>
      <c r="I39" s="38">
        <f>'EAST-EGM-FLSH'!I39+'EAST-LRC-FLSH'!I39</f>
        <v>5950175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2279977</v>
      </c>
      <c r="M39" s="38">
        <f t="shared" si="11"/>
        <v>5950175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-2192863</v>
      </c>
      <c r="E40" s="66">
        <f>'EAST-EGM-FLSH'!E40+'EAST-LRC-FLSH'!E40</f>
        <v>-5963225</v>
      </c>
      <c r="F40" s="60">
        <f t="shared" si="10"/>
        <v>0</v>
      </c>
      <c r="G40" s="37">
        <f t="shared" si="10"/>
        <v>0</v>
      </c>
      <c r="H40" s="60">
        <f>'EAST-EGM-FLSH'!H40+'EAST-LRC-FLSH'!H40</f>
        <v>-2192863</v>
      </c>
      <c r="I40" s="38">
        <f>'EAST-EGM-FLSH'!I40+'EAST-LRC-FLSH'!I40</f>
        <v>-5963225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-2192863</v>
      </c>
      <c r="M40" s="38">
        <f t="shared" si="11"/>
        <v>-5963225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-2192863</v>
      </c>
      <c r="E42" s="39">
        <f>SUM(E40:E41)</f>
        <v>-5963225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-2192863</v>
      </c>
      <c r="I42" s="39">
        <f t="shared" si="12"/>
        <v>-5963225</v>
      </c>
      <c r="J42" s="61">
        <f t="shared" si="12"/>
        <v>0</v>
      </c>
      <c r="K42" s="39">
        <f t="shared" si="12"/>
        <v>0</v>
      </c>
      <c r="L42" s="61">
        <f t="shared" si="12"/>
        <v>-2192863</v>
      </c>
      <c r="M42" s="39">
        <f t="shared" si="12"/>
        <v>-5963225</v>
      </c>
    </row>
    <row r="43" spans="1:13" ht="21" customHeight="1" x14ac:dyDescent="0.25">
      <c r="A43" s="9"/>
      <c r="B43" s="7" t="s">
        <v>49</v>
      </c>
      <c r="C43" s="6"/>
      <c r="D43" s="61">
        <f>D42+D39</f>
        <v>87114</v>
      </c>
      <c r="E43" s="39">
        <f>E42+E39</f>
        <v>-13050</v>
      </c>
      <c r="F43" s="61">
        <f t="shared" ref="F43:M43" si="13">F42+F39</f>
        <v>0</v>
      </c>
      <c r="G43" s="39">
        <f t="shared" si="13"/>
        <v>0</v>
      </c>
      <c r="H43" s="61">
        <f t="shared" si="13"/>
        <v>87114</v>
      </c>
      <c r="I43" s="39">
        <f t="shared" si="13"/>
        <v>-13050</v>
      </c>
      <c r="J43" s="61">
        <f t="shared" si="13"/>
        <v>0</v>
      </c>
      <c r="K43" s="39">
        <f t="shared" si="13"/>
        <v>0</v>
      </c>
      <c r="L43" s="61">
        <f t="shared" si="13"/>
        <v>87114</v>
      </c>
      <c r="M43" s="39">
        <f t="shared" si="13"/>
        <v>-13050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1028987</v>
      </c>
      <c r="E49" s="66">
        <f>'EAST-EGM-FLSH'!E49+'EAST-LRC-FLSH'!E49</f>
        <v>2762830.0950000007</v>
      </c>
      <c r="F49" s="60">
        <f>H49-D49</f>
        <v>0</v>
      </c>
      <c r="G49" s="37">
        <f>I49-E49</f>
        <v>0</v>
      </c>
      <c r="H49" s="60">
        <f>'EAST-EGM-FLSH'!H49+'EAST-LRC-FLSH'!H49</f>
        <v>1028987</v>
      </c>
      <c r="I49" s="38">
        <f>'EAST-EGM-FLSH'!I49+'EAST-LRC-FLSH'!I49</f>
        <v>2762830.0950000007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1028987</v>
      </c>
      <c r="M49" s="38">
        <f>I49+K49</f>
        <v>2762830.0950000007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-699964</v>
      </c>
      <c r="E51" s="66">
        <f>'EAST-EGM-FLSH'!E51+'EAST-LRC-FLSH'!E51</f>
        <v>-1882599</v>
      </c>
      <c r="F51" s="60">
        <f>H51-D51</f>
        <v>0</v>
      </c>
      <c r="G51" s="37">
        <f>I51-E51</f>
        <v>0</v>
      </c>
      <c r="H51" s="60">
        <f>'EAST-EGM-FLSH'!H51+'EAST-LRC-FLSH'!H51</f>
        <v>-699964</v>
      </c>
      <c r="I51" s="38">
        <f>'EAST-EGM-FLSH'!I51+'EAST-LRC-FLSH'!I51</f>
        <v>-1882599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-699964</v>
      </c>
      <c r="M51" s="38">
        <f>I51+K51</f>
        <v>-1882599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-1589098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-1589098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-1589098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-1289833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-1289833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-1289833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-2878931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-2878931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-2878931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29080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29080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29080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29080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29080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29080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563222.05070000049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563222.05070000049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563222.05070000049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-12755359.895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-12755359.895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-12755359.895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-12192137.844299998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-12192137.844299998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-12192137.844299998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4006930.7836999996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4006930.7836999996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4006930.7836999996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9351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9351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9351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-16608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-16608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-16608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-3913809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-3913809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-3913809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307947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307947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307947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-9996911.2106000464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-9996911.2106000464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-9996911.2106000464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-9996911.2106000315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-9652774.2106000464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-9652774.2106000464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-9652774.2106000464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A86" sqref="A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14875827</v>
      </c>
      <c r="E11" s="38">
        <v>38681757.205999993</v>
      </c>
      <c r="F11" s="65">
        <f>H11-D11</f>
        <v>0</v>
      </c>
      <c r="G11" s="63">
        <f>I11-E11</f>
        <v>0</v>
      </c>
      <c r="H11" s="65">
        <f>D11</f>
        <v>14875827</v>
      </c>
      <c r="I11" s="66">
        <f>E11</f>
        <v>38681757.205999993</v>
      </c>
      <c r="J11" s="60"/>
      <c r="K11" s="38"/>
      <c r="L11" s="60">
        <f t="shared" ref="L11:M15" si="0">H11+J11</f>
        <v>14875827</v>
      </c>
      <c r="M11" s="38">
        <f t="shared" si="0"/>
        <v>38681757.205999993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953548</v>
      </c>
      <c r="E13" s="38">
        <v>2424892.9139999999</v>
      </c>
      <c r="F13" s="65">
        <f t="shared" si="1"/>
        <v>0</v>
      </c>
      <c r="G13" s="63">
        <f t="shared" si="1"/>
        <v>0</v>
      </c>
      <c r="H13" s="65">
        <f t="shared" si="2"/>
        <v>953548</v>
      </c>
      <c r="I13" s="66">
        <f t="shared" si="2"/>
        <v>2424892.9139999999</v>
      </c>
      <c r="J13" s="60"/>
      <c r="K13" s="38"/>
      <c r="L13" s="60">
        <f t="shared" si="0"/>
        <v>953548</v>
      </c>
      <c r="M13" s="38">
        <f t="shared" si="0"/>
        <v>2424892.9139999999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15829375</v>
      </c>
      <c r="E16" s="39">
        <v>41226650.11999999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15829375</v>
      </c>
      <c r="I16" s="39">
        <f>SUM(I11:I15)</f>
        <v>41226650.11999999</v>
      </c>
      <c r="J16" s="61">
        <f t="shared" si="3"/>
        <v>0</v>
      </c>
      <c r="K16" s="39">
        <f t="shared" si="3"/>
        <v>0</v>
      </c>
      <c r="L16" s="61">
        <f t="shared" si="3"/>
        <v>15829375</v>
      </c>
      <c r="M16" s="39">
        <f t="shared" si="3"/>
        <v>41226650.11999999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-10699052</v>
      </c>
      <c r="E19" s="38">
        <v>-27529445.000000004</v>
      </c>
      <c r="F19" s="65">
        <f>H19-D19</f>
        <v>0</v>
      </c>
      <c r="G19" s="63">
        <f>I19-E19</f>
        <v>0</v>
      </c>
      <c r="H19" s="65">
        <f t="shared" si="4"/>
        <v>-10699052</v>
      </c>
      <c r="I19" s="66">
        <f t="shared" si="4"/>
        <v>-27529445.000000004</v>
      </c>
      <c r="J19" s="60"/>
      <c r="K19" s="38"/>
      <c r="L19" s="60">
        <f t="shared" ref="L19:M23" si="5">H19+J19</f>
        <v>-10699052</v>
      </c>
      <c r="M19" s="38">
        <f t="shared" si="5"/>
        <v>-27529445.000000004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-12800</v>
      </c>
      <c r="E21" s="38">
        <v>-32759</v>
      </c>
      <c r="F21" s="65">
        <f t="shared" si="6"/>
        <v>0</v>
      </c>
      <c r="G21" s="63">
        <f t="shared" si="6"/>
        <v>0</v>
      </c>
      <c r="H21" s="65">
        <f t="shared" si="4"/>
        <v>-12800</v>
      </c>
      <c r="I21" s="66">
        <f t="shared" si="4"/>
        <v>-32759</v>
      </c>
      <c r="J21" s="60"/>
      <c r="K21" s="38"/>
      <c r="L21" s="60">
        <f t="shared" si="5"/>
        <v>-12800</v>
      </c>
      <c r="M21" s="38">
        <f t="shared" si="5"/>
        <v>-32759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11</v>
      </c>
      <c r="E23" s="38">
        <v>27.77</v>
      </c>
      <c r="F23" s="65">
        <f t="shared" si="6"/>
        <v>0</v>
      </c>
      <c r="G23" s="63">
        <f t="shared" si="6"/>
        <v>0</v>
      </c>
      <c r="H23" s="65">
        <f t="shared" si="4"/>
        <v>11</v>
      </c>
      <c r="I23" s="66">
        <f t="shared" si="4"/>
        <v>27.77</v>
      </c>
      <c r="J23" s="60"/>
      <c r="K23" s="38"/>
      <c r="L23" s="60">
        <f t="shared" si="5"/>
        <v>11</v>
      </c>
      <c r="M23" s="38">
        <f t="shared" si="5"/>
        <v>27.77</v>
      </c>
    </row>
    <row r="24" spans="1:13" x14ac:dyDescent="0.25">
      <c r="A24" s="9"/>
      <c r="B24" s="7" t="s">
        <v>33</v>
      </c>
      <c r="C24" s="6"/>
      <c r="D24" s="61">
        <v>-10711841</v>
      </c>
      <c r="E24" s="39">
        <v>-27562176.230000004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-10711841</v>
      </c>
      <c r="I24" s="39">
        <f>SUM(I19:I23)</f>
        <v>-27562176.230000004</v>
      </c>
      <c r="J24" s="61">
        <f t="shared" si="7"/>
        <v>0</v>
      </c>
      <c r="K24" s="39">
        <f t="shared" si="7"/>
        <v>0</v>
      </c>
      <c r="L24" s="61">
        <f t="shared" si="7"/>
        <v>-10711841</v>
      </c>
      <c r="M24" s="39">
        <f t="shared" si="7"/>
        <v>-27562176.230000004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14391092</v>
      </c>
      <c r="E27" s="38">
        <v>37280042.109999999</v>
      </c>
      <c r="F27" s="65">
        <f>H27-D27</f>
        <v>0</v>
      </c>
      <c r="G27" s="63">
        <f>I27-E27</f>
        <v>0</v>
      </c>
      <c r="H27" s="65">
        <f>D27</f>
        <v>14391092</v>
      </c>
      <c r="I27" s="66">
        <f>E27</f>
        <v>37280042.109999999</v>
      </c>
      <c r="J27" s="60"/>
      <c r="K27" s="38"/>
      <c r="L27" s="60">
        <f>H27+J27</f>
        <v>14391092</v>
      </c>
      <c r="M27" s="38">
        <f>I27+K27</f>
        <v>37280042.109999999</v>
      </c>
    </row>
    <row r="28" spans="1:13" x14ac:dyDescent="0.25">
      <c r="A28" s="9">
        <v>12</v>
      </c>
      <c r="B28" s="7"/>
      <c r="C28" s="18" t="s">
        <v>36</v>
      </c>
      <c r="D28" s="60">
        <v>-10560362</v>
      </c>
      <c r="E28" s="38">
        <v>-27360712.23</v>
      </c>
      <c r="F28" s="65">
        <f>H28-D28</f>
        <v>0</v>
      </c>
      <c r="G28" s="63">
        <f>I28-E28</f>
        <v>0</v>
      </c>
      <c r="H28" s="65">
        <f>D28</f>
        <v>-10560362</v>
      </c>
      <c r="I28" s="66">
        <f>E28</f>
        <v>-27360712.23</v>
      </c>
      <c r="J28" s="60"/>
      <c r="K28" s="38"/>
      <c r="L28" s="60">
        <f>H28+J28</f>
        <v>-10560362</v>
      </c>
      <c r="M28" s="38">
        <f>I28+K28</f>
        <v>-27360712.23</v>
      </c>
    </row>
    <row r="29" spans="1:13" x14ac:dyDescent="0.25">
      <c r="A29" s="9"/>
      <c r="B29" s="7" t="s">
        <v>37</v>
      </c>
      <c r="C29" s="6"/>
      <c r="D29" s="61">
        <v>3830730</v>
      </c>
      <c r="E29" s="39">
        <v>9919329.879999999</v>
      </c>
      <c r="F29" s="61">
        <f t="shared" ref="F29:M29" si="8">SUM(F27:F28)</f>
        <v>0</v>
      </c>
      <c r="G29" s="39">
        <f t="shared" si="8"/>
        <v>0</v>
      </c>
      <c r="H29" s="61">
        <f>SUM(H27:H28)</f>
        <v>3830730</v>
      </c>
      <c r="I29" s="39">
        <f>SUM(I27:I28)</f>
        <v>9919329.879999999</v>
      </c>
      <c r="J29" s="61">
        <f t="shared" si="8"/>
        <v>0</v>
      </c>
      <c r="K29" s="39">
        <f t="shared" si="8"/>
        <v>0</v>
      </c>
      <c r="L29" s="61">
        <f t="shared" si="8"/>
        <v>3830730</v>
      </c>
      <c r="M29" s="39">
        <f t="shared" si="8"/>
        <v>9919329.879999999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-409770</v>
      </c>
      <c r="E40" s="38">
        <v>-1032055.33</v>
      </c>
      <c r="F40" s="65">
        <f t="shared" si="13"/>
        <v>0</v>
      </c>
      <c r="G40" s="63">
        <f t="shared" si="13"/>
        <v>0</v>
      </c>
      <c r="H40" s="65">
        <f t="shared" si="12"/>
        <v>-409770</v>
      </c>
      <c r="I40" s="66">
        <f t="shared" si="12"/>
        <v>-1032055.33</v>
      </c>
      <c r="J40" s="60"/>
      <c r="K40" s="38"/>
      <c r="L40" s="60">
        <f t="shared" si="14"/>
        <v>-409770</v>
      </c>
      <c r="M40" s="38">
        <f t="shared" si="14"/>
        <v>-1032055.33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-409770</v>
      </c>
      <c r="E42" s="39">
        <v>-1032055.33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-409770</v>
      </c>
      <c r="I42" s="39">
        <f>SUM(I40:I41)</f>
        <v>-1032055.33</v>
      </c>
      <c r="J42" s="61">
        <f t="shared" si="15"/>
        <v>0</v>
      </c>
      <c r="K42" s="39">
        <f t="shared" si="15"/>
        <v>0</v>
      </c>
      <c r="L42" s="69">
        <f t="shared" si="15"/>
        <v>-409770</v>
      </c>
      <c r="M42" s="70">
        <f t="shared" si="15"/>
        <v>-1032055.33</v>
      </c>
    </row>
    <row r="43" spans="1:13" ht="21" customHeight="1" x14ac:dyDescent="0.25">
      <c r="A43" s="9"/>
      <c r="B43" s="7" t="s">
        <v>49</v>
      </c>
      <c r="C43" s="6"/>
      <c r="D43" s="60">
        <v>-409770</v>
      </c>
      <c r="E43" s="38">
        <v>-1032055.33</v>
      </c>
      <c r="F43" s="61">
        <f t="shared" ref="F43:M43" si="16">F42+F39</f>
        <v>0</v>
      </c>
      <c r="G43" s="39">
        <f t="shared" si="16"/>
        <v>0</v>
      </c>
      <c r="H43" s="61">
        <f>H42+H39</f>
        <v>-409770</v>
      </c>
      <c r="I43" s="39">
        <f>I42+I39</f>
        <v>-1032055.33</v>
      </c>
      <c r="J43" s="61">
        <f t="shared" si="16"/>
        <v>0</v>
      </c>
      <c r="K43" s="39">
        <f t="shared" si="16"/>
        <v>0</v>
      </c>
      <c r="L43" s="61">
        <f t="shared" si="16"/>
        <v>-409770</v>
      </c>
      <c r="M43" s="39">
        <f t="shared" si="16"/>
        <v>-1032055.33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-8538494</v>
      </c>
      <c r="E49" s="38">
        <v>-21479830.469812423</v>
      </c>
      <c r="F49" s="65">
        <f>H49-D49</f>
        <v>0</v>
      </c>
      <c r="G49" s="63">
        <f>I49-E49</f>
        <v>0</v>
      </c>
      <c r="H49" s="65">
        <f>D49</f>
        <v>-8538494</v>
      </c>
      <c r="I49" s="66">
        <f>E49</f>
        <v>-21479830.469812423</v>
      </c>
      <c r="J49" s="60"/>
      <c r="K49" s="38"/>
      <c r="L49" s="60">
        <f>H49+J49</f>
        <v>-8538494</v>
      </c>
      <c r="M49" s="38">
        <f>I49+K49</f>
        <v>-21479830.469812423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-11</v>
      </c>
      <c r="E51" s="38">
        <v>0</v>
      </c>
      <c r="F51" s="65">
        <f>H51-D51</f>
        <v>0</v>
      </c>
      <c r="G51" s="63">
        <f>I51-E51</f>
        <v>0</v>
      </c>
      <c r="H51" s="65">
        <f>D51</f>
        <v>-11</v>
      </c>
      <c r="I51" s="66">
        <f>E51</f>
        <v>0</v>
      </c>
      <c r="J51" s="60"/>
      <c r="K51" s="38"/>
      <c r="L51" s="60">
        <f>H51+J51</f>
        <v>-11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-502030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-502030</v>
      </c>
      <c r="J54" s="60"/>
      <c r="K54" s="38"/>
      <c r="L54" s="60">
        <f>H54+J54</f>
        <v>0</v>
      </c>
      <c r="M54" s="38">
        <f>I54+K54</f>
        <v>-502030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-502030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-502030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-502030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-7489614.6200000001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-7489614.6200000001</v>
      </c>
      <c r="J70" s="60"/>
      <c r="K70" s="38"/>
      <c r="L70" s="60">
        <f t="shared" si="20"/>
        <v>0</v>
      </c>
      <c r="M70" s="38">
        <f t="shared" si="20"/>
        <v>-7489614.6200000001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2639306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2639306</v>
      </c>
      <c r="J71" s="60"/>
      <c r="K71" s="38"/>
      <c r="L71" s="60">
        <f t="shared" si="20"/>
        <v>0</v>
      </c>
      <c r="M71" s="38">
        <f t="shared" si="20"/>
        <v>2639306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-4850308.62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-4850308.62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-4850308.62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5499578.5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5499578.5</v>
      </c>
      <c r="J74" s="60"/>
      <c r="K74" s="38"/>
      <c r="L74" s="60">
        <f t="shared" si="23"/>
        <v>0</v>
      </c>
      <c r="M74" s="38">
        <f t="shared" si="23"/>
        <v>5499578.5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15012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15012</v>
      </c>
      <c r="J75" s="60"/>
      <c r="K75" s="38"/>
      <c r="L75" s="60">
        <f t="shared" si="23"/>
        <v>0</v>
      </c>
      <c r="M75" s="38">
        <f t="shared" si="23"/>
        <v>15012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-4049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-4049</v>
      </c>
      <c r="J76" s="60"/>
      <c r="K76" s="38"/>
      <c r="L76" s="60">
        <f t="shared" si="23"/>
        <v>0</v>
      </c>
      <c r="M76" s="38">
        <f t="shared" si="23"/>
        <v>-4049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222403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222403</v>
      </c>
      <c r="J81" s="60"/>
      <c r="K81" s="38"/>
      <c r="L81" s="60">
        <f t="shared" si="23"/>
        <v>0</v>
      </c>
      <c r="M81" s="38">
        <f t="shared" si="23"/>
        <v>222403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1452523.8501875661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1452523.8501875661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1452523.8501875661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1451764.4101875387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1522595.8501875661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1522595.8501875661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1522595.8501875661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129167</v>
      </c>
      <c r="E11" s="60">
        <v>332493.79399999976</v>
      </c>
      <c r="F11" s="60">
        <f>H11-D11</f>
        <v>0</v>
      </c>
      <c r="G11" s="37">
        <f>I11-E11</f>
        <v>0</v>
      </c>
      <c r="H11" s="65">
        <f>D11</f>
        <v>129167</v>
      </c>
      <c r="I11" s="66">
        <f>E11</f>
        <v>332493.79399999976</v>
      </c>
      <c r="J11" s="60"/>
      <c r="K11" s="38"/>
      <c r="L11" s="60">
        <f t="shared" ref="L11:M15" si="0">H11+J11</f>
        <v>129167</v>
      </c>
      <c r="M11" s="38">
        <f t="shared" si="0"/>
        <v>332493.79399999976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8.600000012665987E-2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8.600000012665987E-2</v>
      </c>
      <c r="J13" s="60"/>
      <c r="K13" s="38"/>
      <c r="L13" s="60">
        <f t="shared" si="0"/>
        <v>0</v>
      </c>
      <c r="M13" s="38">
        <f t="shared" si="0"/>
        <v>8.600000012665987E-2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129167</v>
      </c>
      <c r="E16" s="39">
        <v>332493.88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129167</v>
      </c>
      <c r="I16" s="39">
        <f>SUM(I11:I15)</f>
        <v>332493.87999999989</v>
      </c>
      <c r="J16" s="61">
        <f t="shared" si="3"/>
        <v>0</v>
      </c>
      <c r="K16" s="39">
        <f t="shared" si="3"/>
        <v>0</v>
      </c>
      <c r="L16" s="61">
        <f t="shared" si="3"/>
        <v>129167</v>
      </c>
      <c r="M16" s="39">
        <f t="shared" si="3"/>
        <v>332493.87999999989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7125923</v>
      </c>
      <c r="E19" s="60">
        <v>18581006</v>
      </c>
      <c r="F19" s="60">
        <f>H19-D19</f>
        <v>0</v>
      </c>
      <c r="G19" s="37">
        <f>I19-E19</f>
        <v>0</v>
      </c>
      <c r="H19" s="65">
        <f t="shared" si="4"/>
        <v>7125923</v>
      </c>
      <c r="I19" s="66">
        <f t="shared" si="4"/>
        <v>18581006</v>
      </c>
      <c r="J19" s="60"/>
      <c r="K19" s="38"/>
      <c r="L19" s="60">
        <f t="shared" ref="L19:M23" si="5">H19+J19</f>
        <v>7125923</v>
      </c>
      <c r="M19" s="38">
        <f t="shared" si="5"/>
        <v>18581006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2.2299999999995634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2.2299999999995634</v>
      </c>
      <c r="J23" s="60"/>
      <c r="K23" s="38"/>
      <c r="L23" s="60">
        <f t="shared" si="5"/>
        <v>0</v>
      </c>
      <c r="M23" s="38">
        <f t="shared" si="5"/>
        <v>2.2299999999995634</v>
      </c>
    </row>
    <row r="24" spans="1:13" x14ac:dyDescent="0.25">
      <c r="A24" s="9"/>
      <c r="B24" s="7" t="s">
        <v>33</v>
      </c>
      <c r="C24" s="6"/>
      <c r="D24" s="61">
        <v>7125923</v>
      </c>
      <c r="E24" s="39">
        <v>18581008.23</v>
      </c>
      <c r="F24" s="61">
        <f t="shared" ref="F24:M24" si="7">SUM(F19:F23)</f>
        <v>0</v>
      </c>
      <c r="G24" s="39">
        <f t="shared" si="7"/>
        <v>0</v>
      </c>
      <c r="H24" s="61">
        <f>SUM(H19:H23)</f>
        <v>7125923</v>
      </c>
      <c r="I24" s="39">
        <f>SUM(I19:I23)</f>
        <v>18581008.23</v>
      </c>
      <c r="J24" s="61">
        <f t="shared" si="7"/>
        <v>0</v>
      </c>
      <c r="K24" s="39">
        <f t="shared" si="7"/>
        <v>0</v>
      </c>
      <c r="L24" s="61">
        <f t="shared" si="7"/>
        <v>7125923</v>
      </c>
      <c r="M24" s="39">
        <f t="shared" si="7"/>
        <v>18581008.23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2.8899999856948853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2.8899999856948853</v>
      </c>
      <c r="J27" s="60"/>
      <c r="K27" s="38"/>
      <c r="L27" s="60">
        <f>H27+J27</f>
        <v>0</v>
      </c>
      <c r="M27" s="38">
        <f>I27+K27</f>
        <v>2.8899999856948853</v>
      </c>
    </row>
    <row r="28" spans="1:13" x14ac:dyDescent="0.25">
      <c r="A28" s="9">
        <v>12</v>
      </c>
      <c r="B28" s="7"/>
      <c r="C28" s="18" t="s">
        <v>36</v>
      </c>
      <c r="D28" s="60">
        <v>-7255090</v>
      </c>
      <c r="E28" s="60">
        <v>-18914264.770000011</v>
      </c>
      <c r="F28" s="60">
        <f>H28-D28</f>
        <v>0</v>
      </c>
      <c r="G28" s="37">
        <f>I28-E28</f>
        <v>0</v>
      </c>
      <c r="H28" s="65">
        <f>D28</f>
        <v>-7255090</v>
      </c>
      <c r="I28" s="66">
        <f>E28</f>
        <v>-18914264.770000011</v>
      </c>
      <c r="J28" s="60"/>
      <c r="K28" s="38"/>
      <c r="L28" s="60">
        <f>H28+J28</f>
        <v>-7255090</v>
      </c>
      <c r="M28" s="38">
        <f>I28+K28</f>
        <v>-18914264.770000011</v>
      </c>
    </row>
    <row r="29" spans="1:13" x14ac:dyDescent="0.25">
      <c r="A29" s="9"/>
      <c r="B29" s="7" t="s">
        <v>37</v>
      </c>
      <c r="C29" s="6"/>
      <c r="D29" s="61">
        <v>-7255090</v>
      </c>
      <c r="E29" s="39">
        <v>-18914261.880000025</v>
      </c>
      <c r="F29" s="61">
        <f t="shared" ref="F29:M29" si="8">SUM(F27:F28)</f>
        <v>0</v>
      </c>
      <c r="G29" s="39">
        <f t="shared" si="8"/>
        <v>0</v>
      </c>
      <c r="H29" s="61">
        <f>SUM(H27:H28)</f>
        <v>-7255090</v>
      </c>
      <c r="I29" s="39">
        <f>SUM(I27:I28)</f>
        <v>-18914261.880000025</v>
      </c>
      <c r="J29" s="61">
        <f t="shared" si="8"/>
        <v>0</v>
      </c>
      <c r="K29" s="39">
        <f t="shared" si="8"/>
        <v>0</v>
      </c>
      <c r="L29" s="61">
        <f t="shared" si="8"/>
        <v>-7255090</v>
      </c>
      <c r="M29" s="39">
        <f t="shared" si="8"/>
        <v>-18914261.880000025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0.32999999821186066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0.32999999821186066</v>
      </c>
      <c r="J40" s="60"/>
      <c r="K40" s="38"/>
      <c r="L40" s="60">
        <f t="shared" si="14"/>
        <v>0</v>
      </c>
      <c r="M40" s="38">
        <f t="shared" si="14"/>
        <v>0.32999999821186066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0.32999999821186066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0.32999999821186066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0.32999999821186066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0.32999999821186066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0.32999999821186066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0.32999999821186066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11</v>
      </c>
      <c r="E51" s="60">
        <v>0</v>
      </c>
      <c r="F51" s="60">
        <f>H51-D51</f>
        <v>0</v>
      </c>
      <c r="G51" s="37">
        <f>I51-E51</f>
        <v>0</v>
      </c>
      <c r="H51" s="65">
        <f>D51</f>
        <v>11</v>
      </c>
      <c r="I51" s="66">
        <f>E51</f>
        <v>0</v>
      </c>
      <c r="J51" s="60"/>
      <c r="K51" s="38"/>
      <c r="L51" s="60">
        <f>H51+J51</f>
        <v>11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-759.44000002741814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-759.44000002741814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-759.44000002741814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80" sqref="E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36900025</v>
      </c>
      <c r="E11" s="60">
        <v>94911803</v>
      </c>
      <c r="F11" s="60">
        <f>H11-D11</f>
        <v>0</v>
      </c>
      <c r="G11" s="37">
        <f>I11-E11</f>
        <v>0</v>
      </c>
      <c r="H11" s="65">
        <f>D11</f>
        <v>36900025</v>
      </c>
      <c r="I11" s="66">
        <f>E11</f>
        <v>94911803</v>
      </c>
      <c r="J11" s="60"/>
      <c r="K11" s="38"/>
      <c r="L11" s="60">
        <f t="shared" ref="L11:M15" si="0">H11+J11</f>
        <v>36900025</v>
      </c>
      <c r="M11" s="38">
        <f t="shared" si="0"/>
        <v>94911803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2977937</v>
      </c>
      <c r="E13" s="60">
        <v>7717976</v>
      </c>
      <c r="F13" s="60">
        <f t="shared" si="1"/>
        <v>0</v>
      </c>
      <c r="G13" s="37">
        <f t="shared" si="1"/>
        <v>0</v>
      </c>
      <c r="H13" s="65">
        <f t="shared" si="2"/>
        <v>2977937</v>
      </c>
      <c r="I13" s="66">
        <f t="shared" si="2"/>
        <v>7717976</v>
      </c>
      <c r="J13" s="60"/>
      <c r="K13" s="38"/>
      <c r="L13" s="60">
        <f t="shared" si="0"/>
        <v>2977937</v>
      </c>
      <c r="M13" s="38">
        <f t="shared" si="0"/>
        <v>7717976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39877962</v>
      </c>
      <c r="E16" s="39">
        <v>102629779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39877962</v>
      </c>
      <c r="I16" s="39">
        <f>SUM(I11:I15)</f>
        <v>102629779</v>
      </c>
      <c r="J16" s="61">
        <f t="shared" si="3"/>
        <v>0</v>
      </c>
      <c r="K16" s="39">
        <f t="shared" si="3"/>
        <v>0</v>
      </c>
      <c r="L16" s="61">
        <f t="shared" si="3"/>
        <v>39877962</v>
      </c>
      <c r="M16" s="39">
        <f t="shared" si="3"/>
        <v>102629779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-49170850</v>
      </c>
      <c r="E19" s="60">
        <v>-123832756</v>
      </c>
      <c r="F19" s="60">
        <f>H19-D19</f>
        <v>0</v>
      </c>
      <c r="G19" s="37">
        <f>I19-E19</f>
        <v>0</v>
      </c>
      <c r="H19" s="65">
        <f t="shared" si="4"/>
        <v>-49170850</v>
      </c>
      <c r="I19" s="66">
        <f t="shared" si="4"/>
        <v>-123832756</v>
      </c>
      <c r="J19" s="60"/>
      <c r="K19" s="38"/>
      <c r="L19" s="60">
        <f t="shared" ref="L19:M23" si="5">H19+J19</f>
        <v>-49170850</v>
      </c>
      <c r="M19" s="38">
        <f t="shared" si="5"/>
        <v>-123832756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-1026352</v>
      </c>
      <c r="E21" s="60">
        <v>-2529624</v>
      </c>
      <c r="F21" s="60">
        <f t="shared" si="6"/>
        <v>0</v>
      </c>
      <c r="G21" s="37">
        <f t="shared" si="6"/>
        <v>0</v>
      </c>
      <c r="H21" s="65">
        <f t="shared" si="4"/>
        <v>-1026352</v>
      </c>
      <c r="I21" s="66">
        <f t="shared" si="4"/>
        <v>-2529624</v>
      </c>
      <c r="J21" s="60"/>
      <c r="K21" s="38"/>
      <c r="L21" s="60">
        <f t="shared" si="5"/>
        <v>-1026352</v>
      </c>
      <c r="M21" s="38">
        <f t="shared" si="5"/>
        <v>-2529624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10222</v>
      </c>
      <c r="E23" s="60">
        <v>25174</v>
      </c>
      <c r="F23" s="60">
        <f t="shared" si="6"/>
        <v>0</v>
      </c>
      <c r="G23" s="37">
        <f t="shared" si="6"/>
        <v>0</v>
      </c>
      <c r="H23" s="65">
        <f t="shared" si="4"/>
        <v>10222</v>
      </c>
      <c r="I23" s="66">
        <f t="shared" si="4"/>
        <v>25174</v>
      </c>
      <c r="J23" s="60"/>
      <c r="K23" s="38"/>
      <c r="L23" s="60">
        <f t="shared" si="5"/>
        <v>10222</v>
      </c>
      <c r="M23" s="38">
        <f t="shared" si="5"/>
        <v>25174</v>
      </c>
    </row>
    <row r="24" spans="1:13" x14ac:dyDescent="0.25">
      <c r="A24" s="9"/>
      <c r="B24" s="7" t="s">
        <v>33</v>
      </c>
      <c r="C24" s="6"/>
      <c r="D24" s="61">
        <v>-50186980</v>
      </c>
      <c r="E24" s="39">
        <v>-126337206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-50186980</v>
      </c>
      <c r="I24" s="39">
        <f>SUM(I19:I23)</f>
        <v>-126337206</v>
      </c>
      <c r="J24" s="61">
        <f t="shared" si="7"/>
        <v>0</v>
      </c>
      <c r="K24" s="39">
        <f t="shared" si="7"/>
        <v>0</v>
      </c>
      <c r="L24" s="61">
        <f t="shared" si="7"/>
        <v>-50186980</v>
      </c>
      <c r="M24" s="39">
        <f t="shared" si="7"/>
        <v>-126337206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71769462</v>
      </c>
      <c r="E27" s="60">
        <v>185679535</v>
      </c>
      <c r="F27" s="60">
        <f>H27-D27</f>
        <v>0</v>
      </c>
      <c r="G27" s="37">
        <f>I27-E27</f>
        <v>0</v>
      </c>
      <c r="H27" s="65">
        <f>D27</f>
        <v>71769462</v>
      </c>
      <c r="I27" s="66">
        <f>E27</f>
        <v>185679535</v>
      </c>
      <c r="J27" s="60"/>
      <c r="K27" s="38"/>
      <c r="L27" s="60">
        <f>H27+J27</f>
        <v>71769462</v>
      </c>
      <c r="M27" s="38">
        <f>I27+K27</f>
        <v>185679535</v>
      </c>
    </row>
    <row r="28" spans="1:13" x14ac:dyDescent="0.25">
      <c r="A28" s="9">
        <v>12</v>
      </c>
      <c r="B28" s="7"/>
      <c r="C28" s="18" t="s">
        <v>36</v>
      </c>
      <c r="D28" s="60">
        <v>-68413427</v>
      </c>
      <c r="E28" s="60">
        <v>-176861650</v>
      </c>
      <c r="F28" s="60">
        <f>H28-D28</f>
        <v>0</v>
      </c>
      <c r="G28" s="37">
        <f>I28-E28</f>
        <v>0</v>
      </c>
      <c r="H28" s="65">
        <f>D28</f>
        <v>-68413427</v>
      </c>
      <c r="I28" s="66">
        <f>E28</f>
        <v>-176861650</v>
      </c>
      <c r="J28" s="60"/>
      <c r="K28" s="38"/>
      <c r="L28" s="60">
        <f>H28+J28</f>
        <v>-68413427</v>
      </c>
      <c r="M28" s="38">
        <f>I28+K28</f>
        <v>-176861650</v>
      </c>
    </row>
    <row r="29" spans="1:13" x14ac:dyDescent="0.25">
      <c r="A29" s="9"/>
      <c r="B29" s="7" t="s">
        <v>37</v>
      </c>
      <c r="C29" s="6"/>
      <c r="D29" s="61">
        <v>3356035</v>
      </c>
      <c r="E29" s="39">
        <v>8817885</v>
      </c>
      <c r="F29" s="61">
        <f t="shared" ref="F29:M29" si="8">SUM(F27:F28)</f>
        <v>0</v>
      </c>
      <c r="G29" s="39">
        <f t="shared" si="8"/>
        <v>0</v>
      </c>
      <c r="H29" s="61">
        <f>SUM(H27:H28)</f>
        <v>3356035</v>
      </c>
      <c r="I29" s="39">
        <f>SUM(I27:I28)</f>
        <v>8817885</v>
      </c>
      <c r="J29" s="61">
        <f t="shared" si="8"/>
        <v>0</v>
      </c>
      <c r="K29" s="39">
        <f t="shared" si="8"/>
        <v>0</v>
      </c>
      <c r="L29" s="61">
        <f t="shared" si="8"/>
        <v>3356035</v>
      </c>
      <c r="M29" s="39">
        <f t="shared" si="8"/>
        <v>8817885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9366761</v>
      </c>
      <c r="E39" s="60">
        <v>23686243</v>
      </c>
      <c r="F39" s="60">
        <f t="shared" ref="F39:G41" si="13">H39-D39</f>
        <v>0</v>
      </c>
      <c r="G39" s="37">
        <f t="shared" si="13"/>
        <v>0</v>
      </c>
      <c r="H39" s="65">
        <f t="shared" si="12"/>
        <v>9366761</v>
      </c>
      <c r="I39" s="66">
        <f t="shared" si="12"/>
        <v>23686243</v>
      </c>
      <c r="J39" s="60"/>
      <c r="K39" s="38"/>
      <c r="L39" s="60">
        <f t="shared" ref="L39:M41" si="14">H39+J39</f>
        <v>9366761</v>
      </c>
      <c r="M39" s="38">
        <f t="shared" si="14"/>
        <v>23686243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-11877403</v>
      </c>
      <c r="E40" s="60">
        <v>-30653457</v>
      </c>
      <c r="F40" s="60">
        <f t="shared" si="13"/>
        <v>0</v>
      </c>
      <c r="G40" s="37">
        <f t="shared" si="13"/>
        <v>0</v>
      </c>
      <c r="H40" s="65">
        <f t="shared" si="12"/>
        <v>-11877403</v>
      </c>
      <c r="I40" s="66">
        <f t="shared" si="12"/>
        <v>-30653457</v>
      </c>
      <c r="J40" s="60"/>
      <c r="K40" s="38"/>
      <c r="L40" s="60">
        <f t="shared" si="14"/>
        <v>-11877403</v>
      </c>
      <c r="M40" s="38">
        <f t="shared" si="14"/>
        <v>-30653457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-11877403</v>
      </c>
      <c r="E42" s="39">
        <v>-30653457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-11877403</v>
      </c>
      <c r="I42" s="39">
        <f>SUM(I40:I41)</f>
        <v>-30653457</v>
      </c>
      <c r="J42" s="61">
        <f t="shared" si="15"/>
        <v>0</v>
      </c>
      <c r="K42" s="39">
        <f t="shared" si="15"/>
        <v>0</v>
      </c>
      <c r="L42" s="61">
        <f t="shared" si="15"/>
        <v>-11877403</v>
      </c>
      <c r="M42" s="39">
        <f t="shared" si="15"/>
        <v>-30653457</v>
      </c>
    </row>
    <row r="43" spans="1:13" ht="21" customHeight="1" x14ac:dyDescent="0.25">
      <c r="A43" s="9"/>
      <c r="B43" s="7" t="s">
        <v>49</v>
      </c>
      <c r="C43" s="6"/>
      <c r="D43" s="61">
        <v>-2510642</v>
      </c>
      <c r="E43" s="39">
        <v>-6967214</v>
      </c>
      <c r="F43" s="61">
        <f t="shared" ref="F43:M43" si="16">F42+F39</f>
        <v>0</v>
      </c>
      <c r="G43" s="39">
        <f t="shared" si="16"/>
        <v>0</v>
      </c>
      <c r="H43" s="61">
        <f>H42+H39</f>
        <v>-2510642</v>
      </c>
      <c r="I43" s="39">
        <f>I42+I39</f>
        <v>-6967214</v>
      </c>
      <c r="J43" s="61">
        <f t="shared" si="16"/>
        <v>0</v>
      </c>
      <c r="K43" s="39">
        <f t="shared" si="16"/>
        <v>0</v>
      </c>
      <c r="L43" s="61">
        <f t="shared" si="16"/>
        <v>-2510642</v>
      </c>
      <c r="M43" s="39">
        <f t="shared" si="16"/>
        <v>-6967214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9463625</v>
      </c>
      <c r="E49" s="60">
        <v>23807132.807012405</v>
      </c>
      <c r="F49" s="60">
        <f>H49-D49</f>
        <v>0</v>
      </c>
      <c r="G49" s="37">
        <f>I49-E49</f>
        <v>0</v>
      </c>
      <c r="H49" s="65">
        <f>D49</f>
        <v>9463625</v>
      </c>
      <c r="I49" s="66">
        <f>E49</f>
        <v>23807132.807012405</v>
      </c>
      <c r="J49" s="60"/>
      <c r="K49" s="38"/>
      <c r="L49" s="60">
        <f>H49+J49</f>
        <v>9463625</v>
      </c>
      <c r="M49" s="38">
        <f>I49+K49</f>
        <v>23807132.807012405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-1384131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-1384131</v>
      </c>
      <c r="J54" s="60"/>
      <c r="K54" s="38"/>
      <c r="L54" s="60">
        <f>H54+J54</f>
        <v>0</v>
      </c>
      <c r="M54" s="38">
        <f>I54+K54</f>
        <v>-1384131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-1384131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-1384131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-1384131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467945.80701240525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467945.80701240525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467945.80701240525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51905019</v>
      </c>
      <c r="E11" s="38">
        <f>'TX-EGM-FLSH'!E11+'TX-HPLR-FLSH'!E11+'TX-HPLC-FLSH'!E11</f>
        <v>133926054</v>
      </c>
      <c r="F11" s="60">
        <f>H11-D11</f>
        <v>0</v>
      </c>
      <c r="G11" s="37">
        <f>I11-E11</f>
        <v>0</v>
      </c>
      <c r="H11" s="60">
        <f>'TX-EGM-FLSH'!H11+'TX-HPLR-FLSH'!H11+'TX-HPLC-FLSH'!H11</f>
        <v>51905019</v>
      </c>
      <c r="I11" s="38">
        <f>'TX-EGM-FLSH'!I11+'TX-HPLR-FLSH'!I11+'TX-HPLC-FLSH'!I11</f>
        <v>133926054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51905019</v>
      </c>
      <c r="M11" s="38">
        <f t="shared" si="0"/>
        <v>133926054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3931485</v>
      </c>
      <c r="E13" s="38">
        <f>'TX-EGM-FLSH'!E13+'TX-HPLR-FLSH'!E13+'TX-HPLC-FLSH'!E13</f>
        <v>10142869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3931485</v>
      </c>
      <c r="I13" s="38">
        <f>'TX-EGM-FLSH'!I13+'TX-HPLR-FLSH'!I13+'TX-HPLC-FLSH'!I13</f>
        <v>10142869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3931485</v>
      </c>
      <c r="M13" s="38">
        <f t="shared" si="0"/>
        <v>10142869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55836504</v>
      </c>
      <c r="E16" s="39">
        <f>SUM(E11:E15)</f>
        <v>144188923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55836504</v>
      </c>
      <c r="I16" s="39">
        <f t="shared" si="2"/>
        <v>144188923</v>
      </c>
      <c r="J16" s="61">
        <f t="shared" si="2"/>
        <v>0</v>
      </c>
      <c r="K16" s="39">
        <f t="shared" si="2"/>
        <v>0</v>
      </c>
      <c r="L16" s="61">
        <f t="shared" si="2"/>
        <v>55836504</v>
      </c>
      <c r="M16" s="39">
        <f t="shared" si="2"/>
        <v>144188923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-52743979</v>
      </c>
      <c r="E19" s="38">
        <f>'TX-EGM-FLSH'!E19+'TX-HPLR-FLSH'!E19+'TX-HPLC-FLSH'!E19</f>
        <v>-132781195</v>
      </c>
      <c r="F19" s="60">
        <f>H19-D19</f>
        <v>0</v>
      </c>
      <c r="G19" s="37">
        <f>I19-E19</f>
        <v>0</v>
      </c>
      <c r="H19" s="60">
        <f>'TX-EGM-FLSH'!H19+'TX-HPLR-FLSH'!H19+'TX-HPLC-FLSH'!H19</f>
        <v>-52743979</v>
      </c>
      <c r="I19" s="38">
        <f>'TX-EGM-FLSH'!I19+'TX-HPLR-FLSH'!I19+'TX-HPLC-FLSH'!I19</f>
        <v>-132781195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-52743979</v>
      </c>
      <c r="M19" s="38">
        <f t="shared" si="3"/>
        <v>-132781195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-1039152</v>
      </c>
      <c r="E21" s="38">
        <f>'TX-EGM-FLSH'!E21+'TX-HPLR-FLSH'!E21+'TX-HPLC-FLSH'!E21</f>
        <v>-2562383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-1039152</v>
      </c>
      <c r="I21" s="38">
        <f>'TX-EGM-FLSH'!I21+'TX-HPLR-FLSH'!I21+'TX-HPLC-FLSH'!I21</f>
        <v>-2562383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-1039152</v>
      </c>
      <c r="M21" s="38">
        <f t="shared" si="3"/>
        <v>-2562383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10233</v>
      </c>
      <c r="E23" s="38">
        <f>'TX-EGM-FLSH'!E23+'TX-HPLR-FLSH'!E23+'TX-HPLC-FLSH'!E23</f>
        <v>25204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10233</v>
      </c>
      <c r="I23" s="38">
        <f>'TX-EGM-FLSH'!I23+'TX-HPLR-FLSH'!I23+'TX-HPLC-FLSH'!I23</f>
        <v>25204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10233</v>
      </c>
      <c r="M23" s="38">
        <f t="shared" si="3"/>
        <v>25204</v>
      </c>
    </row>
    <row r="24" spans="1:13" x14ac:dyDescent="0.25">
      <c r="A24" s="9"/>
      <c r="B24" s="7" t="s">
        <v>33</v>
      </c>
      <c r="C24" s="6"/>
      <c r="D24" s="61">
        <f>SUM(D19:D23)</f>
        <v>-53772898</v>
      </c>
      <c r="E24" s="39">
        <f>SUM(E19:E23)</f>
        <v>-135318374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-53772898</v>
      </c>
      <c r="I24" s="39">
        <f t="shared" si="5"/>
        <v>-135318374</v>
      </c>
      <c r="J24" s="61">
        <f t="shared" si="5"/>
        <v>0</v>
      </c>
      <c r="K24" s="39">
        <f t="shared" si="5"/>
        <v>0</v>
      </c>
      <c r="L24" s="61">
        <f t="shared" si="5"/>
        <v>-53772898</v>
      </c>
      <c r="M24" s="39">
        <f t="shared" si="5"/>
        <v>-135318374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86160554</v>
      </c>
      <c r="E27" s="38">
        <f>'TX-EGM-FLSH'!E27+'TX-HPLR-FLSH'!E27+'TX-HPLC-FLSH'!E27</f>
        <v>222959580</v>
      </c>
      <c r="F27" s="60">
        <f>H27-D27</f>
        <v>0</v>
      </c>
      <c r="G27" s="37">
        <f>I27-E27</f>
        <v>0</v>
      </c>
      <c r="H27" s="60">
        <f>'TX-EGM-FLSH'!H27+'TX-HPLR-FLSH'!H27+'TX-HPLC-FLSH'!H27</f>
        <v>86160554</v>
      </c>
      <c r="I27" s="38">
        <f>'TX-EGM-FLSH'!I27+'TX-HPLR-FLSH'!I27+'TX-HPLC-FLSH'!I27</f>
        <v>222959580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86160554</v>
      </c>
      <c r="M27" s="38">
        <f>I27+K27</f>
        <v>222959580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-86228879</v>
      </c>
      <c r="E28" s="38">
        <f>'TX-EGM-FLSH'!E28+'TX-HPLR-FLSH'!E28+'TX-HPLC-FLSH'!E28</f>
        <v>-223136627</v>
      </c>
      <c r="F28" s="60">
        <f>H28-D28</f>
        <v>0</v>
      </c>
      <c r="G28" s="37">
        <f>I28-E28</f>
        <v>0</v>
      </c>
      <c r="H28" s="60">
        <f>'TX-EGM-FLSH'!H28+'TX-HPLR-FLSH'!H28+'TX-HPLC-FLSH'!H28</f>
        <v>-86228879</v>
      </c>
      <c r="I28" s="38">
        <f>'TX-EGM-FLSH'!I28+'TX-HPLR-FLSH'!I28+'TX-HPLC-FLSH'!I28</f>
        <v>-223136627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-86228879</v>
      </c>
      <c r="M28" s="38">
        <f>I28+K28</f>
        <v>-223136627</v>
      </c>
    </row>
    <row r="29" spans="1:13" x14ac:dyDescent="0.25">
      <c r="A29" s="9"/>
      <c r="B29" s="7" t="s">
        <v>37</v>
      </c>
      <c r="C29" s="6"/>
      <c r="D29" s="61">
        <f>SUM(D27:D28)</f>
        <v>-68325</v>
      </c>
      <c r="E29" s="39">
        <f>SUM(E27:E28)</f>
        <v>-177047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-68325</v>
      </c>
      <c r="I29" s="39">
        <f t="shared" si="6"/>
        <v>-177047</v>
      </c>
      <c r="J29" s="61">
        <f t="shared" si="6"/>
        <v>0</v>
      </c>
      <c r="K29" s="39">
        <f t="shared" si="6"/>
        <v>0</v>
      </c>
      <c r="L29" s="61">
        <f t="shared" si="6"/>
        <v>-68325</v>
      </c>
      <c r="M29" s="39">
        <f t="shared" si="6"/>
        <v>-177047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9366761</v>
      </c>
      <c r="E39" s="38">
        <f>'TX-EGM-FLSH'!E39+'TX-HPLR-FLSH'!E39+'TX-HPLC-FLSH'!E39</f>
        <v>23686243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9366761</v>
      </c>
      <c r="I39" s="38">
        <f>'TX-EGM-FLSH'!I39+'TX-HPLR-FLSH'!I39+'TX-HPLC-FLSH'!I39</f>
        <v>23686243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9366761</v>
      </c>
      <c r="M39" s="38">
        <f t="shared" si="11"/>
        <v>23686243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-12287173</v>
      </c>
      <c r="E40" s="38">
        <f>'TX-EGM-FLSH'!E40+'TX-HPLR-FLSH'!E40+'TX-HPLC-FLSH'!E40</f>
        <v>-31685512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-12287173</v>
      </c>
      <c r="I40" s="38">
        <f>'TX-EGM-FLSH'!I40+'TX-HPLR-FLSH'!I40+'TX-HPLC-FLSH'!I40</f>
        <v>-31685512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-12287173</v>
      </c>
      <c r="M40" s="38">
        <f t="shared" si="11"/>
        <v>-31685512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-12287173</v>
      </c>
      <c r="E42" s="39">
        <f>SUM(E40:E41)</f>
        <v>-31685512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-12287173</v>
      </c>
      <c r="I42" s="39">
        <f t="shared" si="12"/>
        <v>-31685512</v>
      </c>
      <c r="J42" s="61">
        <f t="shared" si="12"/>
        <v>0</v>
      </c>
      <c r="K42" s="39">
        <f t="shared" si="12"/>
        <v>0</v>
      </c>
      <c r="L42" s="61">
        <f t="shared" si="12"/>
        <v>-12287173</v>
      </c>
      <c r="M42" s="39">
        <f t="shared" si="12"/>
        <v>-31685512</v>
      </c>
    </row>
    <row r="43" spans="1:13" ht="21" customHeight="1" x14ac:dyDescent="0.25">
      <c r="A43" s="9"/>
      <c r="B43" s="7" t="s">
        <v>49</v>
      </c>
      <c r="C43" s="6"/>
      <c r="D43" s="61">
        <f>D42+D39</f>
        <v>-2920412</v>
      </c>
      <c r="E43" s="39">
        <f>E42+E39</f>
        <v>-7999269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-2920412</v>
      </c>
      <c r="I43" s="39">
        <f t="shared" si="13"/>
        <v>-7999269</v>
      </c>
      <c r="J43" s="61">
        <f t="shared" si="13"/>
        <v>0</v>
      </c>
      <c r="K43" s="39">
        <f t="shared" si="13"/>
        <v>0</v>
      </c>
      <c r="L43" s="61">
        <f t="shared" si="13"/>
        <v>-2920412</v>
      </c>
      <c r="M43" s="39">
        <f t="shared" si="13"/>
        <v>-7999269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925131</v>
      </c>
      <c r="E49" s="38">
        <f>'TX-EGM-FLSH'!E49+'TX-HPLR-FLSH'!E49+'TX-HPLC-FLSH'!E49</f>
        <v>2327302.3371999823</v>
      </c>
      <c r="F49" s="60">
        <f>H49-D49</f>
        <v>0</v>
      </c>
      <c r="G49" s="37">
        <f>I49-E49</f>
        <v>0</v>
      </c>
      <c r="H49" s="60">
        <f>'TX-EGM-FLSH'!H49+'TX-HPLR-FLSH'!H49+'TX-HPLC-FLSH'!H49</f>
        <v>925131</v>
      </c>
      <c r="I49" s="38">
        <f>'TX-EGM-FLSH'!I49+'TX-HPLR-FLSH'!I49+'TX-HPLC-FLSH'!I49</f>
        <v>2327302.3371999823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925131</v>
      </c>
      <c r="M49" s="38">
        <f>I49+K49</f>
        <v>2327302.3371999823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-1886161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-1886161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-1886161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-1886161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-1886161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-1886161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-7489614.6200000001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-7489614.6200000001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-7489614.6200000001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2639306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2639306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2639306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-4850308.62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-4850308.62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-4850308.62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5499578.5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5499578.5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5499578.5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15012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15012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15012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-4049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-4049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-4049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222403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222403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222403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1919710.2171999775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1919710.2171999775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1919710.2171999775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1451764.4101875387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1989782.2171999775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1989782.2171999775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1989782.2171999775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40114955</v>
      </c>
      <c r="E11" s="65">
        <v>99077880</v>
      </c>
      <c r="F11" s="60">
        <f>H11-D11</f>
        <v>0</v>
      </c>
      <c r="G11" s="37">
        <f>I11-E11</f>
        <v>0</v>
      </c>
      <c r="H11" s="65">
        <f>D11</f>
        <v>40114955</v>
      </c>
      <c r="I11" s="66">
        <f>E11</f>
        <v>99077880</v>
      </c>
      <c r="J11" s="60"/>
      <c r="K11" s="38"/>
      <c r="L11" s="60">
        <f t="shared" ref="L11:M15" si="0">H11+J11</f>
        <v>40114955</v>
      </c>
      <c r="M11" s="38">
        <f t="shared" si="0"/>
        <v>99077880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12496421</v>
      </c>
      <c r="E13" s="65">
        <v>31446645</v>
      </c>
      <c r="F13" s="60">
        <f t="shared" si="1"/>
        <v>0</v>
      </c>
      <c r="G13" s="37">
        <f t="shared" si="1"/>
        <v>0</v>
      </c>
      <c r="H13" s="65">
        <f t="shared" si="2"/>
        <v>12496421</v>
      </c>
      <c r="I13" s="66">
        <f t="shared" si="2"/>
        <v>31446645</v>
      </c>
      <c r="J13" s="60"/>
      <c r="K13" s="38"/>
      <c r="L13" s="60">
        <f t="shared" si="0"/>
        <v>12496421</v>
      </c>
      <c r="M13" s="38">
        <f t="shared" si="0"/>
        <v>31446645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52611376</v>
      </c>
      <c r="E16" s="39">
        <v>130524525</v>
      </c>
      <c r="F16" s="61">
        <f t="shared" ref="F16:M16" si="3">SUM(F11:F15)</f>
        <v>0</v>
      </c>
      <c r="G16" s="39">
        <f t="shared" si="3"/>
        <v>0</v>
      </c>
      <c r="H16" s="61">
        <f>SUM(H11:H15)</f>
        <v>52611376</v>
      </c>
      <c r="I16" s="39">
        <f>SUM(I11:I15)</f>
        <v>130524525</v>
      </c>
      <c r="J16" s="61">
        <f t="shared" si="3"/>
        <v>0</v>
      </c>
      <c r="K16" s="39">
        <f t="shared" si="3"/>
        <v>0</v>
      </c>
      <c r="L16" s="61">
        <f t="shared" si="3"/>
        <v>52611376</v>
      </c>
      <c r="M16" s="39">
        <f t="shared" si="3"/>
        <v>130524525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-40238851</v>
      </c>
      <c r="E19" s="65">
        <v>-98448147</v>
      </c>
      <c r="F19" s="60">
        <f>H19-D19</f>
        <v>0</v>
      </c>
      <c r="G19" s="37">
        <f>I19-E19</f>
        <v>0</v>
      </c>
      <c r="H19" s="65">
        <f t="shared" si="4"/>
        <v>-40238851</v>
      </c>
      <c r="I19" s="66">
        <f t="shared" si="4"/>
        <v>-98448147</v>
      </c>
      <c r="J19" s="60"/>
      <c r="K19" s="38"/>
      <c r="L19" s="60">
        <f t="shared" ref="L19:M23" si="5">H19+J19</f>
        <v>-40238851</v>
      </c>
      <c r="M19" s="38">
        <f t="shared" si="5"/>
        <v>-98448147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-12490224</v>
      </c>
      <c r="E21" s="65">
        <v>-31431478</v>
      </c>
      <c r="F21" s="60">
        <f t="shared" si="6"/>
        <v>0</v>
      </c>
      <c r="G21" s="37">
        <f t="shared" si="6"/>
        <v>0</v>
      </c>
      <c r="H21" s="65">
        <f t="shared" si="4"/>
        <v>-12490224</v>
      </c>
      <c r="I21" s="66">
        <f t="shared" si="4"/>
        <v>-31431478</v>
      </c>
      <c r="J21" s="60"/>
      <c r="K21" s="38"/>
      <c r="L21" s="60">
        <f t="shared" si="5"/>
        <v>-12490224</v>
      </c>
      <c r="M21" s="38">
        <f t="shared" si="5"/>
        <v>-31431478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262303</v>
      </c>
      <c r="E23" s="65">
        <v>640136</v>
      </c>
      <c r="F23" s="60">
        <f t="shared" si="6"/>
        <v>0</v>
      </c>
      <c r="G23" s="37">
        <f t="shared" si="6"/>
        <v>0</v>
      </c>
      <c r="H23" s="65">
        <f t="shared" si="4"/>
        <v>262303</v>
      </c>
      <c r="I23" s="66">
        <f t="shared" si="4"/>
        <v>640136</v>
      </c>
      <c r="J23" s="60"/>
      <c r="K23" s="38"/>
      <c r="L23" s="60">
        <f t="shared" si="5"/>
        <v>262303</v>
      </c>
      <c r="M23" s="38">
        <f t="shared" si="5"/>
        <v>640136</v>
      </c>
    </row>
    <row r="24" spans="1:13" x14ac:dyDescent="0.25">
      <c r="A24" s="9"/>
      <c r="B24" s="7" t="s">
        <v>33</v>
      </c>
      <c r="C24" s="6"/>
      <c r="D24" s="61">
        <v>-52466772</v>
      </c>
      <c r="E24" s="39">
        <v>-129239489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-52466772</v>
      </c>
      <c r="I24" s="39">
        <f>SUM(I19:I23)</f>
        <v>-129239489</v>
      </c>
      <c r="J24" s="61">
        <f t="shared" si="7"/>
        <v>0</v>
      </c>
      <c r="K24" s="39">
        <f t="shared" si="7"/>
        <v>0</v>
      </c>
      <c r="L24" s="61">
        <f t="shared" si="7"/>
        <v>-52466772</v>
      </c>
      <c r="M24" s="39">
        <f t="shared" si="7"/>
        <v>-129239489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-11664</v>
      </c>
      <c r="E32" s="65">
        <v>-27603</v>
      </c>
      <c r="F32" s="60">
        <f>H32-D32</f>
        <v>0</v>
      </c>
      <c r="G32" s="37">
        <f>I32-E32</f>
        <v>0</v>
      </c>
      <c r="H32" s="65">
        <f t="shared" ref="H32:I35" si="9">D32</f>
        <v>-11664</v>
      </c>
      <c r="I32" s="66">
        <f t="shared" si="9"/>
        <v>-27603</v>
      </c>
      <c r="J32" s="60"/>
      <c r="K32" s="38"/>
      <c r="L32" s="60">
        <f t="shared" ref="L32:M35" si="10">H32+J32</f>
        <v>-11664</v>
      </c>
      <c r="M32" s="38">
        <f t="shared" si="10"/>
        <v>-27603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-9751</v>
      </c>
      <c r="E35" s="65">
        <v>-17021</v>
      </c>
      <c r="F35" s="60">
        <f t="shared" si="11"/>
        <v>0</v>
      </c>
      <c r="G35" s="37">
        <f t="shared" si="11"/>
        <v>0</v>
      </c>
      <c r="H35" s="65">
        <f t="shared" si="9"/>
        <v>-9751</v>
      </c>
      <c r="I35" s="66">
        <f t="shared" si="9"/>
        <v>-17021</v>
      </c>
      <c r="J35" s="60"/>
      <c r="K35" s="38"/>
      <c r="L35" s="60">
        <f t="shared" si="10"/>
        <v>-9751</v>
      </c>
      <c r="M35" s="38">
        <f t="shared" si="10"/>
        <v>-17021</v>
      </c>
    </row>
    <row r="36" spans="1:13" x14ac:dyDescent="0.25">
      <c r="A36" s="9"/>
      <c r="B36" s="7" t="s">
        <v>43</v>
      </c>
      <c r="C36" s="6"/>
      <c r="D36" s="61">
        <v>-21415</v>
      </c>
      <c r="E36" s="39">
        <v>-44624</v>
      </c>
      <c r="F36" s="61">
        <f>SUM(F32:F35)</f>
        <v>0</v>
      </c>
      <c r="G36" s="39">
        <f>SUM(G32:G35)</f>
        <v>0</v>
      </c>
      <c r="H36" s="61">
        <f>SUM(H32:H35)</f>
        <v>-21415</v>
      </c>
      <c r="I36" s="39">
        <f>SUM(I32:I35)</f>
        <v>-44624</v>
      </c>
      <c r="J36" s="61">
        <f>SUM(J32:J34)</f>
        <v>0</v>
      </c>
      <c r="K36" s="39">
        <f>SUM(K32:K34)</f>
        <v>0</v>
      </c>
      <c r="L36" s="61">
        <f>SUM(L32:L35)</f>
        <v>-21415</v>
      </c>
      <c r="M36" s="39">
        <f>SUM(M32:M35)</f>
        <v>-44624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29363</v>
      </c>
      <c r="E39" s="65">
        <v>69225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29363</v>
      </c>
      <c r="I39" s="66">
        <f t="shared" si="12"/>
        <v>69225</v>
      </c>
      <c r="J39" s="60"/>
      <c r="K39" s="38"/>
      <c r="L39" s="60">
        <f t="shared" ref="L39:M41" si="14">H39+J39</f>
        <v>29363</v>
      </c>
      <c r="M39" s="38">
        <f t="shared" si="14"/>
        <v>69225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-470</v>
      </c>
      <c r="E40" s="65">
        <v>-1069</v>
      </c>
      <c r="F40" s="60">
        <f t="shared" si="13"/>
        <v>0</v>
      </c>
      <c r="G40" s="37">
        <f t="shared" si="13"/>
        <v>0</v>
      </c>
      <c r="H40" s="65">
        <f t="shared" si="12"/>
        <v>-470</v>
      </c>
      <c r="I40" s="66">
        <f t="shared" si="12"/>
        <v>-1069</v>
      </c>
      <c r="J40" s="60"/>
      <c r="K40" s="38"/>
      <c r="L40" s="60">
        <f t="shared" si="14"/>
        <v>-470</v>
      </c>
      <c r="M40" s="38">
        <f t="shared" si="14"/>
        <v>-1069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-470</v>
      </c>
      <c r="E42" s="39">
        <v>-1069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-470</v>
      </c>
      <c r="I42" s="39">
        <f>SUM(I40:I41)</f>
        <v>-1069</v>
      </c>
      <c r="J42" s="61">
        <f t="shared" si="15"/>
        <v>0</v>
      </c>
      <c r="K42" s="39">
        <f t="shared" si="15"/>
        <v>0</v>
      </c>
      <c r="L42" s="61">
        <f t="shared" si="15"/>
        <v>-470</v>
      </c>
      <c r="M42" s="39">
        <f t="shared" si="15"/>
        <v>-1069</v>
      </c>
    </row>
    <row r="43" spans="1:13" ht="21" customHeight="1" x14ac:dyDescent="0.25">
      <c r="A43" s="9"/>
      <c r="B43" s="7" t="s">
        <v>49</v>
      </c>
      <c r="C43" s="6"/>
      <c r="D43" s="61">
        <v>28893</v>
      </c>
      <c r="E43" s="39">
        <v>68156</v>
      </c>
      <c r="F43" s="61">
        <f t="shared" ref="F43:M43" si="16">F42+F39</f>
        <v>0</v>
      </c>
      <c r="G43" s="39">
        <f t="shared" si="16"/>
        <v>0</v>
      </c>
      <c r="H43" s="61">
        <f>H42+H39</f>
        <v>28893</v>
      </c>
      <c r="I43" s="39">
        <f>I42+I39</f>
        <v>68156</v>
      </c>
      <c r="J43" s="61">
        <f t="shared" si="16"/>
        <v>0</v>
      </c>
      <c r="K43" s="39">
        <f t="shared" si="16"/>
        <v>0</v>
      </c>
      <c r="L43" s="61">
        <f t="shared" si="16"/>
        <v>28893</v>
      </c>
      <c r="M43" s="39">
        <f t="shared" si="16"/>
        <v>68156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-152082</v>
      </c>
      <c r="E49" s="65">
        <v>-365450.84604970174</v>
      </c>
      <c r="F49" s="60">
        <f>H49-D49</f>
        <v>0</v>
      </c>
      <c r="G49" s="37">
        <f>I49-E49</f>
        <v>0</v>
      </c>
      <c r="H49" s="65">
        <f>D49</f>
        <v>-152082</v>
      </c>
      <c r="I49" s="66">
        <f>E49</f>
        <v>-365450.84604970174</v>
      </c>
      <c r="J49" s="60"/>
      <c r="K49" s="38"/>
      <c r="L49" s="60">
        <f>H49+J49</f>
        <v>-152082</v>
      </c>
      <c r="M49" s="38">
        <f>I49+K49</f>
        <v>-365450.84604970174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-262303</v>
      </c>
      <c r="E51" s="65">
        <v>-640136</v>
      </c>
      <c r="F51" s="60">
        <f>H51-D51</f>
        <v>0</v>
      </c>
      <c r="G51" s="37">
        <f>I51-E51</f>
        <v>0</v>
      </c>
      <c r="H51" s="65">
        <f>D51</f>
        <v>-262303</v>
      </c>
      <c r="I51" s="66">
        <f>E51</f>
        <v>-640136</v>
      </c>
      <c r="J51" s="60"/>
      <c r="K51" s="38"/>
      <c r="L51" s="60">
        <f>H51+J51</f>
        <v>-262303</v>
      </c>
      <c r="M51" s="38">
        <f>I51+K51</f>
        <v>-640136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-167389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-167389</v>
      </c>
      <c r="J54" s="60"/>
      <c r="K54" s="38"/>
      <c r="L54" s="60">
        <f>H54+J54</f>
        <v>0</v>
      </c>
      <c r="M54" s="38">
        <f>I54+K54</f>
        <v>-167389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-802458.92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-802458.92</v>
      </c>
      <c r="J55" s="60"/>
      <c r="K55" s="38"/>
      <c r="L55" s="60">
        <f>H55+J55</f>
        <v>0</v>
      </c>
      <c r="M55" s="38">
        <f>I55+K55</f>
        <v>-802458.92</v>
      </c>
    </row>
    <row r="56" spans="1:15" x14ac:dyDescent="0.25">
      <c r="A56" s="9"/>
      <c r="B56" s="7" t="s">
        <v>57</v>
      </c>
      <c r="C56" s="6"/>
      <c r="D56" s="61">
        <v>0</v>
      </c>
      <c r="E56" s="39">
        <v>-969847.92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-969847.92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-969847.92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2516504.2799999998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2516504.2799999998</v>
      </c>
      <c r="J70" s="60"/>
      <c r="K70" s="38"/>
      <c r="L70" s="60">
        <f>H70+J70</f>
        <v>0</v>
      </c>
      <c r="M70" s="38">
        <f>I70+K70</f>
        <v>2516504.2799999998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-6953222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-6953222</v>
      </c>
      <c r="J71" s="60"/>
      <c r="K71" s="38"/>
      <c r="L71" s="60">
        <f>H71+J71</f>
        <v>0</v>
      </c>
      <c r="M71" s="38">
        <f>I71+K71</f>
        <v>-6953222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-4436717.72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-4436717.7200000007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-4436717.7200000007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4906529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4906529</v>
      </c>
      <c r="J74" s="60"/>
      <c r="K74" s="38"/>
      <c r="L74" s="60">
        <f t="shared" si="22"/>
        <v>0</v>
      </c>
      <c r="M74" s="38">
        <f t="shared" si="22"/>
        <v>4906529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-19005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-19005</v>
      </c>
      <c r="J76" s="60"/>
      <c r="K76" s="38"/>
      <c r="L76" s="60">
        <f t="shared" si="22"/>
        <v>0</v>
      </c>
      <c r="M76" s="38">
        <f t="shared" si="22"/>
        <v>-19005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1656734.75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1656734.75</v>
      </c>
      <c r="J81" s="60"/>
      <c r="K81" s="38"/>
      <c r="L81" s="60">
        <f t="shared" si="22"/>
        <v>0</v>
      </c>
      <c r="M81" s="38">
        <f t="shared" si="22"/>
        <v>1656734.75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1440674.2639502995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1440674.2639502995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1440674.2639502995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1440674.2639502995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1440674.2639502995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1440674.2639502995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4188330</v>
      </c>
      <c r="E11" s="65">
        <v>9835988</v>
      </c>
      <c r="F11" s="60">
        <f>H11-D11</f>
        <v>0</v>
      </c>
      <c r="G11" s="37">
        <f>I11-E11</f>
        <v>0</v>
      </c>
      <c r="H11" s="65">
        <f>D11</f>
        <v>4188330</v>
      </c>
      <c r="I11" s="66">
        <f>E11</f>
        <v>9835988</v>
      </c>
      <c r="J11" s="60"/>
      <c r="K11" s="38"/>
      <c r="L11" s="60">
        <f t="shared" ref="L11:M15" si="0">H11+J11</f>
        <v>4188330</v>
      </c>
      <c r="M11" s="38">
        <f t="shared" si="0"/>
        <v>9835988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4793099</v>
      </c>
      <c r="E13" s="65">
        <v>11586227</v>
      </c>
      <c r="F13" s="60">
        <f t="shared" si="1"/>
        <v>0</v>
      </c>
      <c r="G13" s="37">
        <f t="shared" si="1"/>
        <v>0</v>
      </c>
      <c r="H13" s="65">
        <f t="shared" si="2"/>
        <v>4793099</v>
      </c>
      <c r="I13" s="66">
        <f t="shared" si="2"/>
        <v>11586227</v>
      </c>
      <c r="J13" s="60"/>
      <c r="K13" s="38"/>
      <c r="L13" s="60">
        <f t="shared" si="0"/>
        <v>4793099</v>
      </c>
      <c r="M13" s="38">
        <f t="shared" si="0"/>
        <v>11586227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8981429</v>
      </c>
      <c r="E16" s="39">
        <v>21422215</v>
      </c>
      <c r="F16" s="61">
        <f t="shared" ref="F16:M16" si="3">SUM(F11:F15)</f>
        <v>0</v>
      </c>
      <c r="G16" s="39">
        <f t="shared" si="3"/>
        <v>0</v>
      </c>
      <c r="H16" s="61">
        <f>SUM(H11:H15)</f>
        <v>8981429</v>
      </c>
      <c r="I16" s="39">
        <f>SUM(I11:I15)</f>
        <v>21422215</v>
      </c>
      <c r="J16" s="61">
        <f t="shared" si="3"/>
        <v>0</v>
      </c>
      <c r="K16" s="39">
        <f t="shared" si="3"/>
        <v>0</v>
      </c>
      <c r="L16" s="61">
        <f t="shared" si="3"/>
        <v>8981429</v>
      </c>
      <c r="M16" s="39">
        <f t="shared" si="3"/>
        <v>21422215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-5337442</v>
      </c>
      <c r="E19" s="65">
        <v>-11954334</v>
      </c>
      <c r="F19" s="60">
        <f>H19-D19</f>
        <v>0</v>
      </c>
      <c r="G19" s="37">
        <f>I19-E19</f>
        <v>0</v>
      </c>
      <c r="H19" s="65">
        <f t="shared" si="4"/>
        <v>-5337442</v>
      </c>
      <c r="I19" s="66">
        <f t="shared" si="4"/>
        <v>-11954334</v>
      </c>
      <c r="J19" s="60"/>
      <c r="K19" s="38"/>
      <c r="L19" s="60">
        <f t="shared" ref="L19:M23" si="5">H19+J19</f>
        <v>-5337442</v>
      </c>
      <c r="M19" s="38">
        <f t="shared" si="5"/>
        <v>-11954334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-3870800</v>
      </c>
      <c r="E21" s="65">
        <v>-9286254</v>
      </c>
      <c r="F21" s="60">
        <f t="shared" si="6"/>
        <v>0</v>
      </c>
      <c r="G21" s="37">
        <f t="shared" si="6"/>
        <v>0</v>
      </c>
      <c r="H21" s="65">
        <f t="shared" si="4"/>
        <v>-3870800</v>
      </c>
      <c r="I21" s="66">
        <f t="shared" si="4"/>
        <v>-9286254</v>
      </c>
      <c r="J21" s="60"/>
      <c r="K21" s="38"/>
      <c r="L21" s="60">
        <f t="shared" si="5"/>
        <v>-3870800</v>
      </c>
      <c r="M21" s="38">
        <f t="shared" si="5"/>
        <v>-9286254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15734</v>
      </c>
      <c r="E23" s="65">
        <v>36373</v>
      </c>
      <c r="F23" s="60">
        <f t="shared" si="6"/>
        <v>0</v>
      </c>
      <c r="G23" s="37">
        <f t="shared" si="6"/>
        <v>0</v>
      </c>
      <c r="H23" s="65">
        <f t="shared" si="4"/>
        <v>15734</v>
      </c>
      <c r="I23" s="66">
        <f t="shared" si="4"/>
        <v>36373</v>
      </c>
      <c r="J23" s="60"/>
      <c r="K23" s="38"/>
      <c r="L23" s="60">
        <f t="shared" si="5"/>
        <v>15734</v>
      </c>
      <c r="M23" s="38">
        <f t="shared" si="5"/>
        <v>36373</v>
      </c>
    </row>
    <row r="24" spans="1:13" x14ac:dyDescent="0.25">
      <c r="A24" s="9"/>
      <c r="B24" s="7" t="s">
        <v>33</v>
      </c>
      <c r="C24" s="6"/>
      <c r="D24" s="61">
        <v>-9192508</v>
      </c>
      <c r="E24" s="39">
        <v>-21204215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-9192508</v>
      </c>
      <c r="I24" s="39">
        <f>SUM(I19:I23)</f>
        <v>-21204215</v>
      </c>
      <c r="J24" s="61">
        <f t="shared" si="7"/>
        <v>0</v>
      </c>
      <c r="K24" s="39">
        <f t="shared" si="7"/>
        <v>0</v>
      </c>
      <c r="L24" s="61">
        <f t="shared" si="7"/>
        <v>-9192508</v>
      </c>
      <c r="M24" s="39">
        <f t="shared" si="7"/>
        <v>-21204215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4148</v>
      </c>
      <c r="E32" s="65">
        <v>8691</v>
      </c>
      <c r="F32" s="60">
        <f>H32-D32</f>
        <v>0</v>
      </c>
      <c r="G32" s="37">
        <f>I32-E32</f>
        <v>0</v>
      </c>
      <c r="H32" s="65">
        <f t="shared" ref="H32:I35" si="9">D32</f>
        <v>4148</v>
      </c>
      <c r="I32" s="66">
        <f t="shared" si="9"/>
        <v>8691</v>
      </c>
      <c r="J32" s="60"/>
      <c r="K32" s="38"/>
      <c r="L32" s="60">
        <f t="shared" ref="L32:M35" si="10">H32+J32</f>
        <v>4148</v>
      </c>
      <c r="M32" s="38">
        <f t="shared" si="10"/>
        <v>8691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4148</v>
      </c>
      <c r="E36" s="39">
        <v>8691</v>
      </c>
      <c r="F36" s="61">
        <f>SUM(F32:F35)</f>
        <v>0</v>
      </c>
      <c r="G36" s="39">
        <f>SUM(G32:G35)</f>
        <v>0</v>
      </c>
      <c r="H36" s="61">
        <f>SUM(H32:H35)</f>
        <v>4148</v>
      </c>
      <c r="I36" s="39">
        <f>SUM(I32:I35)</f>
        <v>8691</v>
      </c>
      <c r="J36" s="61">
        <f>SUM(J32:J34)</f>
        <v>0</v>
      </c>
      <c r="K36" s="39">
        <f>SUM(K32:K34)</f>
        <v>0</v>
      </c>
      <c r="L36" s="61">
        <f>SUM(L32:L35)</f>
        <v>4148</v>
      </c>
      <c r="M36" s="39">
        <f>SUM(M32:M35)</f>
        <v>8691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206931</v>
      </c>
      <c r="E49" s="65">
        <v>483447.79135326593</v>
      </c>
      <c r="F49" s="60">
        <f>H49-D49</f>
        <v>0</v>
      </c>
      <c r="G49" s="37">
        <f>I49-E49</f>
        <v>0</v>
      </c>
      <c r="H49" s="65">
        <f>D49</f>
        <v>206931</v>
      </c>
      <c r="I49" s="66">
        <f>E49</f>
        <v>483447.79135326593</v>
      </c>
      <c r="J49" s="60"/>
      <c r="K49" s="38"/>
      <c r="L49" s="60">
        <f>H49+J49</f>
        <v>206931</v>
      </c>
      <c r="M49" s="38">
        <f>I49+K49</f>
        <v>483447.79135326593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-15734</v>
      </c>
      <c r="E51" s="65">
        <v>-36373</v>
      </c>
      <c r="F51" s="60">
        <f>H51-D51</f>
        <v>0</v>
      </c>
      <c r="G51" s="37">
        <f>I51-E51</f>
        <v>0</v>
      </c>
      <c r="H51" s="65">
        <f>D51</f>
        <v>-15734</v>
      </c>
      <c r="I51" s="66">
        <f>E51</f>
        <v>-36373</v>
      </c>
      <c r="J51" s="60"/>
      <c r="K51" s="38"/>
      <c r="L51" s="60">
        <f>H51+J51</f>
        <v>-15734</v>
      </c>
      <c r="M51" s="38">
        <f>I51+K51</f>
        <v>-36373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-141551.28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-141551.28</v>
      </c>
      <c r="J54" s="60"/>
      <c r="K54" s="38"/>
      <c r="L54" s="60">
        <f>H54+J54</f>
        <v>0</v>
      </c>
      <c r="M54" s="38">
        <f>I54+K54</f>
        <v>-141551.28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-371579.5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-371579.5</v>
      </c>
      <c r="J55" s="60"/>
      <c r="K55" s="38"/>
      <c r="L55" s="60">
        <f>H55+J55</f>
        <v>0</v>
      </c>
      <c r="M55" s="38">
        <f>I55+K55</f>
        <v>-371579.5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-513130.78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-513130.78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-513130.78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-9098.9600000001956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-9098.9600000001956</v>
      </c>
      <c r="J70" s="60"/>
      <c r="K70" s="38"/>
      <c r="L70" s="60">
        <f>H70+J70</f>
        <v>0</v>
      </c>
      <c r="M70" s="38">
        <f>I70+K70</f>
        <v>-9098.9600000001956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-9098.9600000001956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-9098.9600000001956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-9098.9600000001956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25575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25575</v>
      </c>
      <c r="J74" s="60"/>
      <c r="K74" s="38"/>
      <c r="L74" s="60">
        <f t="shared" si="22"/>
        <v>0</v>
      </c>
      <c r="M74" s="38">
        <f t="shared" si="22"/>
        <v>25575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-187291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-187291</v>
      </c>
      <c r="J81" s="60"/>
      <c r="K81" s="38"/>
      <c r="L81" s="60">
        <f t="shared" si="22"/>
        <v>0</v>
      </c>
      <c r="M81" s="38">
        <f t="shared" si="22"/>
        <v>-187291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-10179.948646734934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-10179.948646734934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-10179.948646734934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212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405697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395517.05135326507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395517.05135326507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395517.05135326507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C77" sqref="C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8752473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8752473</v>
      </c>
      <c r="J12" s="60"/>
      <c r="K12" s="38"/>
      <c r="L12" s="60">
        <f t="shared" si="0"/>
        <v>0</v>
      </c>
      <c r="M12" s="38">
        <f t="shared" si="0"/>
        <v>8752473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8752473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8752473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8752473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-15092193.5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-15092193.5</v>
      </c>
      <c r="J70" s="65"/>
      <c r="K70" s="38"/>
      <c r="L70" s="60">
        <f t="shared" si="20"/>
        <v>0</v>
      </c>
      <c r="M70" s="38">
        <f t="shared" si="20"/>
        <v>-15092193.5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-15092193.5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-15092193.5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-15092193.5</v>
      </c>
    </row>
    <row r="73" spans="1:13" x14ac:dyDescent="0.25">
      <c r="A73" s="9">
        <v>32</v>
      </c>
      <c r="B73" s="3"/>
      <c r="C73" s="10" t="s">
        <v>131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9582508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9582508</v>
      </c>
      <c r="J74" s="60"/>
      <c r="K74" s="38"/>
      <c r="L74" s="60">
        <f t="shared" si="23"/>
        <v>0</v>
      </c>
      <c r="M74" s="38">
        <f t="shared" si="23"/>
        <v>9582508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-18007.5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-18007.5</v>
      </c>
      <c r="J76" s="60"/>
      <c r="K76" s="38"/>
      <c r="L76" s="60">
        <f t="shared" si="23"/>
        <v>0</v>
      </c>
      <c r="M76" s="38">
        <f t="shared" si="23"/>
        <v>-18007.5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209</v>
      </c>
      <c r="D79" s="60"/>
      <c r="E79" s="38">
        <v>-820129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-820129</v>
      </c>
      <c r="J79" s="60"/>
      <c r="K79" s="38"/>
      <c r="L79" s="60">
        <f t="shared" si="23"/>
        <v>0</v>
      </c>
      <c r="M79" s="38">
        <f t="shared" si="23"/>
        <v>-820129</v>
      </c>
    </row>
    <row r="80" spans="1:13" x14ac:dyDescent="0.25">
      <c r="A80" s="9">
        <v>39</v>
      </c>
      <c r="B80" s="3"/>
      <c r="C80" s="10" t="s">
        <v>217</v>
      </c>
      <c r="D80" s="60"/>
      <c r="E80" s="38">
        <v>-187922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-187922</v>
      </c>
      <c r="J80" s="60"/>
      <c r="K80" s="38"/>
      <c r="L80" s="60">
        <f t="shared" si="23"/>
        <v>0</v>
      </c>
      <c r="M80" s="38">
        <f t="shared" si="23"/>
        <v>-187922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2704302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2704302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2704302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40570776</v>
      </c>
      <c r="E11" s="146">
        <v>107384109</v>
      </c>
      <c r="F11" s="60">
        <f>H11-D11</f>
        <v>0</v>
      </c>
      <c r="G11" s="37">
        <f>I11-E11</f>
        <v>0</v>
      </c>
      <c r="H11" s="65">
        <f>D11</f>
        <v>40570776</v>
      </c>
      <c r="I11" s="66">
        <f>E11</f>
        <v>107384109</v>
      </c>
      <c r="J11" s="60"/>
      <c r="K11" s="38"/>
      <c r="L11" s="60">
        <f t="shared" ref="L11:M15" si="0">H11+J11</f>
        <v>40570776</v>
      </c>
      <c r="M11" s="38">
        <f t="shared" si="0"/>
        <v>107384109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2609695</v>
      </c>
      <c r="E13" s="146">
        <v>7032887</v>
      </c>
      <c r="F13" s="60">
        <f t="shared" si="1"/>
        <v>0</v>
      </c>
      <c r="G13" s="37">
        <f t="shared" si="1"/>
        <v>0</v>
      </c>
      <c r="H13" s="65">
        <f t="shared" si="2"/>
        <v>2609695</v>
      </c>
      <c r="I13" s="66">
        <f t="shared" si="2"/>
        <v>7032887</v>
      </c>
      <c r="J13" s="60"/>
      <c r="K13" s="38"/>
      <c r="L13" s="60">
        <f t="shared" si="0"/>
        <v>2609695</v>
      </c>
      <c r="M13" s="38">
        <f t="shared" si="0"/>
        <v>7032887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43180471</v>
      </c>
      <c r="E16" s="166">
        <v>114416996</v>
      </c>
      <c r="F16" s="61">
        <f t="shared" ref="F16:M16" si="3">SUM(F11:F15)</f>
        <v>0</v>
      </c>
      <c r="G16" s="39">
        <f t="shared" si="3"/>
        <v>0</v>
      </c>
      <c r="H16" s="61">
        <f>SUM(H11:H15)</f>
        <v>43180471</v>
      </c>
      <c r="I16" s="39">
        <f>SUM(I11:I15)</f>
        <v>114416996</v>
      </c>
      <c r="J16" s="61">
        <f t="shared" si="3"/>
        <v>0</v>
      </c>
      <c r="K16" s="39">
        <f t="shared" si="3"/>
        <v>0</v>
      </c>
      <c r="L16" s="61">
        <f t="shared" si="3"/>
        <v>43180471</v>
      </c>
      <c r="M16" s="39">
        <f t="shared" si="3"/>
        <v>114416996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-42745216</v>
      </c>
      <c r="E19" s="146">
        <v>-112922463</v>
      </c>
      <c r="F19" s="60">
        <f>H19-D19</f>
        <v>0</v>
      </c>
      <c r="G19" s="37">
        <f>I19-E19</f>
        <v>0</v>
      </c>
      <c r="H19" s="65">
        <f t="shared" si="4"/>
        <v>-42745216</v>
      </c>
      <c r="I19" s="66">
        <f t="shared" si="4"/>
        <v>-112922463</v>
      </c>
      <c r="J19" s="60"/>
      <c r="K19" s="38"/>
      <c r="L19" s="60">
        <f t="shared" ref="L19:M23" si="5">H19+J19</f>
        <v>-42745216</v>
      </c>
      <c r="M19" s="38">
        <f t="shared" si="5"/>
        <v>-112922463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-646403</v>
      </c>
      <c r="E21" s="146">
        <v>-1785006</v>
      </c>
      <c r="F21" s="60">
        <f t="shared" si="6"/>
        <v>0</v>
      </c>
      <c r="G21" s="37">
        <f t="shared" si="6"/>
        <v>0</v>
      </c>
      <c r="H21" s="65">
        <f t="shared" si="4"/>
        <v>-646403</v>
      </c>
      <c r="I21" s="66">
        <f t="shared" si="4"/>
        <v>-1785006</v>
      </c>
      <c r="J21" s="60"/>
      <c r="K21" s="38"/>
      <c r="L21" s="60">
        <f t="shared" si="5"/>
        <v>-646403</v>
      </c>
      <c r="M21" s="38">
        <f t="shared" si="5"/>
        <v>-1785006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-43391619</v>
      </c>
      <c r="E24" s="166">
        <v>-114707469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-43391619</v>
      </c>
      <c r="I24" s="39">
        <f>SUM(I19:I23)</f>
        <v>-114707469</v>
      </c>
      <c r="J24" s="61">
        <f t="shared" si="7"/>
        <v>0</v>
      </c>
      <c r="K24" s="39">
        <f t="shared" si="7"/>
        <v>0</v>
      </c>
      <c r="L24" s="61">
        <f t="shared" si="7"/>
        <v>-43391619</v>
      </c>
      <c r="M24" s="39">
        <f t="shared" si="7"/>
        <v>-114707469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211148</v>
      </c>
      <c r="E49" s="146">
        <v>578545.52</v>
      </c>
      <c r="F49" s="60">
        <f>H49-D49</f>
        <v>0</v>
      </c>
      <c r="G49" s="37">
        <f>I49-E49</f>
        <v>0</v>
      </c>
      <c r="H49" s="65">
        <f>D49</f>
        <v>211148</v>
      </c>
      <c r="I49" s="66">
        <f>E49</f>
        <v>578545.52</v>
      </c>
      <c r="J49" s="60"/>
      <c r="K49" s="38"/>
      <c r="L49" s="60">
        <f>H49+J49</f>
        <v>211148</v>
      </c>
      <c r="M49" s="38">
        <f>I49+K49</f>
        <v>578545.52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-63713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-63713</v>
      </c>
      <c r="J54" s="60"/>
      <c r="K54" s="38"/>
      <c r="L54" s="60">
        <f>H54+J54</f>
        <v>0</v>
      </c>
      <c r="M54" s="38">
        <f>I54+K54</f>
        <v>-63713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-63713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-63713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-63713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1556139.5228982903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1556139.5228982903</v>
      </c>
      <c r="J70" s="65"/>
      <c r="K70" s="38"/>
      <c r="L70" s="60">
        <f t="shared" si="20"/>
        <v>0</v>
      </c>
      <c r="M70" s="38">
        <f t="shared" si="20"/>
        <v>1556139.5228982903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-1508209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-1508209</v>
      </c>
      <c r="J71" s="65"/>
      <c r="K71" s="38"/>
      <c r="L71" s="60">
        <f t="shared" si="20"/>
        <v>0</v>
      </c>
      <c r="M71" s="38">
        <f t="shared" si="20"/>
        <v>-1508209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47930.522898290306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47930.522898290306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47930.522898290306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-27057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-27057</v>
      </c>
      <c r="J74" s="60"/>
      <c r="K74" s="38"/>
      <c r="L74" s="60">
        <f t="shared" si="23"/>
        <v>0</v>
      </c>
      <c r="M74" s="38">
        <f t="shared" si="23"/>
        <v>-27057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-977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-977</v>
      </c>
      <c r="J76" s="60"/>
      <c r="K76" s="38"/>
      <c r="L76" s="60">
        <f t="shared" si="23"/>
        <v>0</v>
      </c>
      <c r="M76" s="38">
        <f t="shared" si="23"/>
        <v>-977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45401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45401</v>
      </c>
      <c r="J81" s="60"/>
      <c r="K81" s="38"/>
      <c r="L81" s="60">
        <f t="shared" si="23"/>
        <v>0</v>
      </c>
      <c r="M81" s="38">
        <f t="shared" si="23"/>
        <v>45401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289657.0428982866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289657.0428982866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289657.0428982866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713297.0428982866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713297.0428982866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713297.0428982866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9" sqref="D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19414957</v>
      </c>
      <c r="E11" s="65">
        <v>35215549</v>
      </c>
      <c r="F11" s="60">
        <f>H11-D11</f>
        <v>0</v>
      </c>
      <c r="G11" s="37">
        <f>I11-E11</f>
        <v>0</v>
      </c>
      <c r="H11" s="65">
        <f>D11</f>
        <v>19414957</v>
      </c>
      <c r="I11" s="66">
        <f>E11</f>
        <v>35215549</v>
      </c>
      <c r="J11" s="60"/>
      <c r="K11" s="38"/>
      <c r="L11" s="60">
        <f t="shared" ref="L11:M15" si="0">H11+J11</f>
        <v>19414957</v>
      </c>
      <c r="M11" s="38">
        <f t="shared" si="0"/>
        <v>35215549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40256482</v>
      </c>
      <c r="E13" s="65">
        <v>149667712</v>
      </c>
      <c r="F13" s="60">
        <f t="shared" si="1"/>
        <v>0</v>
      </c>
      <c r="G13" s="37">
        <f t="shared" si="1"/>
        <v>0</v>
      </c>
      <c r="H13" s="65">
        <f t="shared" si="2"/>
        <v>40256482</v>
      </c>
      <c r="I13" s="66">
        <f t="shared" si="2"/>
        <v>149667712</v>
      </c>
      <c r="J13" s="60"/>
      <c r="K13" s="38"/>
      <c r="L13" s="60">
        <f t="shared" si="0"/>
        <v>40256482</v>
      </c>
      <c r="M13" s="38">
        <f t="shared" si="0"/>
        <v>149667712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10512425.220000001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10512425.220000001</v>
      </c>
      <c r="J15" s="60"/>
      <c r="K15" s="38"/>
      <c r="L15" s="60">
        <f t="shared" si="0"/>
        <v>0</v>
      </c>
      <c r="M15" s="38">
        <f t="shared" si="0"/>
        <v>10512425.220000001</v>
      </c>
    </row>
    <row r="16" spans="1:26" x14ac:dyDescent="0.25">
      <c r="A16" s="9"/>
      <c r="B16" s="7" t="s">
        <v>30</v>
      </c>
      <c r="C16" s="6"/>
      <c r="D16" s="61">
        <v>59671439</v>
      </c>
      <c r="E16" s="39">
        <v>195395686.22</v>
      </c>
      <c r="F16" s="61">
        <f t="shared" ref="F16:M16" si="3">SUM(F11:F15)</f>
        <v>0</v>
      </c>
      <c r="G16" s="39">
        <f t="shared" si="3"/>
        <v>0</v>
      </c>
      <c r="H16" s="61">
        <f>SUM(H11:H15)</f>
        <v>59671439</v>
      </c>
      <c r="I16" s="39">
        <f>SUM(I11:I15)</f>
        <v>195395686.22</v>
      </c>
      <c r="J16" s="61">
        <f t="shared" si="3"/>
        <v>0</v>
      </c>
      <c r="K16" s="39">
        <f t="shared" si="3"/>
        <v>0</v>
      </c>
      <c r="L16" s="61">
        <f t="shared" si="3"/>
        <v>59671439</v>
      </c>
      <c r="M16" s="39">
        <f t="shared" si="3"/>
        <v>195395686.22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-7535915</v>
      </c>
      <c r="E19" s="65">
        <v>-18315516</v>
      </c>
      <c r="F19" s="60">
        <f>H19-D19</f>
        <v>0</v>
      </c>
      <c r="G19" s="37">
        <f>I19-E19</f>
        <v>0</v>
      </c>
      <c r="H19" s="65">
        <f t="shared" si="4"/>
        <v>-7535915</v>
      </c>
      <c r="I19" s="66">
        <f t="shared" si="4"/>
        <v>-18315516</v>
      </c>
      <c r="J19" s="60"/>
      <c r="K19" s="38"/>
      <c r="L19" s="60">
        <f t="shared" ref="L19:M23" si="5">H19+J19</f>
        <v>-7535915</v>
      </c>
      <c r="M19" s="38">
        <f t="shared" si="5"/>
        <v>-18315516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-39772236</v>
      </c>
      <c r="E21" s="65">
        <v>-142874735</v>
      </c>
      <c r="F21" s="60">
        <f t="shared" si="6"/>
        <v>0</v>
      </c>
      <c r="G21" s="37">
        <f t="shared" si="6"/>
        <v>0</v>
      </c>
      <c r="H21" s="65">
        <f t="shared" si="4"/>
        <v>-39772236</v>
      </c>
      <c r="I21" s="66">
        <f t="shared" si="4"/>
        <v>-142874735</v>
      </c>
      <c r="J21" s="60"/>
      <c r="K21" s="38"/>
      <c r="L21" s="60">
        <f t="shared" si="5"/>
        <v>-39772236</v>
      </c>
      <c r="M21" s="38">
        <f t="shared" si="5"/>
        <v>-142874735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747549</v>
      </c>
      <c r="E23" s="65">
        <v>2185244</v>
      </c>
      <c r="F23" s="60">
        <f t="shared" si="6"/>
        <v>0</v>
      </c>
      <c r="G23" s="37">
        <f t="shared" si="6"/>
        <v>0</v>
      </c>
      <c r="H23" s="65">
        <f t="shared" si="4"/>
        <v>747549</v>
      </c>
      <c r="I23" s="66">
        <f t="shared" si="4"/>
        <v>2185244</v>
      </c>
      <c r="J23" s="60"/>
      <c r="K23" s="38"/>
      <c r="L23" s="60">
        <f t="shared" si="5"/>
        <v>747549</v>
      </c>
      <c r="M23" s="38">
        <f t="shared" si="5"/>
        <v>2185244</v>
      </c>
    </row>
    <row r="24" spans="1:13" x14ac:dyDescent="0.25">
      <c r="A24" s="9"/>
      <c r="B24" s="7" t="s">
        <v>33</v>
      </c>
      <c r="C24" s="6"/>
      <c r="D24" s="61">
        <v>-46560602</v>
      </c>
      <c r="E24" s="39">
        <v>-159005007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-46560602</v>
      </c>
      <c r="I24" s="39">
        <f>SUM(I19:I23)</f>
        <v>-159005007</v>
      </c>
      <c r="J24" s="61">
        <f t="shared" si="7"/>
        <v>0</v>
      </c>
      <c r="K24" s="39">
        <f t="shared" si="7"/>
        <v>0</v>
      </c>
      <c r="L24" s="61">
        <f t="shared" si="7"/>
        <v>-46560602</v>
      </c>
      <c r="M24" s="39">
        <f t="shared" si="7"/>
        <v>-159005007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1488</v>
      </c>
      <c r="E35" s="65">
        <v>-1520</v>
      </c>
      <c r="F35" s="60">
        <f t="shared" si="11"/>
        <v>0</v>
      </c>
      <c r="G35" s="37">
        <f t="shared" si="11"/>
        <v>0</v>
      </c>
      <c r="H35" s="65">
        <f t="shared" si="9"/>
        <v>1488</v>
      </c>
      <c r="I35" s="66">
        <f t="shared" si="9"/>
        <v>-1520</v>
      </c>
      <c r="J35" s="60"/>
      <c r="K35" s="38"/>
      <c r="L35" s="60">
        <f t="shared" si="10"/>
        <v>1488</v>
      </c>
      <c r="M35" s="38">
        <f t="shared" si="10"/>
        <v>-1520</v>
      </c>
    </row>
    <row r="36" spans="1:13" x14ac:dyDescent="0.25">
      <c r="A36" s="9"/>
      <c r="B36" s="7" t="s">
        <v>43</v>
      </c>
      <c r="C36" s="6"/>
      <c r="D36" s="61">
        <v>1488</v>
      </c>
      <c r="E36" s="39">
        <v>-1520</v>
      </c>
      <c r="F36" s="61">
        <f>SUM(F32:F35)</f>
        <v>0</v>
      </c>
      <c r="G36" s="39">
        <f>SUM(G32:G35)</f>
        <v>0</v>
      </c>
      <c r="H36" s="61">
        <f>SUM(H32:H35)</f>
        <v>1488</v>
      </c>
      <c r="I36" s="39">
        <f>SUM(I32:I35)</f>
        <v>-1520</v>
      </c>
      <c r="J36" s="61">
        <f>SUM(J32:J34)</f>
        <v>0</v>
      </c>
      <c r="K36" s="39">
        <f>SUM(K32:K34)</f>
        <v>0</v>
      </c>
      <c r="L36" s="61">
        <f>SUM(L32:L35)</f>
        <v>1488</v>
      </c>
      <c r="M36" s="39">
        <f>SUM(M32:M35)</f>
        <v>-1520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23051</v>
      </c>
      <c r="E39" s="65">
        <v>67068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23051</v>
      </c>
      <c r="I39" s="66">
        <f t="shared" si="12"/>
        <v>67068</v>
      </c>
      <c r="J39" s="60"/>
      <c r="K39" s="38"/>
      <c r="L39" s="60">
        <f t="shared" ref="L39:M41" si="14">H39+J39</f>
        <v>23051</v>
      </c>
      <c r="M39" s="38">
        <f t="shared" si="14"/>
        <v>67068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-13224004</v>
      </c>
      <c r="E40" s="65">
        <v>-22987000</v>
      </c>
      <c r="F40" s="60">
        <f t="shared" si="13"/>
        <v>0</v>
      </c>
      <c r="G40" s="37">
        <f t="shared" si="13"/>
        <v>0</v>
      </c>
      <c r="H40" s="65">
        <f t="shared" si="12"/>
        <v>-13224004</v>
      </c>
      <c r="I40" s="66">
        <f t="shared" si="12"/>
        <v>-22987000</v>
      </c>
      <c r="J40" s="65"/>
      <c r="K40" s="38"/>
      <c r="L40" s="60">
        <f t="shared" si="14"/>
        <v>-13224004</v>
      </c>
      <c r="M40" s="38">
        <f t="shared" si="14"/>
        <v>-22987000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-13224004</v>
      </c>
      <c r="E42" s="39">
        <v>-22987000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-13224004</v>
      </c>
      <c r="I42" s="39">
        <f>SUM(I40:I41)</f>
        <v>-22987000</v>
      </c>
      <c r="J42" s="69">
        <f t="shared" si="15"/>
        <v>0</v>
      </c>
      <c r="K42" s="39">
        <f t="shared" si="15"/>
        <v>0</v>
      </c>
      <c r="L42" s="69">
        <f t="shared" si="15"/>
        <v>-13224004</v>
      </c>
      <c r="M42" s="39">
        <f t="shared" si="15"/>
        <v>-22987000</v>
      </c>
    </row>
    <row r="43" spans="1:13" ht="21" customHeight="1" x14ac:dyDescent="0.25">
      <c r="A43" s="9"/>
      <c r="B43" s="7" t="s">
        <v>49</v>
      </c>
      <c r="C43" s="6"/>
      <c r="D43" s="61">
        <v>-13200953</v>
      </c>
      <c r="E43" s="39">
        <v>-22919932</v>
      </c>
      <c r="F43" s="61">
        <f t="shared" ref="F43:M43" si="16">F42+F39</f>
        <v>0</v>
      </c>
      <c r="G43" s="39">
        <f t="shared" si="16"/>
        <v>0</v>
      </c>
      <c r="H43" s="61">
        <f>H42+H39</f>
        <v>-13200953</v>
      </c>
      <c r="I43" s="39">
        <f>I42+I39</f>
        <v>-22919932</v>
      </c>
      <c r="J43" s="61">
        <f t="shared" si="16"/>
        <v>0</v>
      </c>
      <c r="K43" s="39">
        <f t="shared" si="16"/>
        <v>0</v>
      </c>
      <c r="L43" s="61">
        <f t="shared" si="16"/>
        <v>-13200953</v>
      </c>
      <c r="M43" s="39">
        <f t="shared" si="16"/>
        <v>-22919932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88628</v>
      </c>
      <c r="E49" s="65">
        <v>237966.18</v>
      </c>
      <c r="F49" s="60">
        <f>H49-D49</f>
        <v>0</v>
      </c>
      <c r="G49" s="37">
        <f>I49-E49</f>
        <v>0</v>
      </c>
      <c r="H49" s="65">
        <f>D49</f>
        <v>88628</v>
      </c>
      <c r="I49" s="66">
        <f>E49</f>
        <v>237966.18</v>
      </c>
      <c r="J49" s="60"/>
      <c r="K49" s="38"/>
      <c r="L49" s="60">
        <f>H49+J49</f>
        <v>88628</v>
      </c>
      <c r="M49" s="38">
        <f>I49+K49</f>
        <v>237966.18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-747549</v>
      </c>
      <c r="E51" s="65">
        <v>-2185244</v>
      </c>
      <c r="F51" s="60">
        <f>H51-D51</f>
        <v>0</v>
      </c>
      <c r="G51" s="37">
        <f>I51-E51</f>
        <v>0</v>
      </c>
      <c r="H51" s="65">
        <f>D51</f>
        <v>-747549</v>
      </c>
      <c r="I51" s="66">
        <f>E51</f>
        <v>-2185244</v>
      </c>
      <c r="J51" s="60"/>
      <c r="K51" s="38"/>
      <c r="L51" s="60">
        <f>H51+J51</f>
        <v>-747549</v>
      </c>
      <c r="M51" s="38">
        <f>I51+K51</f>
        <v>-2185244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-709607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-709607</v>
      </c>
      <c r="J54" s="60"/>
      <c r="K54" s="38"/>
      <c r="L54" s="60">
        <f>H54+J54</f>
        <v>0</v>
      </c>
      <c r="M54" s="38">
        <f>I54+K54</f>
        <v>-709607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-10512425.220000001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-10512425.220000001</v>
      </c>
      <c r="J55" s="60"/>
      <c r="K55" s="38"/>
      <c r="L55" s="60">
        <f>H55+J55</f>
        <v>0</v>
      </c>
      <c r="M55" s="38">
        <f>I55+K55</f>
        <v>-10512425.220000001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-11222032.220000001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-11222032.220000001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-11222032.220000001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-2467844.7902992023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-2467844.7902992023</v>
      </c>
      <c r="J70" s="65"/>
      <c r="K70" s="38"/>
      <c r="L70" s="60">
        <f t="shared" si="20"/>
        <v>0</v>
      </c>
      <c r="M70" s="38">
        <f t="shared" si="20"/>
        <v>-2467844.7902992023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-5937114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-5937114</v>
      </c>
      <c r="J71" s="65"/>
      <c r="K71" s="38"/>
      <c r="L71" s="60">
        <f t="shared" si="20"/>
        <v>0</v>
      </c>
      <c r="M71" s="38">
        <f t="shared" si="20"/>
        <v>-5937114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-8404958.7902992032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-8404958.7902992032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-8404958.7902992032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6927911.3600000003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6927911.3600000003</v>
      </c>
      <c r="J74" s="60"/>
      <c r="K74" s="38"/>
      <c r="L74" s="60">
        <f t="shared" si="23"/>
        <v>0</v>
      </c>
      <c r="M74" s="38">
        <f t="shared" si="23"/>
        <v>6927911.3600000003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509600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509600</v>
      </c>
      <c r="J81" s="60"/>
      <c r="K81" s="38"/>
      <c r="L81" s="60">
        <f t="shared" si="23"/>
        <v>0</v>
      </c>
      <c r="M81" s="38">
        <f t="shared" si="23"/>
        <v>509600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-667530.25029919483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-667530.25029919483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-667530.25029919483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G54" activePane="bottomRight" state="frozen"/>
      <selection activeCell="D10" sqref="D10"/>
      <selection pane="topRight" activeCell="D10" sqref="D10"/>
      <selection pane="bottomLeft" activeCell="D10" sqref="D10"/>
      <selection pane="bottomRight" activeCell="M75" sqref="M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89211840</v>
      </c>
      <c r="E11" s="38">
        <f>SUM(G11,I11,K11,M11,O11,Q11,S11,U11,W11,Y11,AA11,AC11,AE11)</f>
        <v>226940301.91999996</v>
      </c>
      <c r="F11" s="60">
        <f>'TIE-OUT'!F11+RECLASS!F11</f>
        <v>0</v>
      </c>
      <c r="G11" s="38">
        <f>'TIE-OUT'!G11+RECLASS!G11</f>
        <v>-800447</v>
      </c>
      <c r="H11" s="118">
        <f>+Actuals!E164</f>
        <v>89154745</v>
      </c>
      <c r="I11" s="119">
        <f>+Actuals!F164</f>
        <v>228577447.23999998</v>
      </c>
      <c r="J11" s="118">
        <f>+Actuals!G164</f>
        <v>310179</v>
      </c>
      <c r="K11" s="119">
        <f>+Actuals!H164</f>
        <v>-186130.74</v>
      </c>
      <c r="L11" s="118">
        <f>+Actuals!I164</f>
        <v>-253084</v>
      </c>
      <c r="M11" s="119">
        <f>+Actuals!J164</f>
        <v>-650567.57999999996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3215601.25</v>
      </c>
      <c r="F12" s="60">
        <f>'TIE-OUT'!F12+RECLASS!F12</f>
        <v>0</v>
      </c>
      <c r="G12" s="38">
        <f>'TIE-OUT'!G12+RECLASS!G12</f>
        <v>3198201.23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1">
        <v>17400.02</v>
      </c>
      <c r="L12" s="118">
        <f>+Actuals!I165</f>
        <v>0</v>
      </c>
      <c r="M12" s="119"/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16106252</v>
      </c>
      <c r="E13" s="38">
        <f t="shared" si="0"/>
        <v>42226547</v>
      </c>
      <c r="F13" s="60">
        <f>'TIE-OUT'!F13+RECLASS!F13</f>
        <v>0</v>
      </c>
      <c r="G13" s="38">
        <f>'TIE-OUT'!G13+RECLASS!G13</f>
        <v>0</v>
      </c>
      <c r="H13" s="118">
        <f>+Actuals!E166</f>
        <v>39137924</v>
      </c>
      <c r="I13" s="119">
        <f>+Actuals!F166</f>
        <v>101009075</v>
      </c>
      <c r="J13" s="118">
        <f>+Actuals!G166</f>
        <v>-23031672</v>
      </c>
      <c r="K13" s="119">
        <f>+Actuals!H166</f>
        <v>-58782528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1528311.7300000002</v>
      </c>
      <c r="F15" s="81">
        <f>'TIE-OUT'!F15+RECLASS!F15</f>
        <v>0</v>
      </c>
      <c r="G15" s="82">
        <f>'TIE-OUT'!G15+RECLASS!G15</f>
        <v>-1261087</v>
      </c>
      <c r="H15" s="118">
        <f>+Actuals!E168</f>
        <v>0</v>
      </c>
      <c r="I15" s="119">
        <f>+Actuals!F168</f>
        <v>1343339.62</v>
      </c>
      <c r="J15" s="118">
        <f>+Actuals!G168</f>
        <v>0</v>
      </c>
      <c r="K15" s="119">
        <f>+Actuals!H168</f>
        <v>1446059.11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105318092</v>
      </c>
      <c r="E16" s="39">
        <f t="shared" si="1"/>
        <v>273910761.89999998</v>
      </c>
      <c r="F16" s="61">
        <f t="shared" si="1"/>
        <v>0</v>
      </c>
      <c r="G16" s="39">
        <f t="shared" si="1"/>
        <v>1136667.23</v>
      </c>
      <c r="H16" s="61">
        <f t="shared" si="1"/>
        <v>128292669</v>
      </c>
      <c r="I16" s="39">
        <f t="shared" si="1"/>
        <v>330929861.86000001</v>
      </c>
      <c r="J16" s="61">
        <f t="shared" ref="J16:AO16" si="2">SUM(J11:J15)</f>
        <v>-22721493</v>
      </c>
      <c r="K16" s="39">
        <f t="shared" si="2"/>
        <v>-57505199.609999999</v>
      </c>
      <c r="L16" s="61">
        <f>SUM(L11:L15)</f>
        <v>-253084</v>
      </c>
      <c r="M16" s="39">
        <f>SUM(M11:M15)</f>
        <v>-650567.57999999996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-101122508</v>
      </c>
      <c r="E19" s="38">
        <f t="shared" si="3"/>
        <v>-260148044.17000002</v>
      </c>
      <c r="F19" s="64">
        <f>'TIE-OUT'!F19+RECLASS!F19</f>
        <v>0</v>
      </c>
      <c r="G19" s="68">
        <f>'TIE-OUT'!G19+RECLASS!G19</f>
        <v>1330734</v>
      </c>
      <c r="H19" s="118">
        <f>+Actuals!E169</f>
        <v>-98600161</v>
      </c>
      <c r="I19" s="119">
        <f>+Actuals!F169</f>
        <v>-254701095.34</v>
      </c>
      <c r="J19" s="118">
        <f>+Actuals!G169</f>
        <v>-2236678</v>
      </c>
      <c r="K19" s="119">
        <f>+Actuals!H169</f>
        <v>-6010840.3600000003</v>
      </c>
      <c r="L19" s="118">
        <f>+Actuals!I169</f>
        <v>-285669</v>
      </c>
      <c r="M19" s="119">
        <f>+Actuals!J169</f>
        <v>-766842.47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1290212.5799999998</v>
      </c>
      <c r="F20" s="60">
        <f>'TIE-OUT'!F20+RECLASS!F20</f>
        <v>0</v>
      </c>
      <c r="G20" s="38">
        <f>'TIE-OUT'!G20+RECLASS!G20</f>
        <v>1335743.94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1">
        <v>-45531.360000000001</v>
      </c>
      <c r="L20" s="118">
        <f>+Actuals!I170</f>
        <v>0</v>
      </c>
      <c r="M20" s="119"/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-5506578</v>
      </c>
      <c r="E21" s="38">
        <f t="shared" si="3"/>
        <v>-14472082</v>
      </c>
      <c r="F21" s="60">
        <f>'TIE-OUT'!F21+RECLASS!F21</f>
        <v>0</v>
      </c>
      <c r="G21" s="38">
        <f>'TIE-OUT'!G21+RECLASS!G21</f>
        <v>0</v>
      </c>
      <c r="H21" s="118">
        <f>+Actuals!E171</f>
        <v>-26155472</v>
      </c>
      <c r="I21" s="119">
        <f>+Actuals!F171</f>
        <v>-67212397</v>
      </c>
      <c r="J21" s="118">
        <f>+Actuals!G171</f>
        <v>20648894</v>
      </c>
      <c r="K21" s="119">
        <f>+Actuals!H171</f>
        <v>52740315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799623</v>
      </c>
      <c r="E23" s="38">
        <f t="shared" si="3"/>
        <v>2055830.733</v>
      </c>
      <c r="F23" s="81">
        <f>'TIE-OUT'!F23+RECLASS!F23</f>
        <v>0</v>
      </c>
      <c r="G23" s="82">
        <f>'TIE-OUT'!G23+RECLASS!G23</f>
        <v>0</v>
      </c>
      <c r="H23" s="118">
        <f>+Actuals!E173</f>
        <v>781724</v>
      </c>
      <c r="I23" s="119">
        <f>+Actuals!F173</f>
        <v>2009812.4040000001</v>
      </c>
      <c r="J23" s="118">
        <f>+Actuals!G173</f>
        <v>17121</v>
      </c>
      <c r="K23" s="119">
        <f>+Actuals!H173</f>
        <v>44018.091</v>
      </c>
      <c r="L23" s="118">
        <f>+Actuals!I173</f>
        <v>778</v>
      </c>
      <c r="M23" s="119">
        <f>+Actuals!J173</f>
        <v>2000.2380000000001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-105829463</v>
      </c>
      <c r="E24" s="39">
        <f t="shared" si="4"/>
        <v>-271274082.85700005</v>
      </c>
      <c r="F24" s="61">
        <f t="shared" si="4"/>
        <v>0</v>
      </c>
      <c r="G24" s="39">
        <f t="shared" si="4"/>
        <v>2666477.94</v>
      </c>
      <c r="H24" s="61">
        <f t="shared" si="4"/>
        <v>-123973909</v>
      </c>
      <c r="I24" s="39">
        <f t="shared" si="4"/>
        <v>-319903679.93600005</v>
      </c>
      <c r="J24" s="61">
        <f t="shared" ref="J24:AO24" si="5">SUM(J19:J23)</f>
        <v>18429337</v>
      </c>
      <c r="K24" s="39">
        <f t="shared" si="5"/>
        <v>46727961.370999999</v>
      </c>
      <c r="L24" s="61">
        <f>SUM(L19:L23)</f>
        <v>-284891</v>
      </c>
      <c r="M24" s="39">
        <f>SUM(M19:M23)</f>
        <v>-764842.23199999996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302429</v>
      </c>
      <c r="E27" s="38">
        <f>SUM(G27,I27,K27,M27,O27,Q27,S27,U27,W27,Y27,AA27,AC27,AE27)</f>
        <v>749895.67</v>
      </c>
      <c r="F27" s="64">
        <f>'TIE-OUT'!F27+RECLASS!F27</f>
        <v>0</v>
      </c>
      <c r="G27" s="68">
        <f>'TIE-OUT'!G27+RECLASS!G27</f>
        <v>0</v>
      </c>
      <c r="H27" s="118">
        <f>+Actuals!E174</f>
        <v>302429</v>
      </c>
      <c r="I27" s="119">
        <f>+Actuals!F174</f>
        <v>749895.67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-58619</v>
      </c>
      <c r="E28" s="38">
        <f>SUM(G28,I28,K28,M28,O28,Q28,S28,U28,W28,Y28,AA28,AC28,AE28)</f>
        <v>-152271.29999999999</v>
      </c>
      <c r="F28" s="81">
        <f>'TIE-OUT'!F28+RECLASS!F28</f>
        <v>0</v>
      </c>
      <c r="G28" s="82">
        <f>'TIE-OUT'!G28+RECLASS!G28</f>
        <v>0</v>
      </c>
      <c r="H28" s="118">
        <f>+Actuals!E175</f>
        <v>-58619</v>
      </c>
      <c r="I28" s="119">
        <f>+Actuals!F175</f>
        <v>-152271.29999999999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243810</v>
      </c>
      <c r="E29" s="39">
        <f t="shared" si="6"/>
        <v>597624.37000000011</v>
      </c>
      <c r="F29" s="61">
        <f t="shared" si="6"/>
        <v>0</v>
      </c>
      <c r="G29" s="39">
        <f t="shared" si="6"/>
        <v>0</v>
      </c>
      <c r="H29" s="61">
        <f t="shared" si="6"/>
        <v>243810</v>
      </c>
      <c r="I29" s="39">
        <f t="shared" si="6"/>
        <v>597624.37000000011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-361452</v>
      </c>
      <c r="E32" s="38">
        <f t="shared" si="8"/>
        <v>-929293.09200000018</v>
      </c>
      <c r="F32" s="64">
        <f>'TIE-OUT'!F32+RECLASS!F32</f>
        <v>0</v>
      </c>
      <c r="G32" s="68">
        <f>'TIE-OUT'!G32+RECLASS!G32</f>
        <v>0</v>
      </c>
      <c r="H32" s="118">
        <f>+Actuals!E176</f>
        <v>-347083</v>
      </c>
      <c r="I32" s="119">
        <f>+Actuals!F176</f>
        <v>-892350.39300000004</v>
      </c>
      <c r="J32" s="118">
        <f>+Actuals!G176</f>
        <v>-271246</v>
      </c>
      <c r="K32" s="119">
        <f>+Actuals!H176</f>
        <v>-697373.46600000001</v>
      </c>
      <c r="L32" s="118">
        <f>+Actuals!I176</f>
        <v>256877</v>
      </c>
      <c r="M32" s="119">
        <f>+Actuals!J176</f>
        <v>660430.76699999999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-25939</v>
      </c>
      <c r="E33" s="38">
        <f t="shared" si="8"/>
        <v>-67676.479999999996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-19195</v>
      </c>
      <c r="K33" s="119">
        <f>+Actuals!H177</f>
        <v>-50212.6</v>
      </c>
      <c r="L33" s="118">
        <f>+Actuals!I177</f>
        <v>-6744</v>
      </c>
      <c r="M33" s="119">
        <f>+Actuals!J177</f>
        <v>-17463.88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10110</v>
      </c>
      <c r="E34" s="38">
        <f t="shared" si="8"/>
        <v>25535.81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9741</v>
      </c>
      <c r="K34" s="119">
        <f>+Actuals!H178</f>
        <v>24588.59</v>
      </c>
      <c r="L34" s="118">
        <f>+Actuals!I178</f>
        <v>369</v>
      </c>
      <c r="M34" s="119">
        <f>+Actuals!J178</f>
        <v>947.22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-377281</v>
      </c>
      <c r="E36" s="39">
        <f t="shared" si="9"/>
        <v>-971433.7620000001</v>
      </c>
      <c r="F36" s="61">
        <f t="shared" si="9"/>
        <v>0</v>
      </c>
      <c r="G36" s="39">
        <f t="shared" si="9"/>
        <v>0</v>
      </c>
      <c r="H36" s="61">
        <f t="shared" si="9"/>
        <v>-347083</v>
      </c>
      <c r="I36" s="39">
        <f t="shared" si="9"/>
        <v>-892350.39300000004</v>
      </c>
      <c r="J36" s="61">
        <f t="shared" ref="J36:AO36" si="10">SUM(J32:J35)</f>
        <v>-280700</v>
      </c>
      <c r="K36" s="39">
        <f t="shared" si="10"/>
        <v>-722997.47600000002</v>
      </c>
      <c r="L36" s="61">
        <f>SUM(L32:L35)</f>
        <v>250502</v>
      </c>
      <c r="M36" s="39">
        <f>SUM(M32:M35)</f>
        <v>643914.10699999996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3231</v>
      </c>
      <c r="E39" s="38">
        <f t="shared" si="11"/>
        <v>8306.9</v>
      </c>
      <c r="F39" s="64">
        <f>'TIE-OUT'!F39+RECLASS!F39</f>
        <v>0</v>
      </c>
      <c r="G39" s="68">
        <f>'TIE-OUT'!G39+RECLASS!G39</f>
        <v>0</v>
      </c>
      <c r="H39" s="118">
        <f>+Actuals!E180</f>
        <v>5016</v>
      </c>
      <c r="I39" s="119">
        <f>+Actuals!F180</f>
        <v>12896.14</v>
      </c>
      <c r="J39" s="118">
        <f>+Actuals!G180</f>
        <v>-1033</v>
      </c>
      <c r="K39" s="119">
        <f>+Actuals!H180</f>
        <v>-2655.85</v>
      </c>
      <c r="L39" s="118">
        <f>+Actuals!I180</f>
        <v>-752</v>
      </c>
      <c r="M39" s="119">
        <f>+Actuals!J180</f>
        <v>-1933.39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-503397</v>
      </c>
      <c r="E40" s="38">
        <f t="shared" si="11"/>
        <v>-1296172.81</v>
      </c>
      <c r="F40" s="60">
        <f>'TIE-OUT'!F40+RECLASS!F40</f>
        <v>0</v>
      </c>
      <c r="G40" s="38">
        <f>'TIE-OUT'!G40+RECLASS!G40</f>
        <v>0</v>
      </c>
      <c r="H40" s="118">
        <f>+Actuals!E181</f>
        <v>-505725</v>
      </c>
      <c r="I40" s="119">
        <f>+Actuals!F181</f>
        <v>-1310755.55</v>
      </c>
      <c r="J40" s="118">
        <f>+Actuals!G181</f>
        <v>502317</v>
      </c>
      <c r="K40" s="119">
        <f>+Actuals!H181</f>
        <v>1300054.46</v>
      </c>
      <c r="L40" s="118">
        <f>+Actuals!I181</f>
        <v>-499989</v>
      </c>
      <c r="M40" s="119">
        <f>+Actuals!J181</f>
        <v>-1285471.72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-503397</v>
      </c>
      <c r="E42" s="39">
        <f t="shared" si="12"/>
        <v>-1296172.81</v>
      </c>
      <c r="F42" s="61">
        <f t="shared" si="12"/>
        <v>0</v>
      </c>
      <c r="G42" s="39">
        <f t="shared" si="12"/>
        <v>0</v>
      </c>
      <c r="H42" s="61">
        <f t="shared" si="12"/>
        <v>-505725</v>
      </c>
      <c r="I42" s="39">
        <f t="shared" si="12"/>
        <v>-1310755.55</v>
      </c>
      <c r="J42" s="61">
        <f t="shared" ref="J42:AO42" si="13">SUM(J40:J41)</f>
        <v>502317</v>
      </c>
      <c r="K42" s="39">
        <f t="shared" si="13"/>
        <v>1300054.46</v>
      </c>
      <c r="L42" s="61">
        <f>SUM(L40:L41)</f>
        <v>-499989</v>
      </c>
      <c r="M42" s="39">
        <f>SUM(M40:M41)</f>
        <v>-1285471.72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-500166</v>
      </c>
      <c r="E43" s="39">
        <f t="shared" si="14"/>
        <v>-1287865.9100000001</v>
      </c>
      <c r="F43" s="61">
        <f t="shared" si="14"/>
        <v>0</v>
      </c>
      <c r="G43" s="39">
        <f t="shared" si="14"/>
        <v>0</v>
      </c>
      <c r="H43" s="61">
        <f t="shared" si="14"/>
        <v>-500709</v>
      </c>
      <c r="I43" s="39">
        <f t="shared" si="14"/>
        <v>-1297859.4100000001</v>
      </c>
      <c r="J43" s="61">
        <f t="shared" ref="J43:AO43" si="15">J42+J39</f>
        <v>501284</v>
      </c>
      <c r="K43" s="39">
        <f t="shared" si="15"/>
        <v>1297398.6099999999</v>
      </c>
      <c r="L43" s="61">
        <f>L42+L39</f>
        <v>-500741</v>
      </c>
      <c r="M43" s="39">
        <f>M42+M39</f>
        <v>-1287405.1099999999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1145008</v>
      </c>
      <c r="E49" s="38">
        <f>SUM(G49,I49,K49,M49,O49,Q49,S49,U49,W49,Y49,AA49,AC49,AE49)</f>
        <v>2943815.568</v>
      </c>
      <c r="F49" s="60">
        <f>'TIE-OUT'!F49+RECLASS!F49</f>
        <v>0</v>
      </c>
      <c r="G49" s="38">
        <f>'TIE-OUT'!G49+RECLASS!G49</f>
        <v>0</v>
      </c>
      <c r="H49" s="118">
        <f>+Actuals!E185</f>
        <v>-3714778</v>
      </c>
      <c r="I49" s="119">
        <f>+Actuals!F185</f>
        <v>-9550694.2379999999</v>
      </c>
      <c r="J49" s="118">
        <f>+Actuals!G185</f>
        <v>4071572</v>
      </c>
      <c r="K49" s="119">
        <f>+Actuals!H185</f>
        <v>10468011.612</v>
      </c>
      <c r="L49" s="118">
        <f>+Actuals!I185</f>
        <v>788214</v>
      </c>
      <c r="M49" s="119">
        <f>+Actuals!J185</f>
        <v>2026498.1939999999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-799623</v>
      </c>
      <c r="E51" s="38">
        <f>SUM(G51,I51,K51,M51,O51,Q51,S51,U51,W51,Y51,AA51,AC51,AE51)</f>
        <v>-2055830.733</v>
      </c>
      <c r="F51" s="60">
        <f>'TIE-OUT'!F51+RECLASS!F51</f>
        <v>0</v>
      </c>
      <c r="G51" s="38">
        <f>'TIE-OUT'!G51+RECLASS!G51</f>
        <v>0</v>
      </c>
      <c r="H51" s="118">
        <f>+Actuals!E186</f>
        <v>-781724</v>
      </c>
      <c r="I51" s="119">
        <f>+Actuals!F186</f>
        <v>-2009812.4040000001</v>
      </c>
      <c r="J51" s="118">
        <f>+Actuals!G186</f>
        <v>-17121</v>
      </c>
      <c r="K51" s="119">
        <f>+Actuals!H186</f>
        <v>-44018.091</v>
      </c>
      <c r="L51" s="118">
        <f>+Actuals!I186</f>
        <v>-778</v>
      </c>
      <c r="M51" s="119">
        <f>+Actuals!J186</f>
        <v>-2000.2380000000001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-69107492</v>
      </c>
      <c r="E54" s="38">
        <f>SUM(G54,I54,K54,M54,O54,Q54,S54,U54,W54,Y54,AA54,AC54,AE54)</f>
        <v>-487145.65</v>
      </c>
      <c r="F54" s="64">
        <f>'TIE-OUT'!F54+RECLASS!F54</f>
        <v>0</v>
      </c>
      <c r="G54" s="68">
        <f>'TIE-OUT'!G54+RECLASS!G54</f>
        <v>0</v>
      </c>
      <c r="H54" s="118">
        <f>+Actuals!E187</f>
        <v>-62756765</v>
      </c>
      <c r="I54" s="119">
        <f>+Actuals!F187</f>
        <v>-492818.96</v>
      </c>
      <c r="J54" s="118">
        <f>+Actuals!G187</f>
        <v>-1795800</v>
      </c>
      <c r="K54" s="119">
        <f>+Actuals!H187</f>
        <v>-4204.710000000021</v>
      </c>
      <c r="L54" s="118">
        <f>+Actuals!I187</f>
        <v>-4554927</v>
      </c>
      <c r="M54" s="119">
        <f>+Actuals!J187</f>
        <v>9878.02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-2147731.2000000002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-2459980.02</v>
      </c>
      <c r="J55" s="118">
        <f>+Actuals!G188</f>
        <v>0</v>
      </c>
      <c r="K55" s="119">
        <f>+Actuals!H188</f>
        <v>-234464.16</v>
      </c>
      <c r="L55" s="118">
        <f>+Actuals!I188</f>
        <v>0</v>
      </c>
      <c r="M55" s="119">
        <f>+Actuals!J188</f>
        <v>546712.98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-69107492</v>
      </c>
      <c r="E56" s="39">
        <f t="shared" si="16"/>
        <v>-2634876.85</v>
      </c>
      <c r="F56" s="61">
        <f t="shared" si="16"/>
        <v>0</v>
      </c>
      <c r="G56" s="39">
        <f t="shared" si="16"/>
        <v>0</v>
      </c>
      <c r="H56" s="61">
        <f t="shared" si="16"/>
        <v>-62756765</v>
      </c>
      <c r="I56" s="39">
        <f t="shared" si="16"/>
        <v>-2952798.98</v>
      </c>
      <c r="J56" s="61">
        <f t="shared" ref="J56:AO56" si="17">SUM(J54:J55)</f>
        <v>-1795800</v>
      </c>
      <c r="K56" s="39">
        <f t="shared" si="17"/>
        <v>-238668.87000000002</v>
      </c>
      <c r="L56" s="61">
        <f>SUM(L54:L55)</f>
        <v>-4554927</v>
      </c>
      <c r="M56" s="39">
        <f>SUM(M54:M55)</f>
        <v>556591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4506255.0199999996</v>
      </c>
      <c r="F70" s="64">
        <f>'TIE-OUT'!F70+RECLASS!F70</f>
        <v>0</v>
      </c>
      <c r="G70" s="68">
        <f>'TIE-OUT'!G70+RECLASS!G70</f>
        <v>4506255.0199999996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-7591856.8799999999</v>
      </c>
      <c r="F71" s="81">
        <f>'TIE-OUT'!F71+RECLASS!F71</f>
        <v>0</v>
      </c>
      <c r="G71" s="82">
        <f>'TIE-OUT'!G71+RECLASS!G71</f>
        <v>-7591856.8799999999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-3085601.8600000003</v>
      </c>
      <c r="F72" s="61">
        <f t="shared" si="22"/>
        <v>0</v>
      </c>
      <c r="G72" s="39">
        <f t="shared" si="22"/>
        <v>-3085601.8600000003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3130695.13</v>
      </c>
      <c r="F74" s="60">
        <f>'TIE-OUT'!F74+RECLASS!F74</f>
        <v>0</v>
      </c>
      <c r="G74" s="60">
        <f>'TIE-OUT'!G74+RECLASS!G74</f>
        <v>3022814.17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v>107880.96000000001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12700</v>
      </c>
      <c r="F75" s="60">
        <f>'TIE-OUT'!F75+RECLASS!F75</f>
        <v>0</v>
      </c>
      <c r="G75" s="60">
        <f>'TIE-OUT'!G75+RECLASS!G75</f>
        <v>12700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-17018.14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-14264.32</v>
      </c>
      <c r="J76" s="118">
        <f>+Actuals!G198</f>
        <v>0</v>
      </c>
      <c r="K76" s="119">
        <f>+Actuals!H198</f>
        <v>-2753.82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-731113.14400008181</v>
      </c>
      <c r="F82" s="91">
        <f>F16+F24+F29+F36+F43+F45+F47+F49</f>
        <v>0</v>
      </c>
      <c r="G82" s="92">
        <f>SUM(G72:G81)+G16+G24+G29+G36+G43+G45+G47+G49+G51+G56+G61+G66</f>
        <v>3753057.4799999995</v>
      </c>
      <c r="H82" s="91">
        <f>H16+H24+H29+H36+H43+H45+H47+H49</f>
        <v>0</v>
      </c>
      <c r="I82" s="137">
        <f>SUM(I72:I81)+I16+I24+I29+I36+I43+I45+I47+I49+I51+I56+I61+I66</f>
        <v>-5093973.4510000255</v>
      </c>
      <c r="J82" s="91">
        <f>J16+J24+J29+J36+J43+J45+J47+J49</f>
        <v>0</v>
      </c>
      <c r="K82" s="137">
        <f>SUM(K72:K81)+K16+K24+K29+K36+K43+K45+K47+K49+K51+K56+K61+K66</f>
        <v>-20266.274000001053</v>
      </c>
      <c r="L82" s="91">
        <f>L16+L24+L29+L36+L43+L45+L47+L49</f>
        <v>0</v>
      </c>
      <c r="M82" s="92">
        <f>SUM(M72:M81)+M16+M24+M29+M36+M43+M45+M47+M49+M51+M56+M61+M66</f>
        <v>630069.10099999991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E10" activePane="bottomRight" state="frozen"/>
      <selection activeCell="L19" sqref="L19"/>
      <selection pane="topRight" activeCell="L19" sqref="L19"/>
      <selection pane="bottomLeft" activeCell="L19" sqref="L19"/>
      <selection pane="bottomRight" activeCell="F11" sqref="F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5709009</v>
      </c>
      <c r="E11" s="38">
        <f>SUM(G11,I11,K11,M11,O11,Q11,S11,U11,W11,Y11,AA11,AC11,AE11)</f>
        <v>16109298.780000001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5709814</v>
      </c>
      <c r="I11" s="118">
        <f>+Actuals!F404</f>
        <v>19378552.57</v>
      </c>
      <c r="J11" s="118">
        <f>+Actuals!G404</f>
        <v>-805</v>
      </c>
      <c r="K11" s="118">
        <f>+Actuals!H404</f>
        <v>-3269253.79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-669889.77</v>
      </c>
      <c r="F12" s="60">
        <f>'TIE-OUT'!AD12+RECLASS!AD12</f>
        <v>0</v>
      </c>
      <c r="G12" s="38">
        <f>'TIE-OUT'!AE12+RECLASS!AE12</f>
        <v>-669889.77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2">
        <v>0</v>
      </c>
      <c r="L12" s="118">
        <f>+Actuals!I405</f>
        <v>0</v>
      </c>
      <c r="M12" s="118"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371635</v>
      </c>
      <c r="E13" s="38">
        <f t="shared" si="0"/>
        <v>1057221</v>
      </c>
      <c r="F13" s="60">
        <f>'TIE-OUT'!AD13+RECLASS!AD13</f>
        <v>0</v>
      </c>
      <c r="G13" s="38">
        <f>'TIE-OUT'!AE13+RECLASS!AE13</f>
        <v>0</v>
      </c>
      <c r="H13" s="118">
        <f>+Actuals!E406</f>
        <v>4527333</v>
      </c>
      <c r="I13" s="118">
        <f>+Actuals!F406</f>
        <v>12032946</v>
      </c>
      <c r="J13" s="118">
        <f>+Actuals!G406</f>
        <v>-4155698</v>
      </c>
      <c r="K13" s="118">
        <f>+Actuals!H406</f>
        <v>-10975725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6080644</v>
      </c>
      <c r="E16" s="39">
        <f t="shared" si="1"/>
        <v>16496630.010000002</v>
      </c>
      <c r="F16" s="61">
        <f t="shared" si="1"/>
        <v>0</v>
      </c>
      <c r="G16" s="39">
        <f t="shared" si="1"/>
        <v>-669889.77</v>
      </c>
      <c r="H16" s="61">
        <f t="shared" si="1"/>
        <v>10237147</v>
      </c>
      <c r="I16" s="61">
        <f t="shared" si="1"/>
        <v>31411498.57</v>
      </c>
      <c r="J16" s="61">
        <f t="shared" si="1"/>
        <v>-4156503</v>
      </c>
      <c r="K16" s="61">
        <f t="shared" si="1"/>
        <v>-14244978.789999999</v>
      </c>
      <c r="L16" s="61">
        <f>SUM(L11:L15)</f>
        <v>0</v>
      </c>
      <c r="M16" s="61">
        <f>SUM(M11:M15)</f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-1005610</v>
      </c>
      <c r="E19" s="38">
        <f t="shared" si="2"/>
        <v>-3122499.95</v>
      </c>
      <c r="F19" s="64">
        <f>'TIE-OUT'!AD19+RECLASS!AD19</f>
        <v>0</v>
      </c>
      <c r="G19" s="68">
        <f>'TIE-OUT'!AE19+RECLASS!AE19</f>
        <v>0</v>
      </c>
      <c r="H19" s="118">
        <f>+Actuals!E409</f>
        <v>-953683</v>
      </c>
      <c r="I19" s="118">
        <f>+Actuals!F409</f>
        <v>-3328698.97</v>
      </c>
      <c r="J19" s="118">
        <f>+Actuals!G409</f>
        <v>-51927</v>
      </c>
      <c r="K19" s="118">
        <f>+Actuals!H409</f>
        <v>206199.02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-54782.65</v>
      </c>
      <c r="F20" s="60">
        <f>'TIE-OUT'!AD20+RECLASS!AD20</f>
        <v>0</v>
      </c>
      <c r="G20" s="38">
        <f>'TIE-OUT'!AE20+RECLASS!AE20</f>
        <v>-54782.65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-2538126</v>
      </c>
      <c r="E21" s="38">
        <f t="shared" si="2"/>
        <v>-6650891</v>
      </c>
      <c r="F21" s="60">
        <f>'TIE-OUT'!AD21+RECLASS!AD21</f>
        <v>0</v>
      </c>
      <c r="G21" s="38">
        <f>'TIE-OUT'!AE21+RECLASS!AE21</f>
        <v>0</v>
      </c>
      <c r="H21" s="118">
        <f>+Actuals!E411</f>
        <v>-9553121</v>
      </c>
      <c r="I21" s="118">
        <f>+Actuals!F411</f>
        <v>-25028042</v>
      </c>
      <c r="J21" s="118">
        <f>+Actuals!G411</f>
        <v>7025667</v>
      </c>
      <c r="K21" s="118">
        <f>+Actuals!H411</f>
        <v>18404854</v>
      </c>
      <c r="L21" s="118">
        <f>+Actuals!I411</f>
        <v>-10672</v>
      </c>
      <c r="M21" s="118">
        <f>+Actuals!J411</f>
        <v>-27703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-3543736</v>
      </c>
      <c r="E24" s="39">
        <f t="shared" si="3"/>
        <v>-9828173.5999999996</v>
      </c>
      <c r="F24" s="61">
        <f t="shared" si="3"/>
        <v>0</v>
      </c>
      <c r="G24" s="39">
        <f t="shared" si="3"/>
        <v>-54782.65</v>
      </c>
      <c r="H24" s="61">
        <f t="shared" si="3"/>
        <v>-10506804</v>
      </c>
      <c r="I24" s="61">
        <f t="shared" si="3"/>
        <v>-28356740.969999999</v>
      </c>
      <c r="J24" s="61">
        <f t="shared" si="3"/>
        <v>6973740</v>
      </c>
      <c r="K24" s="61">
        <f t="shared" si="3"/>
        <v>18611053.02</v>
      </c>
      <c r="L24" s="61">
        <f>SUM(L19:L23)</f>
        <v>-10672</v>
      </c>
      <c r="M24" s="61">
        <f>SUM(M19:M23)</f>
        <v>-27703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-2536908</v>
      </c>
      <c r="E49" s="38">
        <f>SUM(G49,I49,K49,M49,O49,Q49,S49,U49,W49,Y49,AA49,AC49,AE49)</f>
        <v>-6453893.9519999996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269657</v>
      </c>
      <c r="I49" s="118">
        <f>+Actuals!F425</f>
        <v>686007.40800000005</v>
      </c>
      <c r="J49" s="118">
        <f>+Actuals!G425</f>
        <v>-2817237</v>
      </c>
      <c r="K49" s="118">
        <f>+Actuals!H425</f>
        <v>-7167050.9279999994</v>
      </c>
      <c r="L49" s="118">
        <f>+Actuals!I425</f>
        <v>10672</v>
      </c>
      <c r="M49" s="118">
        <f>+Actuals!J425</f>
        <v>27149.567999999999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-259749.42</v>
      </c>
      <c r="F70" s="64">
        <f>'TIE-OUT'!AD70+RECLASS!AD70</f>
        <v>0</v>
      </c>
      <c r="G70" s="68">
        <f>'TIE-OUT'!AE70+RECLASS!AE70</f>
        <v>-259749.42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322863.27</v>
      </c>
      <c r="F71" s="81">
        <f>'TIE-OUT'!AD71+RECLASS!AD71</f>
        <v>0</v>
      </c>
      <c r="G71" s="82">
        <f>'TIE-OUT'!AE71+RECLASS!AE71</f>
        <v>322863.27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63113.850000000006</v>
      </c>
      <c r="F72" s="61">
        <f t="shared" si="13"/>
        <v>0</v>
      </c>
      <c r="G72" s="39">
        <f t="shared" si="13"/>
        <v>63113.850000000006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80010.83</v>
      </c>
      <c r="F74" s="60">
        <f>'TIE-OUT'!AD74+RECLASS!AD74</f>
        <v>0</v>
      </c>
      <c r="G74" s="60">
        <f>'TIE-OUT'!AE74+RECLASS!AE74</f>
        <v>80010.83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357687.13800000213</v>
      </c>
      <c r="F82" s="91">
        <f>F16+F24+F29+F36+F43+F45+F47+F49</f>
        <v>0</v>
      </c>
      <c r="G82" s="92">
        <f>SUM(G72:G81)+G16+G24+G29+G36+G43+G45+G47+G49+G51+G56+G61+G66</f>
        <v>-581547.74000000011</v>
      </c>
      <c r="H82" s="91">
        <f t="shared" ref="H82:N82" si="15">H16+H24+H29+H36+H43+H45+H47+H49</f>
        <v>0</v>
      </c>
      <c r="I82" s="91">
        <f t="shared" si="15"/>
        <v>3740765.0080000013</v>
      </c>
      <c r="J82" s="91">
        <f t="shared" si="15"/>
        <v>0</v>
      </c>
      <c r="K82" s="137">
        <f t="shared" si="15"/>
        <v>-2800976.6979999989</v>
      </c>
      <c r="L82" s="91">
        <f t="shared" si="15"/>
        <v>0</v>
      </c>
      <c r="M82" s="92">
        <f t="shared" si="15"/>
        <v>-553.4320000000007</v>
      </c>
      <c r="N82" s="91">
        <f t="shared" si="15"/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G63" sqref="G6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15465467</v>
      </c>
      <c r="E11" s="38">
        <f>SUM(G11,I11,K11,M11,O11,Q11,S11,U11,W11,Y11,AA11,AC11,AE11)</f>
        <v>40939839.730000004</v>
      </c>
      <c r="F11" s="60">
        <f>'TIE-OUT'!H11+RECLASS!AB11</f>
        <v>0</v>
      </c>
      <c r="G11" s="38">
        <f>'TIE-OUT'!I11+RECLASS!AC11</f>
        <v>0</v>
      </c>
      <c r="H11" s="118">
        <f>+Actuals!E324</f>
        <v>15465468</v>
      </c>
      <c r="I11" s="119">
        <f>+Actuals!F324</f>
        <v>40902217.390000001</v>
      </c>
      <c r="J11" s="118">
        <f>+Actuals!G324</f>
        <v>-499990</v>
      </c>
      <c r="K11" s="119">
        <f>+Actuals!H324</f>
        <v>-1287348.51</v>
      </c>
      <c r="L11" s="118">
        <f>+Actuals!I324</f>
        <v>499989</v>
      </c>
      <c r="M11" s="119">
        <f>+Actuals!J324</f>
        <v>1324970.8500000001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885146.6</v>
      </c>
      <c r="F12" s="60">
        <f>'TIE-OUT'!H12+RECLASS!AB12</f>
        <v>0</v>
      </c>
      <c r="G12" s="38">
        <f>'TIE-OUT'!I12+RECLASS!AC12</f>
        <v>885146.6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4751300</v>
      </c>
      <c r="E13" s="38">
        <f t="shared" si="0"/>
        <v>12571985</v>
      </c>
      <c r="F13" s="60">
        <f>'TIE-OUT'!H13+RECLASS!AB13</f>
        <v>0</v>
      </c>
      <c r="G13" s="38">
        <f>'TIE-OUT'!I13+RECLASS!AC13</f>
        <v>0</v>
      </c>
      <c r="H13" s="118">
        <f>+Actuals!E326</f>
        <v>21293649</v>
      </c>
      <c r="I13" s="119">
        <f>+Actuals!F326</f>
        <v>55351498</v>
      </c>
      <c r="J13" s="118">
        <f>+Actuals!G326</f>
        <v>-16542349</v>
      </c>
      <c r="K13" s="119">
        <f>+Actuals!H326</f>
        <v>-42779513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2998378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3056503</v>
      </c>
      <c r="J15" s="118">
        <f>+Actuals!G328</f>
        <v>0</v>
      </c>
      <c r="K15" s="119">
        <f>+Actuals!H328</f>
        <v>-58125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20216767</v>
      </c>
      <c r="E16" s="39">
        <f t="shared" si="1"/>
        <v>57395349.330000006</v>
      </c>
      <c r="F16" s="61">
        <f t="shared" si="1"/>
        <v>0</v>
      </c>
      <c r="G16" s="39">
        <f t="shared" si="1"/>
        <v>885146.6</v>
      </c>
      <c r="H16" s="61">
        <f t="shared" si="1"/>
        <v>36759117</v>
      </c>
      <c r="I16" s="39">
        <f t="shared" si="1"/>
        <v>99310218.390000001</v>
      </c>
      <c r="J16" s="61">
        <f t="shared" ref="J16:AO16" si="2">SUM(J11:J15)</f>
        <v>-17042339</v>
      </c>
      <c r="K16" s="39">
        <f t="shared" si="2"/>
        <v>-44124986.509999998</v>
      </c>
      <c r="L16" s="61">
        <f>SUM(L11:L15)</f>
        <v>499989</v>
      </c>
      <c r="M16" s="39">
        <f>SUM(M11:M15)</f>
        <v>1324970.8500000001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-8950787</v>
      </c>
      <c r="E19" s="38">
        <f t="shared" si="3"/>
        <v>-23153901.629999995</v>
      </c>
      <c r="F19" s="60">
        <f>'TIE-OUT'!H19+RECLASS!AB19</f>
        <v>0</v>
      </c>
      <c r="G19" s="38">
        <f>'TIE-OUT'!I19+RECLASS!AC19</f>
        <v>0</v>
      </c>
      <c r="H19" s="118">
        <f>+Actuals!E329</f>
        <v>-8950787</v>
      </c>
      <c r="I19" s="119">
        <f>+Actuals!F329</f>
        <v>-23121884.869999997</v>
      </c>
      <c r="J19" s="118">
        <f>+Actuals!G329</f>
        <v>9</v>
      </c>
      <c r="K19" s="119">
        <f>+Actuals!H329</f>
        <v>-32018.99</v>
      </c>
      <c r="L19" s="118">
        <f>+Actuals!I329</f>
        <v>-9</v>
      </c>
      <c r="M19" s="119">
        <f>+Actuals!J329</f>
        <v>2.23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-615842.54</v>
      </c>
      <c r="F20" s="60">
        <f>'TIE-OUT'!H20+RECLASS!AB20</f>
        <v>0</v>
      </c>
      <c r="G20" s="38">
        <f>'TIE-OUT'!I20+RECLASS!AC20</f>
        <v>-544502.03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1">
        <f>+Actuals!H330-60320.44-11020.07</f>
        <v>-71340.510000000009</v>
      </c>
      <c r="L20" s="118">
        <f>+Actuals!I330</f>
        <v>0</v>
      </c>
      <c r="M20" s="119"/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-11580630</v>
      </c>
      <c r="E21" s="38">
        <f t="shared" si="3"/>
        <v>-30356457</v>
      </c>
      <c r="F21" s="60">
        <f>'TIE-OUT'!H21+RECLASS!AB21</f>
        <v>0</v>
      </c>
      <c r="G21" s="38">
        <f>'TIE-OUT'!I21+RECLASS!AC21</f>
        <v>0</v>
      </c>
      <c r="H21" s="118">
        <f>+Actuals!E331</f>
        <v>-28092979</v>
      </c>
      <c r="I21" s="119">
        <f>+Actuals!F331</f>
        <v>-73058871</v>
      </c>
      <c r="J21" s="118">
        <f>+Actuals!G331</f>
        <v>16512349</v>
      </c>
      <c r="K21" s="119">
        <f>+Actuals!H331</f>
        <v>42702414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-20531417</v>
      </c>
      <c r="E24" s="39">
        <f t="shared" si="4"/>
        <v>-54126201.169999994</v>
      </c>
      <c r="F24" s="61">
        <f t="shared" si="4"/>
        <v>0</v>
      </c>
      <c r="G24" s="39">
        <f t="shared" si="4"/>
        <v>-544502.03</v>
      </c>
      <c r="H24" s="61">
        <f t="shared" si="4"/>
        <v>-37043766</v>
      </c>
      <c r="I24" s="39">
        <f t="shared" si="4"/>
        <v>-96180755.870000005</v>
      </c>
      <c r="J24" s="61">
        <f t="shared" ref="J24:AO24" si="5">SUM(J19:J23)</f>
        <v>16512358</v>
      </c>
      <c r="K24" s="39">
        <f t="shared" si="5"/>
        <v>42599054.5</v>
      </c>
      <c r="L24" s="61">
        <f>SUM(L19:L23)</f>
        <v>-9</v>
      </c>
      <c r="M24" s="39">
        <f>SUM(M19:M23)</f>
        <v>2.23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314650</v>
      </c>
      <c r="E49" s="38">
        <f>SUM(G49,I49,K49,M49,O49,Q49,S49,U49,W49,Y49,AA49,AC49,AE49)</f>
        <v>824068.35000000009</v>
      </c>
      <c r="F49" s="60">
        <f>'TIE-OUT'!H49+RECLASS!AB49</f>
        <v>0</v>
      </c>
      <c r="G49" s="38">
        <f>'TIE-OUT'!I49+RECLASS!AC49</f>
        <v>0</v>
      </c>
      <c r="H49" s="118">
        <f>+Actuals!E345</f>
        <v>284649</v>
      </c>
      <c r="I49" s="119">
        <f>+Actuals!F345</f>
        <v>745495.73100000003</v>
      </c>
      <c r="J49" s="118">
        <f>+Actuals!G345</f>
        <v>529981</v>
      </c>
      <c r="K49" s="119">
        <f>+Actuals!H345</f>
        <v>1388020.2390000001</v>
      </c>
      <c r="L49" s="118">
        <f>+Actuals!I345</f>
        <v>-499980</v>
      </c>
      <c r="M49" s="119">
        <f>+Actuals!J345</f>
        <v>-1309447.6200000001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-7935020</v>
      </c>
      <c r="E54" s="38">
        <f>SUM(G54,I54,K54,M54,O54,Q54,S54,U54,W54,Y54,AA54,AC54,AE54)</f>
        <v>-147725.70000000001</v>
      </c>
      <c r="F54" s="60">
        <f>'TIE-OUT'!H54+RECLASS!AB54</f>
        <v>0</v>
      </c>
      <c r="G54" s="38">
        <f>'TIE-OUT'!I54+RECLASS!AC54</f>
        <v>0</v>
      </c>
      <c r="H54" s="118">
        <f>+Actuals!E347</f>
        <v>-7934262</v>
      </c>
      <c r="I54" s="119">
        <f>+Actuals!F347</f>
        <v>-147726.75</v>
      </c>
      <c r="J54" s="118">
        <f>+Actuals!G347</f>
        <v>-758</v>
      </c>
      <c r="K54" s="119">
        <f>+Actuals!H347</f>
        <v>1.05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-3438022.3600000003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-2193141.02</v>
      </c>
      <c r="J55" s="118">
        <f>+Actuals!G348</f>
        <v>0</v>
      </c>
      <c r="K55" s="119">
        <f>+Actuals!H348</f>
        <v>-697829.18</v>
      </c>
      <c r="L55" s="118">
        <f>+Actuals!I348</f>
        <v>0</v>
      </c>
      <c r="M55" s="119">
        <f>+Actuals!J348</f>
        <v>-547052.16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-7935020</v>
      </c>
      <c r="E56" s="39">
        <f t="shared" si="16"/>
        <v>-3585748.0600000005</v>
      </c>
      <c r="F56" s="61">
        <f t="shared" si="16"/>
        <v>0</v>
      </c>
      <c r="G56" s="39">
        <f t="shared" si="16"/>
        <v>0</v>
      </c>
      <c r="H56" s="61">
        <f t="shared" si="16"/>
        <v>-7934262</v>
      </c>
      <c r="I56" s="39">
        <f t="shared" si="16"/>
        <v>-2340867.77</v>
      </c>
      <c r="J56" s="61">
        <f t="shared" ref="J56:AO56" si="17">SUM(J54:J55)</f>
        <v>-758</v>
      </c>
      <c r="K56" s="39">
        <f t="shared" si="17"/>
        <v>-697828.13</v>
      </c>
      <c r="L56" s="61">
        <f>SUM(L54:L55)</f>
        <v>0</v>
      </c>
      <c r="M56" s="39">
        <f>SUM(M54:M55)</f>
        <v>-547052.16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8290601</v>
      </c>
      <c r="F70" s="60">
        <f>'TIE-OUT'!H70+RECLASS!AB70</f>
        <v>0</v>
      </c>
      <c r="G70" s="38">
        <f>'TIE-OUT'!I70+RECLASS!AC70</f>
        <v>8290601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-12261468.49</v>
      </c>
      <c r="F71" s="60">
        <f>'TIE-OUT'!H71+RECLASS!AB71</f>
        <v>0</v>
      </c>
      <c r="G71" s="38">
        <f>'TIE-OUT'!I71+RECLASS!AC71</f>
        <v>-12261468.49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-3970867.49</v>
      </c>
      <c r="F72" s="61">
        <f t="shared" si="22"/>
        <v>0</v>
      </c>
      <c r="G72" s="39">
        <f t="shared" si="22"/>
        <v>-3970867.49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803886.97</v>
      </c>
      <c r="F74" s="60">
        <f>'TIE-OUT'!H74+RECLASS!AB74</f>
        <v>0</v>
      </c>
      <c r="G74" s="38">
        <f>'TIE-OUT'!I74+RECLASS!AC74</f>
        <v>803886.97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-2659512.0699999924</v>
      </c>
      <c r="F82" s="91">
        <f>F16+F24+F29+F36+F43+F45+F47+F49</f>
        <v>0</v>
      </c>
      <c r="G82" s="92">
        <f>SUM(G72:G81)+G16+G24+G29+G36+G43+G45+G47+G49+G51+G56+G61+G66</f>
        <v>-2826335.95</v>
      </c>
      <c r="H82" s="91">
        <f>H16+H24+H29+H36+H43+H45+H47+H49</f>
        <v>0</v>
      </c>
      <c r="I82" s="137">
        <f>SUM(I72:I81)+I16+I24+I29+I36+I43+I45+I47+I49+I51+I56+I61+I66</f>
        <v>1534090.480999996</v>
      </c>
      <c r="J82" s="91">
        <f>J16+J24+J29+J36+J43+J45+J47+J49</f>
        <v>0</v>
      </c>
      <c r="K82" s="137">
        <f>SUM(K72:K81)+K16+K24+K29+K36+K43+K45+K47+K49+K51+K56+K61+K66</f>
        <v>-835739.90099999786</v>
      </c>
      <c r="L82" s="91">
        <f>L16+L24+L29+L36+L43+L45+L47+L49</f>
        <v>0</v>
      </c>
      <c r="M82" s="92">
        <f>SUM(M72:M81)+M16+M24+M29+M36+M43+M45+M47+M49+M51+M56+M61+M66</f>
        <v>-531526.70000000007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46" activePane="bottomRight" state="frozen"/>
      <selection activeCell="L19" sqref="L19"/>
      <selection pane="topRight" activeCell="L19" sqref="L19"/>
      <selection pane="bottomLeft" activeCell="L19" sqref="L19"/>
      <selection pane="bottomRight" activeCell="M75" sqref="M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3" max="43" width="10.554687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172327687</v>
      </c>
      <c r="E11" s="38">
        <f>SUM(G11,I11,K11,M11,O11,Q11,S11,U11,W11,Y11,AA11,AC11,AE11)</f>
        <v>489183922.90999997</v>
      </c>
      <c r="F11" s="60">
        <f>'TIE-OUT'!J11+RECLASS!H11</f>
        <v>0</v>
      </c>
      <c r="G11" s="38">
        <f>'TIE-OUT'!K11+RECLASS!I11</f>
        <v>-394285</v>
      </c>
      <c r="H11" s="118">
        <f>+Actuals!E244</f>
        <v>171151302</v>
      </c>
      <c r="I11" s="119">
        <f>+Actuals!F244</f>
        <v>482607886.06</v>
      </c>
      <c r="J11" s="118">
        <f>+Actuals!G244</f>
        <v>2025743</v>
      </c>
      <c r="K11" s="119">
        <f>+Actuals!H244</f>
        <v>9221108.6399999987</v>
      </c>
      <c r="L11" s="118">
        <f>+Actuals!I244</f>
        <v>-849358</v>
      </c>
      <c r="M11" s="119">
        <f>+Actuals!J244</f>
        <v>-2250786.79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10305140.880000001</v>
      </c>
      <c r="F12" s="60">
        <f>'TIE-OUT'!J12+RECLASS!H12</f>
        <v>0</v>
      </c>
      <c r="G12" s="38">
        <f>'TIE-OUT'!K12+RECLASS!I12</f>
        <v>10514800.390000001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1">
        <f>-104880.78-104778.73</f>
        <v>-209659.51</v>
      </c>
      <c r="L12" s="118">
        <f>+Actuals!I245</f>
        <v>0</v>
      </c>
      <c r="M12" s="119"/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'TIE-OUT'!J13+RECLASS!H13</f>
        <v>0</v>
      </c>
      <c r="G13" s="38">
        <f>'TIE-OUT'!K13+RECLASS!I13</f>
        <v>0</v>
      </c>
      <c r="H13" s="118">
        <f>+Actuals!E246</f>
        <v>64481443</v>
      </c>
      <c r="I13" s="119">
        <f>+Actuals!F246</f>
        <v>177798212</v>
      </c>
      <c r="J13" s="118">
        <f>+Actuals!G246</f>
        <v>-54500583</v>
      </c>
      <c r="K13" s="119">
        <f>+Actuals!H246</f>
        <v>-150953850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'TIE-OUT'!J15+RECLASS!H15</f>
        <v>0</v>
      </c>
      <c r="G15" s="82">
        <f>'TIE-OUT'!K15+RECLASS!I15</f>
        <v>-11047802</v>
      </c>
      <c r="H15" s="118">
        <f>+Actuals!E248</f>
        <v>0</v>
      </c>
      <c r="I15" s="119">
        <f>+Actuals!F248</f>
        <v>14443302.710000001</v>
      </c>
      <c r="J15" s="118">
        <f>+Actuals!G248</f>
        <v>0</v>
      </c>
      <c r="K15" s="119">
        <f>+Actuals!H248</f>
        <v>2477339.96</v>
      </c>
      <c r="L15" s="118">
        <f>+Actuals!I248</f>
        <v>0</v>
      </c>
      <c r="M15" s="119">
        <f>+Actuals!J248</f>
        <v>262619.7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182308547</v>
      </c>
      <c r="E16" s="39">
        <f t="shared" si="1"/>
        <v>532468886.15999997</v>
      </c>
      <c r="F16" s="61">
        <f t="shared" si="1"/>
        <v>0</v>
      </c>
      <c r="G16" s="39">
        <f t="shared" si="1"/>
        <v>-927286.6099999994</v>
      </c>
      <c r="H16" s="61">
        <f t="shared" si="1"/>
        <v>235632745</v>
      </c>
      <c r="I16" s="39">
        <f t="shared" si="1"/>
        <v>674849400.76999998</v>
      </c>
      <c r="J16" s="61">
        <f t="shared" ref="J16:AO16" si="2">SUM(J11:J15)</f>
        <v>-52474840</v>
      </c>
      <c r="K16" s="39">
        <f t="shared" si="2"/>
        <v>-139465060.91</v>
      </c>
      <c r="L16" s="61">
        <f>SUM(L11:L15)</f>
        <v>-849358</v>
      </c>
      <c r="M16" s="39">
        <f>SUM(M11:M15)</f>
        <v>-1988167.09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-171131367</v>
      </c>
      <c r="E19" s="38">
        <f t="shared" si="3"/>
        <v>-467175363.66000003</v>
      </c>
      <c r="F19" s="64">
        <f>'TIE-OUT'!J19+RECLASS!H19</f>
        <v>0</v>
      </c>
      <c r="G19" s="68">
        <f>'TIE-OUT'!K19+RECLASS!I19</f>
        <v>5998</v>
      </c>
      <c r="H19" s="118">
        <f>+Actuals!E249</f>
        <v>-168012942</v>
      </c>
      <c r="I19" s="119">
        <f>+Actuals!F249</f>
        <v>-459109591.80000001</v>
      </c>
      <c r="J19" s="118">
        <f>+Actuals!G249</f>
        <v>-1492242</v>
      </c>
      <c r="K19" s="119">
        <f>+Actuals!H249</f>
        <v>-3142821.25</v>
      </c>
      <c r="L19" s="118">
        <f>+Actuals!I249</f>
        <v>-1626183</v>
      </c>
      <c r="M19" s="119">
        <f>+Actuals!J249</f>
        <v>-4928948.6100000003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-17309576.34</v>
      </c>
      <c r="F20" s="60">
        <f>'TIE-OUT'!J20+RECLASS!H20</f>
        <v>0</v>
      </c>
      <c r="G20" s="38">
        <f>'TIE-OUT'!K20+RECLASS!I20</f>
        <v>-17394462.280000001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1">
        <f>97150-28838.06+16574</f>
        <v>84885.94</v>
      </c>
      <c r="L20" s="118">
        <f>+Actuals!I250</f>
        <v>0</v>
      </c>
      <c r="M20" s="119"/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-13998960</v>
      </c>
      <c r="E21" s="38">
        <f t="shared" si="3"/>
        <v>-43491742</v>
      </c>
      <c r="F21" s="60">
        <f>'TIE-OUT'!J21+RECLASS!H21</f>
        <v>0</v>
      </c>
      <c r="G21" s="38">
        <f>'TIE-OUT'!K21+RECLASS!I21</f>
        <v>0</v>
      </c>
      <c r="H21" s="118">
        <f>+Actuals!E251</f>
        <v>-68315842</v>
      </c>
      <c r="I21" s="119">
        <f>+Actuals!F251</f>
        <v>-193470936</v>
      </c>
      <c r="J21" s="118">
        <f>+Actuals!G251</f>
        <v>54327326</v>
      </c>
      <c r="K21" s="119">
        <f>+Actuals!H251</f>
        <v>150009944</v>
      </c>
      <c r="L21" s="118">
        <f>+Actuals!I251</f>
        <v>-10444</v>
      </c>
      <c r="M21" s="119">
        <f>+Actuals!J251</f>
        <v>-30750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1346960</v>
      </c>
      <c r="E23" s="38">
        <f t="shared" si="3"/>
        <v>3616587.5999999996</v>
      </c>
      <c r="F23" s="81">
        <f>'TIE-OUT'!J23+RECLASS!H23</f>
        <v>0</v>
      </c>
      <c r="G23" s="82">
        <f>'TIE-OUT'!K23+RECLASS!I23</f>
        <v>0</v>
      </c>
      <c r="H23" s="118">
        <f>+Actuals!E253</f>
        <v>1524167</v>
      </c>
      <c r="I23" s="119">
        <f>+Actuals!F253</f>
        <v>4092388.395</v>
      </c>
      <c r="J23" s="118">
        <f>+Actuals!G253</f>
        <v>40543</v>
      </c>
      <c r="K23" s="119">
        <f>+Actuals!H253</f>
        <v>108857.955</v>
      </c>
      <c r="L23" s="118">
        <f>+Actuals!I253</f>
        <v>-217750</v>
      </c>
      <c r="M23" s="119">
        <f>+Actuals!J253</f>
        <v>-584658.75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-183783367</v>
      </c>
      <c r="E24" s="39">
        <f t="shared" si="4"/>
        <v>-524360094.39999998</v>
      </c>
      <c r="F24" s="61">
        <f t="shared" si="4"/>
        <v>0</v>
      </c>
      <c r="G24" s="39">
        <f t="shared" si="4"/>
        <v>-17388464.280000001</v>
      </c>
      <c r="H24" s="61">
        <f t="shared" si="4"/>
        <v>-234804617</v>
      </c>
      <c r="I24" s="39">
        <f t="shared" si="4"/>
        <v>-648488139.40499997</v>
      </c>
      <c r="J24" s="61">
        <f t="shared" ref="J24:AO24" si="5">SUM(J19:J23)</f>
        <v>52875627</v>
      </c>
      <c r="K24" s="39">
        <f t="shared" si="5"/>
        <v>147060866.64500001</v>
      </c>
      <c r="L24" s="61">
        <f>SUM(L19:L23)</f>
        <v>-1854377</v>
      </c>
      <c r="M24" s="39">
        <f>SUM(M19:M23)</f>
        <v>-5544357.3600000003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12965197</v>
      </c>
      <c r="E27" s="38">
        <f>SUM(G27,I27,K27,M27,O27,Q27,S27,U27,W27,Y27,AA27,AC27,AE27)</f>
        <v>34543121.990000002</v>
      </c>
      <c r="F27" s="64">
        <f>'TIE-OUT'!J27+RECLASS!H27</f>
        <v>0</v>
      </c>
      <c r="G27" s="68">
        <f>'TIE-OUT'!K27+RECLASS!I27</f>
        <v>0</v>
      </c>
      <c r="H27" s="118">
        <f>+Actuals!E254</f>
        <v>12974502</v>
      </c>
      <c r="I27" s="119">
        <f>+Actuals!F254</f>
        <v>34493229.910000004</v>
      </c>
      <c r="J27" s="118">
        <f>+Actuals!G254</f>
        <v>-9305</v>
      </c>
      <c r="K27" s="119">
        <f>+Actuals!H254</f>
        <v>49892.08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-8407982</v>
      </c>
      <c r="E28" s="38">
        <f>SUM(G28,I28,K28,M28,O28,Q28,S28,U28,W28,Y28,AA28,AC28,AE28)</f>
        <v>-22098187.710000001</v>
      </c>
      <c r="F28" s="81">
        <f>'TIE-OUT'!J28+RECLASS!H28</f>
        <v>0</v>
      </c>
      <c r="G28" s="82">
        <f>'TIE-OUT'!K28+RECLASS!I28</f>
        <v>0</v>
      </c>
      <c r="H28" s="118">
        <f>+Actuals!E255</f>
        <v>-8160382</v>
      </c>
      <c r="I28" s="119">
        <f>+Actuals!F255</f>
        <v>-21404689.59</v>
      </c>
      <c r="J28" s="118">
        <f>+Actuals!G255</f>
        <v>-138133</v>
      </c>
      <c r="K28" s="119">
        <f>+Actuals!H255</f>
        <v>-409852.45</v>
      </c>
      <c r="L28" s="118">
        <f>+Actuals!I255</f>
        <v>-109467</v>
      </c>
      <c r="M28" s="119">
        <f>+Actuals!J255</f>
        <v>-283645.67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4557215</v>
      </c>
      <c r="E29" s="39">
        <f t="shared" si="6"/>
        <v>12444934.280000001</v>
      </c>
      <c r="F29" s="61">
        <f t="shared" si="6"/>
        <v>0</v>
      </c>
      <c r="G29" s="39">
        <f t="shared" si="6"/>
        <v>0</v>
      </c>
      <c r="H29" s="61">
        <f t="shared" si="6"/>
        <v>4814120</v>
      </c>
      <c r="I29" s="39">
        <f t="shared" si="6"/>
        <v>13088540.320000004</v>
      </c>
      <c r="J29" s="61">
        <f t="shared" ref="J29:AO29" si="7">SUM(J27:J28)</f>
        <v>-147438</v>
      </c>
      <c r="K29" s="39">
        <f t="shared" si="7"/>
        <v>-359960.37</v>
      </c>
      <c r="L29" s="61">
        <f>SUM(L27:L28)</f>
        <v>-109467</v>
      </c>
      <c r="M29" s="39">
        <f>SUM(M27:M28)</f>
        <v>-283645.67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-1955288</v>
      </c>
      <c r="E32" s="38">
        <f t="shared" si="8"/>
        <v>-5249948.2800000012</v>
      </c>
      <c r="F32" s="64">
        <f>'TIE-OUT'!J32+RECLASS!H32</f>
        <v>0</v>
      </c>
      <c r="G32" s="68">
        <f>'TIE-OUT'!K32+RECLASS!I32</f>
        <v>0</v>
      </c>
      <c r="H32" s="118">
        <f>+Actuals!E256</f>
        <v>-433797</v>
      </c>
      <c r="I32" s="119">
        <f>+Actuals!F256</f>
        <v>-1164744.9450000001</v>
      </c>
      <c r="J32" s="118">
        <f>+Actuals!G256</f>
        <v>-4354516</v>
      </c>
      <c r="K32" s="119">
        <f>+Actuals!H256</f>
        <v>-11691875.460000001</v>
      </c>
      <c r="L32" s="118">
        <f>+Actuals!I256</f>
        <v>2833025</v>
      </c>
      <c r="M32" s="119">
        <f>+Actuals!J256</f>
        <v>7606672.125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-2924642</v>
      </c>
      <c r="E33" s="38">
        <f t="shared" si="8"/>
        <v>-351491.08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-2910886</v>
      </c>
      <c r="K33" s="119">
        <f>+Actuals!H257</f>
        <v>-313505.69</v>
      </c>
      <c r="L33" s="118">
        <f>+Actuals!I257</f>
        <v>-13756</v>
      </c>
      <c r="M33" s="119">
        <f>+Actuals!J257</f>
        <v>-37985.39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3260404</v>
      </c>
      <c r="E34" s="38">
        <f t="shared" si="8"/>
        <v>1226873.23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2884014</v>
      </c>
      <c r="K34" s="119">
        <f>+Actuals!H258</f>
        <v>266559.56</v>
      </c>
      <c r="L34" s="118">
        <f>+Actuals!I258</f>
        <v>376390</v>
      </c>
      <c r="M34" s="119">
        <f>+Actuals!J258</f>
        <v>960313.67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-21604.99</v>
      </c>
      <c r="F35" s="81">
        <f>'TIE-OUT'!J35+RECLASS!H35</f>
        <v>150000</v>
      </c>
      <c r="G35" s="82">
        <f>'TIE-OUT'!K35+RECLASS!I35</f>
        <v>-21605</v>
      </c>
      <c r="H35" s="118">
        <f>+Actuals!E259</f>
        <v>0</v>
      </c>
      <c r="I35" s="119">
        <f>+Actuals!F259</f>
        <v>0</v>
      </c>
      <c r="J35" s="118">
        <f>+Actuals!G259</f>
        <v>-150000</v>
      </c>
      <c r="K35" s="119">
        <f>+Actuals!H259</f>
        <v>0.01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-1619526</v>
      </c>
      <c r="E36" s="39">
        <f t="shared" si="9"/>
        <v>-4396171.120000001</v>
      </c>
      <c r="F36" s="61">
        <f t="shared" si="9"/>
        <v>150000</v>
      </c>
      <c r="G36" s="39">
        <f t="shared" si="9"/>
        <v>-21605</v>
      </c>
      <c r="H36" s="61">
        <f t="shared" si="9"/>
        <v>-433797</v>
      </c>
      <c r="I36" s="39">
        <f t="shared" si="9"/>
        <v>-1164744.9450000001</v>
      </c>
      <c r="J36" s="61">
        <f t="shared" ref="J36:AO36" si="10">SUM(J32:J35)</f>
        <v>-4531388</v>
      </c>
      <c r="K36" s="39">
        <f t="shared" si="10"/>
        <v>-11738821.58</v>
      </c>
      <c r="L36" s="61">
        <f>SUM(L32:L35)</f>
        <v>3195659</v>
      </c>
      <c r="M36" s="39">
        <f>SUM(M32:M35)</f>
        <v>8529000.4050000012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2514</v>
      </c>
      <c r="E39" s="38">
        <f t="shared" si="11"/>
        <v>6750.09</v>
      </c>
      <c r="F39" s="64">
        <f>'TIE-OUT'!J39+RECLASS!H39</f>
        <v>0</v>
      </c>
      <c r="G39" s="68">
        <f>'TIE-OUT'!K39+RECLASS!I39</f>
        <v>0</v>
      </c>
      <c r="H39" s="118">
        <f>+Actuals!E260</f>
        <v>0</v>
      </c>
      <c r="I39" s="119">
        <f>+Actuals!F260</f>
        <v>0</v>
      </c>
      <c r="J39" s="118">
        <f>+Actuals!G260</f>
        <v>2514</v>
      </c>
      <c r="K39" s="119">
        <f>+Actuals!H260</f>
        <v>6750.09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-550347</v>
      </c>
      <c r="E40" s="38">
        <f t="shared" si="11"/>
        <v>-888797.0399999998</v>
      </c>
      <c r="F40" s="60">
        <f>'TIE-OUT'!J40+RECLASS!H40</f>
        <v>-150000</v>
      </c>
      <c r="G40" s="38">
        <f>'TIE-OUT'!K40+RECLASS!I40</f>
        <v>21605</v>
      </c>
      <c r="H40" s="118">
        <f>+Actuals!E261</f>
        <v>-1536713</v>
      </c>
      <c r="I40" s="119">
        <f>+Actuals!F261</f>
        <v>-3879637.26</v>
      </c>
      <c r="J40" s="118">
        <f>+Actuals!G261</f>
        <v>1130453</v>
      </c>
      <c r="K40" s="119">
        <f>+Actuals!H261</f>
        <v>2955988.44</v>
      </c>
      <c r="L40" s="118">
        <f>+Actuals!I261</f>
        <v>5913</v>
      </c>
      <c r="M40" s="119">
        <f>+Actuals!J261</f>
        <v>13246.78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-550347</v>
      </c>
      <c r="E42" s="39">
        <f t="shared" si="12"/>
        <v>-888797.0399999998</v>
      </c>
      <c r="F42" s="61">
        <f t="shared" si="12"/>
        <v>-150000</v>
      </c>
      <c r="G42" s="39">
        <f t="shared" si="12"/>
        <v>21605</v>
      </c>
      <c r="H42" s="61">
        <f t="shared" si="12"/>
        <v>-1536713</v>
      </c>
      <c r="I42" s="39">
        <f t="shared" si="12"/>
        <v>-3879637.26</v>
      </c>
      <c r="J42" s="61">
        <f t="shared" ref="J42:AO42" si="13">SUM(J40:J41)</f>
        <v>1130453</v>
      </c>
      <c r="K42" s="39">
        <f t="shared" si="13"/>
        <v>2955988.44</v>
      </c>
      <c r="L42" s="61">
        <f>SUM(L40:L41)</f>
        <v>5913</v>
      </c>
      <c r="M42" s="39">
        <f>SUM(M40:M41)</f>
        <v>13246.78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-547833</v>
      </c>
      <c r="E43" s="39">
        <f t="shared" si="14"/>
        <v>-882046.94999999984</v>
      </c>
      <c r="F43" s="61">
        <f t="shared" si="14"/>
        <v>-150000</v>
      </c>
      <c r="G43" s="39">
        <f t="shared" si="14"/>
        <v>21605</v>
      </c>
      <c r="H43" s="61">
        <f t="shared" si="14"/>
        <v>-1536713</v>
      </c>
      <c r="I43" s="39">
        <f t="shared" si="14"/>
        <v>-3879637.26</v>
      </c>
      <c r="J43" s="61">
        <f t="shared" ref="J43:AO43" si="15">J42+J39</f>
        <v>1132967</v>
      </c>
      <c r="K43" s="39">
        <f t="shared" si="15"/>
        <v>2962738.53</v>
      </c>
      <c r="L43" s="61">
        <f>L42+L39</f>
        <v>5913</v>
      </c>
      <c r="M43" s="39">
        <f>M42+M39</f>
        <v>13246.78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-915036</v>
      </c>
      <c r="E49" s="38">
        <f>SUM(G49,I49,K49,M49,O49,Q49,S49,U49,W49,Y49,AA49,AC49,AE49)</f>
        <v>-2456871.6599999992</v>
      </c>
      <c r="F49" s="60">
        <f>'TIE-OUT'!J49+RECLASS!H49</f>
        <v>0</v>
      </c>
      <c r="G49" s="38">
        <f>'TIE-OUT'!K49+RECLASS!I49</f>
        <v>0</v>
      </c>
      <c r="H49" s="118">
        <f>+Actuals!E265</f>
        <v>-3671738</v>
      </c>
      <c r="I49" s="119">
        <f>+Actuals!F265</f>
        <v>-9858616.5299999993</v>
      </c>
      <c r="J49" s="118">
        <f>+Actuals!G265</f>
        <v>3145072</v>
      </c>
      <c r="K49" s="119">
        <f>+Actuals!H265</f>
        <v>8444518.3200000003</v>
      </c>
      <c r="L49" s="118">
        <f>+Actuals!I265</f>
        <v>-388370</v>
      </c>
      <c r="M49" s="119">
        <f>+Actuals!J265</f>
        <v>-1042773.45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-1346960</v>
      </c>
      <c r="E51" s="38">
        <f>SUM(G51,I51,K51,M51,O51,Q51,S51,U51,W51,Y51,AA51,AC51,AE51)</f>
        <v>-3616587.5999999996</v>
      </c>
      <c r="F51" s="60">
        <f>'TIE-OUT'!J51+RECLASS!H51</f>
        <v>0</v>
      </c>
      <c r="G51" s="38">
        <f>'TIE-OUT'!K51+RECLASS!I51</f>
        <v>0</v>
      </c>
      <c r="H51" s="118">
        <f>+Actuals!E266</f>
        <v>-1524167</v>
      </c>
      <c r="I51" s="119">
        <f>+Actuals!F266</f>
        <v>-4092388.395</v>
      </c>
      <c r="J51" s="118">
        <f>+Actuals!G266</f>
        <v>-40543</v>
      </c>
      <c r="K51" s="119">
        <f>+Actuals!H266</f>
        <v>-108857.955</v>
      </c>
      <c r="L51" s="118">
        <f>+Actuals!I266</f>
        <v>217750</v>
      </c>
      <c r="M51" s="119">
        <f>+Actuals!J266</f>
        <v>584658.75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'TIE-OUT'!J54+RECLASS!H54</f>
        <v>0</v>
      </c>
      <c r="G54" s="68">
        <f>'TIE-OUT'!K54+RECLASS!I54</f>
        <v>32680</v>
      </c>
      <c r="H54" s="118">
        <f>+Actuals!E267</f>
        <v>-146582734</v>
      </c>
      <c r="I54" s="119">
        <f>+Actuals!F267</f>
        <v>-2004732.41</v>
      </c>
      <c r="J54" s="118">
        <f>+Actuals!G267</f>
        <v>23818200</v>
      </c>
      <c r="K54" s="119">
        <f>+Actuals!H267</f>
        <v>173360.23</v>
      </c>
      <c r="L54" s="118">
        <f>+Actuals!I267</f>
        <v>-1624570</v>
      </c>
      <c r="M54" s="119">
        <f>+Actuals!J267</f>
        <v>-67531.490000000005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-7717241.7199999997</v>
      </c>
      <c r="F55" s="81">
        <f>'TIE-OUT'!J55+RECLASS!H55</f>
        <v>0</v>
      </c>
      <c r="G55" s="82">
        <f>'TIE-OUT'!K55+RECLASS!I55</f>
        <v>-135996</v>
      </c>
      <c r="H55" s="118">
        <f>+Actuals!E268</f>
        <v>0</v>
      </c>
      <c r="I55" s="119">
        <f>+Actuals!F268</f>
        <v>-7802273.5299999993</v>
      </c>
      <c r="J55" s="118">
        <f>+Actuals!G268</f>
        <v>0</v>
      </c>
      <c r="K55" s="119">
        <f>+Actuals!H268</f>
        <v>189583.47</v>
      </c>
      <c r="L55" s="118">
        <f>+Actuals!I268</f>
        <v>0</v>
      </c>
      <c r="M55" s="119">
        <f>+Actuals!J268</f>
        <v>31444.34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-124389104</v>
      </c>
      <c r="E56" s="39">
        <f t="shared" si="16"/>
        <v>-9583465.3900000006</v>
      </c>
      <c r="F56" s="61">
        <f t="shared" si="16"/>
        <v>0</v>
      </c>
      <c r="G56" s="39">
        <f t="shared" si="16"/>
        <v>-103316</v>
      </c>
      <c r="H56" s="61">
        <f t="shared" si="16"/>
        <v>-146582734</v>
      </c>
      <c r="I56" s="39">
        <f t="shared" si="16"/>
        <v>-9807005.9399999995</v>
      </c>
      <c r="J56" s="61">
        <f t="shared" ref="J56:AO56" si="17">SUM(J54:J55)</f>
        <v>23818200</v>
      </c>
      <c r="K56" s="39">
        <f t="shared" si="17"/>
        <v>362943.7</v>
      </c>
      <c r="L56" s="61">
        <f>SUM(L54:L55)</f>
        <v>-1624570</v>
      </c>
      <c r="M56" s="39">
        <f>SUM(M54:M55)</f>
        <v>-36087.150000000009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61434.31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61944</v>
      </c>
      <c r="J59" s="118">
        <f>+Actuals!G269</f>
        <v>0</v>
      </c>
      <c r="K59" s="119">
        <f>+Actuals!H269</f>
        <v>-509.68999999999869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61434.31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61944</v>
      </c>
      <c r="J61" s="61">
        <f t="shared" ref="J61:AO61" si="19">SUM(J59:J60)</f>
        <v>0</v>
      </c>
      <c r="K61" s="39">
        <f t="shared" si="19"/>
        <v>-509.68999999999869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'TIE-OUT'!J70+RECLASS!H70</f>
        <v>0</v>
      </c>
      <c r="G70" s="68">
        <f>'TIE-OUT'!K70+RECLASS!I70</f>
        <v>563222.05000000005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'TIE-OUT'!J71+RECLASS!H71</f>
        <v>0</v>
      </c>
      <c r="G71" s="82">
        <f>'TIE-OUT'!K71+RECLASS!I71</f>
        <v>-13133657.73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-12570435.68</v>
      </c>
      <c r="F72" s="61">
        <f t="shared" si="22"/>
        <v>0</v>
      </c>
      <c r="G72" s="39">
        <f t="shared" si="22"/>
        <v>-12570435.68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4362691.25</v>
      </c>
      <c r="F74" s="60">
        <f>'TIE-OUT'!J74+RECLASS!H74</f>
        <v>0</v>
      </c>
      <c r="G74" s="60">
        <f>'TIE-OUT'!K74+RECLASS!I74</f>
        <v>5451087.5899999999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1">
        <f>+Actuals!H276-11725-1113079.34</f>
        <v>-1124804.3400000001</v>
      </c>
      <c r="L74" s="118">
        <f>+Actuals!I276</f>
        <v>0</v>
      </c>
      <c r="M74" s="119">
        <v>36408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9400</v>
      </c>
      <c r="F75" s="60">
        <f>'TIE-OUT'!J75+RECLASS!H75</f>
        <v>0</v>
      </c>
      <c r="G75" s="60">
        <f>'TIE-OUT'!K75+RECLASS!I75</f>
        <v>9400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-98490.07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-106069.64</v>
      </c>
      <c r="J76" s="118">
        <f>+Actuals!G278</f>
        <v>0</v>
      </c>
      <c r="K76" s="119">
        <f>+Actuals!H278-68</f>
        <v>257.5</v>
      </c>
      <c r="L76" s="118">
        <f>+Actuals!I278</f>
        <v>0</v>
      </c>
      <c r="M76" s="119">
        <f>+Actuals!J278</f>
        <v>7322.07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-2906000</v>
      </c>
      <c r="F77" s="60">
        <f>'TIE-OUT'!J77+RECLASS!H77</f>
        <v>0</v>
      </c>
      <c r="G77" s="60">
        <f>'TIE-OUT'!K77+RECLASS!I77</f>
        <v>-2906000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22942</v>
      </c>
      <c r="F78" s="60">
        <f>'TIE-OUT'!J78+RECLASS!H78</f>
        <v>0</v>
      </c>
      <c r="G78" s="60">
        <f>'TIE-OUT'!K78+RECLASS!I78</f>
        <v>22942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0.39000000001396984</v>
      </c>
      <c r="F81" s="60">
        <f>'TIE-OUT'!J81+RECLASS!H81</f>
        <v>0</v>
      </c>
      <c r="G81" s="60">
        <f>'TIE-OUT'!K81+RECLASS!I81</f>
        <v>-178764</v>
      </c>
      <c r="H81" s="118">
        <f>+Actuals!E283</f>
        <v>0</v>
      </c>
      <c r="I81" s="119">
        <f>+Actuals!F283</f>
        <v>178764.39</v>
      </c>
      <c r="J81" s="118">
        <f>+Actuals!G283</f>
        <v>0</v>
      </c>
      <c r="K81" s="119">
        <f>+Actuals!H283</f>
        <v>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-11499874.480000023</v>
      </c>
      <c r="F82" s="91">
        <f>F16+F24+F29+F36+F43+F45+F47+F49</f>
        <v>0</v>
      </c>
      <c r="G82" s="92">
        <f>SUM(G72:G81)+G16+G24+G29+G36+G43+G45+G47+G49+G51+G56+G61+G66</f>
        <v>-28590836.98</v>
      </c>
      <c r="H82" s="91">
        <f>H16+H24+H29+H36+H43+H45+H47+H49</f>
        <v>0</v>
      </c>
      <c r="I82" s="92">
        <f>SUM(I72:I81)+I16+I24+I29+I36+I43+I45+I47+I49+I51+I56+I61+I66</f>
        <v>10782047.365000019</v>
      </c>
      <c r="J82" s="91">
        <f>J16+J24+J29+J36+J43+J45+J47+J49</f>
        <v>0</v>
      </c>
      <c r="K82" s="137">
        <f>SUM(K72:K81)+K16+K24+K29+K36+K43+K45+K47+K49+K51+K56+K61+K66</f>
        <v>6033309.8500000108</v>
      </c>
      <c r="L82" s="91">
        <f>L16+L24+L29+L36+L43+L45+L47+L49</f>
        <v>0</v>
      </c>
      <c r="M82" s="92">
        <f>SUM(M72:M81)+M16+M24+M29+M36+M43+M45+M47+M49+M51+M56+M61+M66</f>
        <v>275605.2850000005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344137</v>
      </c>
      <c r="F86" s="145">
        <f>'TIE-OUT'!J86+RECLASS!H86</f>
        <v>0</v>
      </c>
      <c r="G86" s="145">
        <f>'TIE-OUT'!K86+RECLASS!I86</f>
        <v>344137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344137</v>
      </c>
      <c r="F89" s="160">
        <f t="shared" si="26"/>
        <v>0</v>
      </c>
      <c r="G89" s="160">
        <f t="shared" si="26"/>
        <v>344137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-11155737.480000023</v>
      </c>
      <c r="F91" s="160">
        <f t="shared" si="29"/>
        <v>0</v>
      </c>
      <c r="G91" s="160">
        <f t="shared" si="29"/>
        <v>-28246699.98</v>
      </c>
      <c r="H91" s="160">
        <f t="shared" si="29"/>
        <v>0</v>
      </c>
      <c r="I91" s="160">
        <f t="shared" si="29"/>
        <v>10782047.365000019</v>
      </c>
      <c r="J91" s="160">
        <f t="shared" si="29"/>
        <v>0</v>
      </c>
      <c r="K91" s="160">
        <f t="shared" si="29"/>
        <v>6033309.8500000108</v>
      </c>
      <c r="L91" s="160">
        <f t="shared" si="29"/>
        <v>0</v>
      </c>
      <c r="M91" s="160">
        <f t="shared" si="29"/>
        <v>275605.2850000005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H51" activePane="bottomRight" state="frozen"/>
      <selection activeCell="L19" sqref="L19"/>
      <selection pane="topRight" activeCell="L19" sqref="L19"/>
      <selection pane="bottomLeft" activeCell="L19" sqref="L19"/>
      <selection pane="bottomRight" activeCell="M55" sqref="M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4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8356050</v>
      </c>
      <c r="E11" s="15">
        <f>G11+I11+K11+M11+O11</f>
        <v>21985735.009999998</v>
      </c>
      <c r="F11" s="58">
        <f>'TIE-OUT'!L11+RECLASS!J11</f>
        <v>0</v>
      </c>
      <c r="G11" s="15">
        <f>'TIE-OUT'!M11+RECLASS!K11</f>
        <v>0</v>
      </c>
      <c r="H11" s="118">
        <f>+Actuals!E44</f>
        <v>8371856</v>
      </c>
      <c r="I11" s="119">
        <f>+Actuals!F44</f>
        <v>21898111.219999999</v>
      </c>
      <c r="J11" s="118">
        <f>+Actuals!G44+5562</f>
        <v>-57268</v>
      </c>
      <c r="K11" s="119">
        <f>+Actuals!H44+15005</f>
        <v>-23760.5</v>
      </c>
      <c r="L11" s="118">
        <f>+Actuals!I44</f>
        <v>41462</v>
      </c>
      <c r="M11" s="119">
        <f>+Actuals!J44</f>
        <v>111384.29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-63207.21</v>
      </c>
      <c r="F12" s="58">
        <f>'TIE-OUT'!L12+RECLASS!J12</f>
        <v>0</v>
      </c>
      <c r="G12" s="15">
        <f>'TIE-OUT'!M12+RECLASS!K12</f>
        <v>-63207.21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8356050</v>
      </c>
      <c r="E16" s="23">
        <f t="shared" si="1"/>
        <v>21922527.799999997</v>
      </c>
      <c r="F16" s="59">
        <f t="shared" si="1"/>
        <v>0</v>
      </c>
      <c r="G16" s="23">
        <f t="shared" si="1"/>
        <v>-63207.21</v>
      </c>
      <c r="H16" s="61">
        <f t="shared" si="1"/>
        <v>8371856</v>
      </c>
      <c r="I16" s="39">
        <f t="shared" si="1"/>
        <v>21898111.219999999</v>
      </c>
      <c r="J16" s="61">
        <f t="shared" ref="J16:AO16" si="2">SUM(J11:J15)</f>
        <v>-57268</v>
      </c>
      <c r="K16" s="39">
        <f t="shared" si="2"/>
        <v>-23760.5</v>
      </c>
      <c r="L16" s="61">
        <f>SUM(L11:L15)</f>
        <v>41462</v>
      </c>
      <c r="M16" s="39">
        <f>SUM(M11:M15)</f>
        <v>111384.29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-2665068</v>
      </c>
      <c r="E19" s="15">
        <f t="shared" si="3"/>
        <v>-6900732</v>
      </c>
      <c r="F19" s="84">
        <f>'TIE-OUT'!L19+RECLASS!J19</f>
        <v>0</v>
      </c>
      <c r="G19" s="85">
        <f>'TIE-OUT'!M19+RECLASS!K19</f>
        <v>0</v>
      </c>
      <c r="H19" s="118">
        <f>+Actuals!E49</f>
        <v>-1328268</v>
      </c>
      <c r="I19" s="119">
        <f>+Actuals!F49</f>
        <v>-3310457.21</v>
      </c>
      <c r="J19" s="118">
        <f>+Actuals!G49</f>
        <v>-1336387</v>
      </c>
      <c r="K19" s="119">
        <f>+Actuals!H49</f>
        <v>-3592916.88</v>
      </c>
      <c r="L19" s="118">
        <f>+Actuals!I49</f>
        <v>-413</v>
      </c>
      <c r="M19" s="119">
        <f>+Actuals!J49</f>
        <v>2642.09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47672</v>
      </c>
      <c r="E23" s="15">
        <f t="shared" si="3"/>
        <v>126658.91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47672</v>
      </c>
      <c r="K23" s="119">
        <f>+Actuals!H53</f>
        <v>126658.91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-2617396</v>
      </c>
      <c r="E24" s="23">
        <f t="shared" si="4"/>
        <v>-6774073.0899999999</v>
      </c>
      <c r="F24" s="59">
        <f t="shared" si="4"/>
        <v>0</v>
      </c>
      <c r="G24" s="23">
        <f t="shared" si="4"/>
        <v>0</v>
      </c>
      <c r="H24" s="61">
        <f t="shared" si="4"/>
        <v>-1328268</v>
      </c>
      <c r="I24" s="39">
        <f t="shared" si="4"/>
        <v>-3310457.21</v>
      </c>
      <c r="J24" s="61">
        <f t="shared" ref="J24:AO24" si="5">SUM(J19:J23)</f>
        <v>-1288715</v>
      </c>
      <c r="K24" s="39">
        <f t="shared" si="5"/>
        <v>-3466257.9699999997</v>
      </c>
      <c r="L24" s="61">
        <f>SUM(L19:L23)</f>
        <v>-413</v>
      </c>
      <c r="M24" s="39">
        <f>SUM(M19:M23)</f>
        <v>2642.09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6232972</v>
      </c>
      <c r="E27" s="15">
        <f>G27+I27+K27+M27+O27</f>
        <v>16496752.609999998</v>
      </c>
      <c r="F27" s="84">
        <f>'TIE-OUT'!L27+RECLASS!J27</f>
        <v>0</v>
      </c>
      <c r="G27" s="85">
        <f>'TIE-OUT'!M27+RECLASS!K27</f>
        <v>0</v>
      </c>
      <c r="H27" s="118">
        <f>+Actuals!E54+15733</f>
        <v>6295985</v>
      </c>
      <c r="I27" s="119">
        <f>+Actuals!F54+44731</f>
        <v>16739936.039999999</v>
      </c>
      <c r="J27" s="118">
        <f>+Actuals!G54-11898</f>
        <v>-132438</v>
      </c>
      <c r="K27" s="119">
        <f>+Actuals!H54-34291</f>
        <v>-418963.96</v>
      </c>
      <c r="L27" s="118">
        <f>+Actuals!I54</f>
        <v>69425</v>
      </c>
      <c r="M27" s="119">
        <f>+Actuals!J54</f>
        <v>175780.53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-13751018</v>
      </c>
      <c r="E28" s="15">
        <f>G28+I28+K28+M28+O28</f>
        <v>-36603329.050000004</v>
      </c>
      <c r="F28" s="97">
        <f>'TIE-OUT'!L28+RECLASS!J28</f>
        <v>0</v>
      </c>
      <c r="G28" s="98">
        <f>'TIE-OUT'!M28+RECLASS!K28</f>
        <v>0</v>
      </c>
      <c r="H28" s="118">
        <f>+Actuals!E55-15733</f>
        <v>-13823439</v>
      </c>
      <c r="I28" s="119">
        <f>+Actuals!F55-44731</f>
        <v>-36860287.640000001</v>
      </c>
      <c r="J28" s="118">
        <f>+Actuals!G55+6336</f>
        <v>77453</v>
      </c>
      <c r="K28" s="119">
        <f>+Actuals!H55+19286</f>
        <v>269199.73</v>
      </c>
      <c r="L28" s="118">
        <f>+Actuals!I55</f>
        <v>-5032</v>
      </c>
      <c r="M28" s="119">
        <f>+Actuals!J55</f>
        <v>-12241.14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-7518046</v>
      </c>
      <c r="E29" s="23">
        <f t="shared" si="6"/>
        <v>-20106576.440000005</v>
      </c>
      <c r="F29" s="59">
        <f t="shared" si="6"/>
        <v>0</v>
      </c>
      <c r="G29" s="23">
        <f t="shared" si="6"/>
        <v>0</v>
      </c>
      <c r="H29" s="61">
        <f t="shared" si="6"/>
        <v>-7527454</v>
      </c>
      <c r="I29" s="39">
        <f t="shared" si="6"/>
        <v>-20120351.600000001</v>
      </c>
      <c r="J29" s="61">
        <f t="shared" ref="J29:AO29" si="7">SUM(J27:J28)</f>
        <v>-54985</v>
      </c>
      <c r="K29" s="39">
        <f t="shared" si="7"/>
        <v>-149764.23000000004</v>
      </c>
      <c r="L29" s="61">
        <f>SUM(L27:L28)</f>
        <v>64393</v>
      </c>
      <c r="M29" s="39">
        <f>SUM(M27:M28)</f>
        <v>163539.39000000001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561145</v>
      </c>
      <c r="E32" s="15">
        <f>G32+I32+K32+M32+O32</f>
        <v>1506674.325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602607</v>
      </c>
      <c r="K32" s="119">
        <f>+Actuals!H56</f>
        <v>1617999.7949999999</v>
      </c>
      <c r="L32" s="118">
        <f>+Actuals!I56</f>
        <v>-41462</v>
      </c>
      <c r="M32" s="119">
        <f>+Actuals!J56</f>
        <v>-111325.47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561145</v>
      </c>
      <c r="E36" s="23">
        <f t="shared" si="9"/>
        <v>1506674.325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602607</v>
      </c>
      <c r="K36" s="39">
        <f t="shared" si="10"/>
        <v>1617999.7949999999</v>
      </c>
      <c r="L36" s="61">
        <f>SUM(L32:L35)</f>
        <v>-41462</v>
      </c>
      <c r="M36" s="39">
        <f>SUM(M32:M35)</f>
        <v>-111325.47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1865312</v>
      </c>
      <c r="E39" s="15">
        <f t="shared" si="11"/>
        <v>4868464.32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1865312</v>
      </c>
      <c r="K39" s="119">
        <f>+Actuals!H60</f>
        <v>4868464.32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-729073</v>
      </c>
      <c r="E40" s="15">
        <f t="shared" si="11"/>
        <v>-1902880.53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-664878</v>
      </c>
      <c r="K40" s="119">
        <f>+Actuals!H61</f>
        <v>-1735331.58</v>
      </c>
      <c r="L40" s="118">
        <f>+Actuals!I61</f>
        <v>-64195</v>
      </c>
      <c r="M40" s="119">
        <f>+Actuals!J61</f>
        <v>-167548.95000000001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-729073</v>
      </c>
      <c r="E42" s="23">
        <f t="shared" si="12"/>
        <v>-1902880.53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-664878</v>
      </c>
      <c r="K42" s="39">
        <f t="shared" si="13"/>
        <v>-1735331.58</v>
      </c>
      <c r="L42" s="61">
        <f>SUM(L40:L41)</f>
        <v>-64195</v>
      </c>
      <c r="M42" s="39">
        <f>SUM(M40:M41)</f>
        <v>-167548.95000000001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1136239</v>
      </c>
      <c r="E43" s="23">
        <f t="shared" si="14"/>
        <v>2965583.79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1200434</v>
      </c>
      <c r="K43" s="39">
        <f t="shared" si="15"/>
        <v>3133132.74</v>
      </c>
      <c r="L43" s="61">
        <f>L42+L39</f>
        <v>-64195</v>
      </c>
      <c r="M43" s="39">
        <f>M42+M39</f>
        <v>-167548.95000000001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-12629</v>
      </c>
      <c r="E45" s="15">
        <f>G45+I45+K45+M45+O45</f>
        <v>-21588.28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-12629</v>
      </c>
      <c r="K45" s="119">
        <f>+Actuals!H63</f>
        <v>-21588.28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94637</v>
      </c>
      <c r="E49" s="15">
        <f>G49+I49+K49+M49+O49</f>
        <v>254100.34499999994</v>
      </c>
      <c r="F49" s="58">
        <f>'TIE-OUT'!L49+RECLASS!J49</f>
        <v>0</v>
      </c>
      <c r="G49" s="15">
        <f>'TIE-OUT'!M49+RECLASS!K49</f>
        <v>0</v>
      </c>
      <c r="H49" s="118">
        <f>+Actuals!E65</f>
        <v>483866</v>
      </c>
      <c r="I49" s="119">
        <f>+Actuals!F65</f>
        <v>1299180.21</v>
      </c>
      <c r="J49" s="118">
        <f>+Actuals!G65</f>
        <v>-389444</v>
      </c>
      <c r="K49" s="119">
        <f>+Actuals!H65</f>
        <v>-1045657.14</v>
      </c>
      <c r="L49" s="118">
        <f>+Actuals!I65</f>
        <v>215</v>
      </c>
      <c r="M49" s="119">
        <f>+Actuals!J65</f>
        <v>577.27499999999998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-5444</v>
      </c>
      <c r="E51" s="15">
        <f>G51+I51+K51+M51+O51</f>
        <v>-141388.91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+Actuals!G66-5444</f>
        <v>-5444</v>
      </c>
      <c r="K51" s="119">
        <f>+Actuals!H66-14730</f>
        <v>-141388.91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430510</v>
      </c>
      <c r="E55" s="15">
        <f>G55+I55+K55+M55+O55</f>
        <v>170000</v>
      </c>
      <c r="F55" s="97">
        <f>'TIE-OUT'!L55+RECLASS!J55</f>
        <v>0</v>
      </c>
      <c r="G55" s="98">
        <f>'TIE-OUT'!M55+RECLASS!K55</f>
        <v>0</v>
      </c>
      <c r="H55" s="118">
        <f>+Actuals!E68+430510</f>
        <v>430510</v>
      </c>
      <c r="I55" s="119">
        <f>+Actuals!F68+170000</f>
        <v>170000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430510</v>
      </c>
      <c r="E56" s="23">
        <f t="shared" si="16"/>
        <v>170000</v>
      </c>
      <c r="F56" s="59">
        <f t="shared" si="16"/>
        <v>0</v>
      </c>
      <c r="G56" s="23">
        <f t="shared" si="16"/>
        <v>0</v>
      </c>
      <c r="H56" s="61">
        <f t="shared" si="16"/>
        <v>430510</v>
      </c>
      <c r="I56" s="39">
        <f t="shared" si="16"/>
        <v>170000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4088787</v>
      </c>
      <c r="E59" s="15">
        <f>G59+I59+K59+M59+O59</f>
        <v>36712.050000000003</v>
      </c>
      <c r="F59" s="84">
        <f>'TIE-OUT'!L59+RECLASS!J59</f>
        <v>0</v>
      </c>
      <c r="G59" s="85">
        <f>'TIE-OUT'!M59+RECLASS!K59</f>
        <v>0</v>
      </c>
      <c r="H59" s="118">
        <f>+Actuals!E69</f>
        <v>4231082</v>
      </c>
      <c r="I59" s="119">
        <f>+Actuals!F69</f>
        <v>43679.07</v>
      </c>
      <c r="J59" s="118">
        <f>+Actuals!G69+313</f>
        <v>-183757</v>
      </c>
      <c r="K59" s="119">
        <f>+Actuals!H69</f>
        <v>-6967.02</v>
      </c>
      <c r="L59" s="118">
        <f>+Actuals!I69</f>
        <v>41462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4088787</v>
      </c>
      <c r="E61" s="23">
        <f t="shared" si="18"/>
        <v>36712.050000000003</v>
      </c>
      <c r="F61" s="59">
        <f t="shared" si="18"/>
        <v>0</v>
      </c>
      <c r="G61" s="23">
        <f t="shared" si="18"/>
        <v>0</v>
      </c>
      <c r="H61" s="61">
        <f t="shared" si="18"/>
        <v>4231082</v>
      </c>
      <c r="I61" s="39">
        <f t="shared" si="18"/>
        <v>43679.07</v>
      </c>
      <c r="J61" s="61">
        <f t="shared" ref="J61:AO61" si="19">SUM(J59:J60)</f>
        <v>-183757</v>
      </c>
      <c r="K61" s="39">
        <f t="shared" si="19"/>
        <v>-6967.02</v>
      </c>
      <c r="L61" s="61">
        <f>SUM(L59:L60)</f>
        <v>41462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-24721057</v>
      </c>
      <c r="E64" s="15">
        <f>G64+I64+K64+M64+O64</f>
        <v>-2900191.0199999996</v>
      </c>
      <c r="F64" s="84">
        <f>'TIE-OUT'!L64+RECLASS!J64</f>
        <v>0</v>
      </c>
      <c r="G64" s="85">
        <f>'TIE-OUT'!M64+RECLASS!K64</f>
        <v>0</v>
      </c>
      <c r="H64" s="118">
        <f>+Actuals!E71</f>
        <v>-17969790</v>
      </c>
      <c r="I64" s="119">
        <f>+Actuals!F71</f>
        <v>-2702385.8</v>
      </c>
      <c r="J64" s="118">
        <f>+Actuals!G71-41976</f>
        <v>-6748652</v>
      </c>
      <c r="K64" s="119">
        <f>+Actuals!H71</f>
        <v>-197489.15</v>
      </c>
      <c r="L64" s="118">
        <f>+Actuals!I71</f>
        <v>-2615</v>
      </c>
      <c r="M64" s="119">
        <f>+Actuals!J71</f>
        <v>-316.07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24545093</v>
      </c>
      <c r="E65" s="15">
        <f>G65+I65+K65+M65+O65</f>
        <v>2899874.9499999997</v>
      </c>
      <c r="F65" s="97">
        <f>'TIE-OUT'!L65+RECLASS!J65</f>
        <v>0</v>
      </c>
      <c r="G65" s="98">
        <f>'TIE-OUT'!M65+RECLASS!K65</f>
        <v>0</v>
      </c>
      <c r="H65" s="118">
        <f>+Actuals!E72+1907288</f>
        <v>17947986</v>
      </c>
      <c r="I65" s="119">
        <f>+Actuals!F72+640000</f>
        <v>2702385.8</v>
      </c>
      <c r="J65" s="118">
        <f>+Actuals!G72</f>
        <v>6597107</v>
      </c>
      <c r="K65" s="119">
        <f>+Actuals!H72</f>
        <v>197489.15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-175964</v>
      </c>
      <c r="E66" s="23">
        <f t="shared" si="20"/>
        <v>-316.06999999983236</v>
      </c>
      <c r="F66" s="59">
        <f t="shared" si="20"/>
        <v>0</v>
      </c>
      <c r="G66" s="23">
        <f t="shared" si="20"/>
        <v>0</v>
      </c>
      <c r="H66" s="61">
        <f t="shared" si="20"/>
        <v>-21804</v>
      </c>
      <c r="I66" s="39">
        <f t="shared" si="20"/>
        <v>0</v>
      </c>
      <c r="J66" s="61">
        <f t="shared" ref="J66:AO66" si="21">SUM(J64:J65)</f>
        <v>-151545</v>
      </c>
      <c r="K66" s="39">
        <f t="shared" si="21"/>
        <v>0</v>
      </c>
      <c r="L66" s="61">
        <f>SUM(L64:L65)</f>
        <v>-2615</v>
      </c>
      <c r="M66" s="39">
        <f>SUM(M64:M65)</f>
        <v>-316.07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-188344.48000000761</v>
      </c>
      <c r="F82" s="91">
        <f>F16+F24+F29+F36+F43+F45+F47+F49</f>
        <v>0</v>
      </c>
      <c r="G82" s="92">
        <f>SUM(G72:G81)+G16+G24+G29+G36+G43+G45+G47+G49+G51+G56+G61+G66</f>
        <v>-63207.21</v>
      </c>
      <c r="H82" s="91">
        <f>H16+H24+H29+H36+H43+H45+H47+H49</f>
        <v>0</v>
      </c>
      <c r="I82" s="92">
        <f>SUM(I72:I81)+I16+I24+I29+I36+I43+I45+I47+I49+I51+I56+I61+I66</f>
        <v>-19838.310000003614</v>
      </c>
      <c r="J82" s="91">
        <f>J16+J24+J29+J36+J43+J45+J47+J49</f>
        <v>0</v>
      </c>
      <c r="K82" s="110">
        <f>SUM(K72:K81)+K16+K24+K29+K36+K43+K45+K47+K49+K51+K56+K61+K66</f>
        <v>-104251.51499999962</v>
      </c>
      <c r="L82" s="91">
        <f>L16+L24+L29+L36+L43+L45+L47+L49</f>
        <v>0</v>
      </c>
      <c r="M82" s="92">
        <f>SUM(M72:M81)+M16+M24+M29+M36+M43+M45+M47+M49+M51+M56+M61+M66</f>
        <v>-1047.4449999999943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180683737</v>
      </c>
      <c r="E11" s="38">
        <f>SUM(G11,I11,K11,M11,O11,Q11,S11,U11,W11,Y11,AA11,AC11,AE11)</f>
        <v>511169657.91999996</v>
      </c>
      <c r="F11" s="60">
        <f>('TIE-OUT'!L11+'TIE-OUT'!J11)+(RECLASS!J11+RECLASS!H11)</f>
        <v>0</v>
      </c>
      <c r="G11" s="38">
        <f>('TIE-OUT'!M11+'TIE-OUT'!K11)+(RECLASS!K11+RECLASS!I11)</f>
        <v>-394285</v>
      </c>
      <c r="H11" s="60">
        <f>'EAST-EGM-GL'!H11+'EAST-LRC-GL'!H11</f>
        <v>179523158</v>
      </c>
      <c r="I11" s="38">
        <f>'EAST-EGM-GL'!I11+'EAST-LRC-GL'!I11</f>
        <v>504505997.27999997</v>
      </c>
      <c r="J11" s="60">
        <f>'EAST-EGM-GL'!J11+'EAST-LRC-GL'!J11</f>
        <v>1968475</v>
      </c>
      <c r="K11" s="38">
        <f>'EAST-EGM-GL'!K11+'EAST-LRC-GL'!K11</f>
        <v>9197348.1399999987</v>
      </c>
      <c r="L11" s="60">
        <f>'EAST-EGM-GL'!L11+'EAST-LRC-GL'!L11</f>
        <v>-807896</v>
      </c>
      <c r="M11" s="38">
        <f>'EAST-EGM-GL'!M11+'EAST-LRC-GL'!M11</f>
        <v>-2139402.5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10241933.67</v>
      </c>
      <c r="F12" s="60">
        <f>('TIE-OUT'!L12+'TIE-OUT'!J12)+(RECLASS!J12+RECLASS!H12)</f>
        <v>0</v>
      </c>
      <c r="G12" s="38">
        <f>('TIE-OUT'!M12+'TIE-OUT'!K12)+(RECLASS!K12+RECLASS!I12)</f>
        <v>10451593.18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-209659.51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64481443</v>
      </c>
      <c r="I13" s="38">
        <f>'EAST-EGM-GL'!I13+'EAST-LRC-GL'!I13</f>
        <v>177798212</v>
      </c>
      <c r="J13" s="60">
        <f>'EAST-EGM-GL'!J13+'EAST-LRC-GL'!J13</f>
        <v>-54500583</v>
      </c>
      <c r="K13" s="38">
        <f>'EAST-EGM-GL'!K13+'EAST-LRC-GL'!K13</f>
        <v>-150953850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('TIE-OUT'!L15+'TIE-OUT'!J15)+(RECLASS!J15+RECLASS!H15)</f>
        <v>0</v>
      </c>
      <c r="G15" s="82">
        <f>('TIE-OUT'!M15+'TIE-OUT'!K15)+(RECLASS!K15+RECLASS!I15)</f>
        <v>-11047802</v>
      </c>
      <c r="H15" s="60">
        <f>'EAST-EGM-GL'!H15+'EAST-LRC-GL'!H15</f>
        <v>0</v>
      </c>
      <c r="I15" s="38">
        <f>'EAST-EGM-GL'!I15+'EAST-LRC-GL'!I15</f>
        <v>14443302.710000001</v>
      </c>
      <c r="J15" s="60">
        <f>'EAST-EGM-GL'!J15+'EAST-LRC-GL'!J15</f>
        <v>0</v>
      </c>
      <c r="K15" s="38">
        <f>'EAST-EGM-GL'!K15+'EAST-LRC-GL'!K15</f>
        <v>2477339.96</v>
      </c>
      <c r="L15" s="60">
        <f>'EAST-EGM-GL'!L15+'EAST-LRC-GL'!L15</f>
        <v>0</v>
      </c>
      <c r="M15" s="38">
        <f>'EAST-EGM-GL'!M15+'EAST-LRC-GL'!M15</f>
        <v>262619.7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190664597</v>
      </c>
      <c r="E16" s="39">
        <f t="shared" si="1"/>
        <v>554391413.95999992</v>
      </c>
      <c r="F16" s="61">
        <f t="shared" si="1"/>
        <v>0</v>
      </c>
      <c r="G16" s="39">
        <f t="shared" si="1"/>
        <v>-990493.8200000003</v>
      </c>
      <c r="H16" s="61">
        <f t="shared" si="1"/>
        <v>244004601</v>
      </c>
      <c r="I16" s="39">
        <f t="shared" si="1"/>
        <v>696747511.99000001</v>
      </c>
      <c r="J16" s="61">
        <f t="shared" si="1"/>
        <v>-52532108</v>
      </c>
      <c r="K16" s="39">
        <f t="shared" si="1"/>
        <v>-139488821.41</v>
      </c>
      <c r="L16" s="61">
        <f>SUM(L11:L15)</f>
        <v>-807896</v>
      </c>
      <c r="M16" s="39">
        <f>SUM(M11:M15)</f>
        <v>-1876782.8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-173796435</v>
      </c>
      <c r="E19" s="38">
        <f t="shared" si="2"/>
        <v>-474076095.65999997</v>
      </c>
      <c r="F19" s="64">
        <f>('TIE-OUT'!L19+'TIE-OUT'!J19)+(RECLASS!J19+RECLASS!H19)</f>
        <v>0</v>
      </c>
      <c r="G19" s="68">
        <f>('TIE-OUT'!M19+'TIE-OUT'!K19)+(RECLASS!K19+RECLASS!I19)</f>
        <v>5998</v>
      </c>
      <c r="H19" s="60">
        <f>'EAST-EGM-GL'!H19+'EAST-LRC-GL'!H19</f>
        <v>-169341210</v>
      </c>
      <c r="I19" s="38">
        <f>'EAST-EGM-GL'!I19+'EAST-LRC-GL'!I19</f>
        <v>-462420049.00999999</v>
      </c>
      <c r="J19" s="60">
        <f>'EAST-EGM-GL'!J19+'EAST-LRC-GL'!J19</f>
        <v>-2828629</v>
      </c>
      <c r="K19" s="38">
        <f>'EAST-EGM-GL'!K19+'EAST-LRC-GL'!K19</f>
        <v>-6735738.1299999999</v>
      </c>
      <c r="L19" s="60">
        <f>'EAST-EGM-GL'!L19+'EAST-LRC-GL'!L19</f>
        <v>-1626596</v>
      </c>
      <c r="M19" s="38">
        <f>'EAST-EGM-GL'!M19+'EAST-LRC-GL'!M19</f>
        <v>-4926306.5200000005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-17309576.34</v>
      </c>
      <c r="F20" s="60">
        <f>('TIE-OUT'!L20+'TIE-OUT'!J20)+(RECLASS!J20+RECLASS!H20)</f>
        <v>0</v>
      </c>
      <c r="G20" s="38">
        <f>('TIE-OUT'!M20+'TIE-OUT'!K20)+(RECLASS!K20+RECLASS!I20)</f>
        <v>-17394462.280000001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84885.94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-13998960</v>
      </c>
      <c r="E21" s="38">
        <f t="shared" si="2"/>
        <v>-43491742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-68315842</v>
      </c>
      <c r="I21" s="38">
        <f>'EAST-EGM-GL'!I21+'EAST-LRC-GL'!I21</f>
        <v>-193470936</v>
      </c>
      <c r="J21" s="60">
        <f>'EAST-EGM-GL'!J21+'EAST-LRC-GL'!J21</f>
        <v>54327326</v>
      </c>
      <c r="K21" s="38">
        <f>'EAST-EGM-GL'!K21+'EAST-LRC-GL'!K21</f>
        <v>150009944</v>
      </c>
      <c r="L21" s="60">
        <f>'EAST-EGM-GL'!L21+'EAST-LRC-GL'!L21</f>
        <v>-10444</v>
      </c>
      <c r="M21" s="38">
        <f>'EAST-EGM-GL'!M21+'EAST-LRC-GL'!M21</f>
        <v>-30750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1394632</v>
      </c>
      <c r="E23" s="38">
        <f t="shared" si="2"/>
        <v>3743246.51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1524167</v>
      </c>
      <c r="I23" s="38">
        <f>'EAST-EGM-GL'!I23+'EAST-LRC-GL'!I23</f>
        <v>4092388.395</v>
      </c>
      <c r="J23" s="60">
        <f>'EAST-EGM-GL'!J23+'EAST-LRC-GL'!J23</f>
        <v>88215</v>
      </c>
      <c r="K23" s="38">
        <f>'EAST-EGM-GL'!K23+'EAST-LRC-GL'!K23</f>
        <v>235516.86499999999</v>
      </c>
      <c r="L23" s="60">
        <f>'EAST-EGM-GL'!L23+'EAST-LRC-GL'!L23</f>
        <v>-217750</v>
      </c>
      <c r="M23" s="38">
        <f>'EAST-EGM-GL'!M23+'EAST-LRC-GL'!M23</f>
        <v>-584658.75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-186400763</v>
      </c>
      <c r="E24" s="39">
        <f t="shared" si="3"/>
        <v>-531134167.48999995</v>
      </c>
      <c r="F24" s="61">
        <f t="shared" si="3"/>
        <v>0</v>
      </c>
      <c r="G24" s="39">
        <f t="shared" si="3"/>
        <v>-17388464.280000001</v>
      </c>
      <c r="H24" s="61">
        <f t="shared" si="3"/>
        <v>-236132885</v>
      </c>
      <c r="I24" s="39">
        <f t="shared" si="3"/>
        <v>-651798596.61500001</v>
      </c>
      <c r="J24" s="61">
        <f t="shared" si="3"/>
        <v>51586912</v>
      </c>
      <c r="K24" s="39">
        <f t="shared" si="3"/>
        <v>143594608.67500001</v>
      </c>
      <c r="L24" s="61">
        <f>SUM(L19:L23)</f>
        <v>-1854790</v>
      </c>
      <c r="M24" s="39">
        <f>SUM(M19:M23)</f>
        <v>-5541715.2700000005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19198169</v>
      </c>
      <c r="E27" s="38">
        <f>SUM(G27,I27,K27,M27,O27,Q27,S27,U27,W27,Y27,AA27,AC27,AE27)</f>
        <v>51039874.600000001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19270487</v>
      </c>
      <c r="I27" s="38">
        <f>'EAST-EGM-GL'!I27+'EAST-LRC-GL'!I27</f>
        <v>51233165.950000003</v>
      </c>
      <c r="J27" s="60">
        <f>'EAST-EGM-GL'!J27+'EAST-LRC-GL'!J27</f>
        <v>-141743</v>
      </c>
      <c r="K27" s="38">
        <f>'EAST-EGM-GL'!K27+'EAST-LRC-GL'!K27</f>
        <v>-369071.88</v>
      </c>
      <c r="L27" s="60">
        <f>'EAST-EGM-GL'!L27+'EAST-LRC-GL'!L27</f>
        <v>69425</v>
      </c>
      <c r="M27" s="38">
        <f>'EAST-EGM-GL'!M27+'EAST-LRC-GL'!M27</f>
        <v>175780.53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-22159000</v>
      </c>
      <c r="E28" s="38">
        <f>SUM(G28,I28,K28,M28,O28,Q28,S28,U28,W28,Y28,AA28,AC28,AE28)</f>
        <v>-58701516.760000005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-21983821</v>
      </c>
      <c r="I28" s="38">
        <f>'EAST-EGM-GL'!I28+'EAST-LRC-GL'!I28</f>
        <v>-58264977.230000004</v>
      </c>
      <c r="J28" s="60">
        <f>'EAST-EGM-GL'!J28+'EAST-LRC-GL'!J28</f>
        <v>-60680</v>
      </c>
      <c r="K28" s="38">
        <f>'EAST-EGM-GL'!K28+'EAST-LRC-GL'!K28</f>
        <v>-140652.72000000003</v>
      </c>
      <c r="L28" s="60">
        <f>'EAST-EGM-GL'!L28+'EAST-LRC-GL'!L28</f>
        <v>-114499</v>
      </c>
      <c r="M28" s="38">
        <f>'EAST-EGM-GL'!M28+'EAST-LRC-GL'!M28</f>
        <v>-295886.81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-2960831</v>
      </c>
      <c r="E29" s="39">
        <f t="shared" si="4"/>
        <v>-7661642.1600000039</v>
      </c>
      <c r="F29" s="61">
        <f t="shared" si="4"/>
        <v>0</v>
      </c>
      <c r="G29" s="39">
        <f t="shared" si="4"/>
        <v>0</v>
      </c>
      <c r="H29" s="61">
        <f t="shared" si="4"/>
        <v>-2713334</v>
      </c>
      <c r="I29" s="39">
        <f t="shared" si="4"/>
        <v>-7031811.2800000012</v>
      </c>
      <c r="J29" s="61">
        <f t="shared" si="4"/>
        <v>-202423</v>
      </c>
      <c r="K29" s="39">
        <f t="shared" si="4"/>
        <v>-509724.60000000003</v>
      </c>
      <c r="L29" s="61">
        <f>SUM(L27:L28)</f>
        <v>-45074</v>
      </c>
      <c r="M29" s="39">
        <f>SUM(M27:M28)</f>
        <v>-120106.28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-1394143</v>
      </c>
      <c r="E32" s="38">
        <f t="shared" si="5"/>
        <v>-3743273.955000001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-433797</v>
      </c>
      <c r="I32" s="38">
        <f>'EAST-EGM-GL'!I32+'EAST-LRC-GL'!I32</f>
        <v>-1164744.9450000001</v>
      </c>
      <c r="J32" s="60">
        <f>'EAST-EGM-GL'!J32+'EAST-LRC-GL'!J32</f>
        <v>-3751909</v>
      </c>
      <c r="K32" s="38">
        <f>'EAST-EGM-GL'!K32+'EAST-LRC-GL'!K32</f>
        <v>-10073875.665000001</v>
      </c>
      <c r="L32" s="60">
        <f>'EAST-EGM-GL'!L32+'EAST-LRC-GL'!L32</f>
        <v>2791563</v>
      </c>
      <c r="M32" s="38">
        <f>'EAST-EGM-GL'!M32+'EAST-LRC-GL'!M32</f>
        <v>7495346.6550000003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-2924642</v>
      </c>
      <c r="E33" s="38">
        <f t="shared" si="5"/>
        <v>-351491.08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-2910886</v>
      </c>
      <c r="K33" s="38">
        <f>'EAST-EGM-GL'!K33+'EAST-LRC-GL'!K33</f>
        <v>-313505.69</v>
      </c>
      <c r="L33" s="60">
        <f>'EAST-EGM-GL'!L33+'EAST-LRC-GL'!L33</f>
        <v>-13756</v>
      </c>
      <c r="M33" s="38">
        <f>'EAST-EGM-GL'!M33+'EAST-LRC-GL'!M33</f>
        <v>-37985.39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3260404</v>
      </c>
      <c r="E34" s="38">
        <f t="shared" si="5"/>
        <v>1226873.23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2884014</v>
      </c>
      <c r="K34" s="38">
        <f>'EAST-EGM-GL'!K34+'EAST-LRC-GL'!K34</f>
        <v>266559.56</v>
      </c>
      <c r="L34" s="60">
        <f>'EAST-EGM-GL'!L34+'EAST-LRC-GL'!L34</f>
        <v>376390</v>
      </c>
      <c r="M34" s="38">
        <f>'EAST-EGM-GL'!M34+'EAST-LRC-GL'!M34</f>
        <v>960313.67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-21604.99</v>
      </c>
      <c r="F35" s="81">
        <f>('TIE-OUT'!L35+'TIE-OUT'!J35)+(RECLASS!J35+RECLASS!H35)</f>
        <v>150000</v>
      </c>
      <c r="G35" s="82">
        <f>('TIE-OUT'!M35+'TIE-OUT'!K35)+(RECLASS!K35+RECLASS!I35)</f>
        <v>-21605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-150000</v>
      </c>
      <c r="K35" s="38">
        <f>'EAST-EGM-GL'!K35+'EAST-LRC-GL'!K35</f>
        <v>0.01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-1058381</v>
      </c>
      <c r="E36" s="39">
        <f t="shared" si="6"/>
        <v>-2889496.7950000013</v>
      </c>
      <c r="F36" s="61">
        <f t="shared" si="6"/>
        <v>150000</v>
      </c>
      <c r="G36" s="39">
        <f t="shared" si="6"/>
        <v>-21605</v>
      </c>
      <c r="H36" s="61">
        <f t="shared" si="6"/>
        <v>-433797</v>
      </c>
      <c r="I36" s="39">
        <f t="shared" si="6"/>
        <v>-1164744.9450000001</v>
      </c>
      <c r="J36" s="61">
        <f t="shared" si="6"/>
        <v>-3928781</v>
      </c>
      <c r="K36" s="39">
        <f t="shared" si="6"/>
        <v>-10120821.785</v>
      </c>
      <c r="L36" s="61">
        <f>SUM(L32:L35)</f>
        <v>3154197</v>
      </c>
      <c r="M36" s="39">
        <f>SUM(M32:M35)</f>
        <v>8417674.9350000005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1867826</v>
      </c>
      <c r="E39" s="38">
        <f t="shared" si="7"/>
        <v>4875214.41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1867826</v>
      </c>
      <c r="K39" s="38">
        <f>'EAST-EGM-GL'!K39+'EAST-LRC-GL'!K39</f>
        <v>4875214.41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-1279420</v>
      </c>
      <c r="E40" s="38">
        <f t="shared" si="7"/>
        <v>-2791677.57</v>
      </c>
      <c r="F40" s="60">
        <f>('TIE-OUT'!L40+'TIE-OUT'!J40)+(RECLASS!J40+RECLASS!H40)</f>
        <v>-150000</v>
      </c>
      <c r="G40" s="38">
        <f>('TIE-OUT'!M40+'TIE-OUT'!K40)+(RECLASS!K40+RECLASS!I40)</f>
        <v>21605</v>
      </c>
      <c r="H40" s="60">
        <f>'EAST-EGM-GL'!H40+'EAST-LRC-GL'!H40</f>
        <v>-1536713</v>
      </c>
      <c r="I40" s="38">
        <f>'EAST-EGM-GL'!I40+'EAST-LRC-GL'!I40</f>
        <v>-3879637.26</v>
      </c>
      <c r="J40" s="60">
        <f>'EAST-EGM-GL'!J40+'EAST-LRC-GL'!J40</f>
        <v>465575</v>
      </c>
      <c r="K40" s="38">
        <f>'EAST-EGM-GL'!K40+'EAST-LRC-GL'!K40</f>
        <v>1220656.8599999999</v>
      </c>
      <c r="L40" s="60">
        <f>'EAST-EGM-GL'!L40+'EAST-LRC-GL'!L40</f>
        <v>-58282</v>
      </c>
      <c r="M40" s="38">
        <f>'EAST-EGM-GL'!M40+'EAST-LRC-GL'!M40</f>
        <v>-154302.17000000001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-1279420</v>
      </c>
      <c r="E42" s="39">
        <f t="shared" si="8"/>
        <v>-2791677.57</v>
      </c>
      <c r="F42" s="61">
        <f t="shared" si="8"/>
        <v>-150000</v>
      </c>
      <c r="G42" s="39">
        <f t="shared" si="8"/>
        <v>21605</v>
      </c>
      <c r="H42" s="61">
        <f t="shared" si="8"/>
        <v>-1536713</v>
      </c>
      <c r="I42" s="39">
        <f t="shared" si="8"/>
        <v>-3879637.26</v>
      </c>
      <c r="J42" s="61">
        <f t="shared" si="8"/>
        <v>465575</v>
      </c>
      <c r="K42" s="39">
        <f t="shared" si="8"/>
        <v>1220656.8599999999</v>
      </c>
      <c r="L42" s="61">
        <f>SUM(L40:L41)</f>
        <v>-58282</v>
      </c>
      <c r="M42" s="39">
        <f>SUM(M40:M41)</f>
        <v>-154302.17000000001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588406</v>
      </c>
      <c r="E43" s="39">
        <f t="shared" si="9"/>
        <v>2083536.8400000003</v>
      </c>
      <c r="F43" s="61">
        <f t="shared" si="9"/>
        <v>-150000</v>
      </c>
      <c r="G43" s="39">
        <f t="shared" si="9"/>
        <v>21605</v>
      </c>
      <c r="H43" s="61">
        <f t="shared" si="9"/>
        <v>-1536713</v>
      </c>
      <c r="I43" s="39">
        <f t="shared" si="9"/>
        <v>-3879637.26</v>
      </c>
      <c r="J43" s="61">
        <f t="shared" si="9"/>
        <v>2333401</v>
      </c>
      <c r="K43" s="39">
        <f t="shared" si="9"/>
        <v>6095871.2699999996</v>
      </c>
      <c r="L43" s="61">
        <f>L42+L39</f>
        <v>-58282</v>
      </c>
      <c r="M43" s="39">
        <f>M42+M39</f>
        <v>-154302.17000000001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-12629</v>
      </c>
      <c r="K45" s="38">
        <f>'EAST-EGM-GL'!K45+'EAST-LRC-GL'!K45</f>
        <v>-21588.28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-820399</v>
      </c>
      <c r="E49" s="38">
        <f>SUM(G49,I49,K49,M49,O49,Q49,S49,U49,W49,Y49,AA49,AC49,AE49)</f>
        <v>-2202771.3149999995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-3187872</v>
      </c>
      <c r="I49" s="38">
        <f>'EAST-EGM-GL'!I49+'EAST-LRC-GL'!I49</f>
        <v>-8559436.3200000003</v>
      </c>
      <c r="J49" s="60">
        <f>'EAST-EGM-GL'!J49+'EAST-LRC-GL'!J49</f>
        <v>2755628</v>
      </c>
      <c r="K49" s="38">
        <f>'EAST-EGM-GL'!K49+'EAST-LRC-GL'!K49</f>
        <v>7398861.1800000006</v>
      </c>
      <c r="L49" s="60">
        <f>'EAST-EGM-GL'!L49+'EAST-LRC-GL'!L49</f>
        <v>-388155</v>
      </c>
      <c r="M49" s="38">
        <f>'EAST-EGM-GL'!M49+'EAST-LRC-GL'!M49</f>
        <v>-1042196.1749999999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-1352404</v>
      </c>
      <c r="E51" s="38">
        <f>SUM(G51,I51,K51,M51,O51,Q51,S51,U51,W51,Y51,AA51,AC51,AE51)</f>
        <v>-3757976.51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-1524167</v>
      </c>
      <c r="I51" s="38">
        <f>'EAST-EGM-GL'!I51+'EAST-LRC-GL'!I51</f>
        <v>-4092388.395</v>
      </c>
      <c r="J51" s="60">
        <f>'EAST-EGM-GL'!J51+'EAST-LRC-GL'!J51</f>
        <v>-45987</v>
      </c>
      <c r="K51" s="38">
        <f>'EAST-EGM-GL'!K51+'EAST-LRC-GL'!K51</f>
        <v>-250246.86499999999</v>
      </c>
      <c r="L51" s="60">
        <f>'EAST-EGM-GL'!L51+'EAST-LRC-GL'!L51</f>
        <v>217750</v>
      </c>
      <c r="M51" s="38">
        <f>'EAST-EGM-GL'!M51+'EAST-LRC-GL'!M51</f>
        <v>584658.75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('TIE-OUT'!L54+'TIE-OUT'!J54)+(RECLASS!J54+RECLASS!H54)</f>
        <v>0</v>
      </c>
      <c r="G54" s="68">
        <f>('TIE-OUT'!M54+'TIE-OUT'!K54)+(RECLASS!K54+RECLASS!I54)</f>
        <v>32680</v>
      </c>
      <c r="H54" s="60">
        <f>'EAST-EGM-GL'!H54+'EAST-LRC-GL'!H54</f>
        <v>-146582734</v>
      </c>
      <c r="I54" s="38">
        <f>'EAST-EGM-GL'!I54+'EAST-LRC-GL'!I54</f>
        <v>-2004732.41</v>
      </c>
      <c r="J54" s="60">
        <f>'EAST-EGM-GL'!J54+'EAST-LRC-GL'!J54</f>
        <v>23818200</v>
      </c>
      <c r="K54" s="38">
        <f>'EAST-EGM-GL'!K54+'EAST-LRC-GL'!K54</f>
        <v>173360.23</v>
      </c>
      <c r="L54" s="60">
        <f>'EAST-EGM-GL'!L54+'EAST-LRC-GL'!L54</f>
        <v>-1624570</v>
      </c>
      <c r="M54" s="38">
        <f>'EAST-EGM-GL'!M54+'EAST-LRC-GL'!M54</f>
        <v>-67531.490000000005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-7547241.7199999997</v>
      </c>
      <c r="F55" s="81">
        <f>('TIE-OUT'!L55+'TIE-OUT'!J55)+(RECLASS!J55+RECLASS!H55)</f>
        <v>0</v>
      </c>
      <c r="G55" s="82">
        <f>('TIE-OUT'!M55+'TIE-OUT'!K55)+(RECLASS!K55+RECLASS!I55)</f>
        <v>-135996</v>
      </c>
      <c r="H55" s="60">
        <f>'EAST-EGM-GL'!H55+'EAST-LRC-GL'!H55</f>
        <v>430510</v>
      </c>
      <c r="I55" s="38">
        <f>'EAST-EGM-GL'!I55+'EAST-LRC-GL'!I55</f>
        <v>-7632273.5299999993</v>
      </c>
      <c r="J55" s="60">
        <f>'EAST-EGM-GL'!J55+'EAST-LRC-GL'!J55</f>
        <v>0</v>
      </c>
      <c r="K55" s="38">
        <f>'EAST-EGM-GL'!K55+'EAST-LRC-GL'!K55</f>
        <v>189583.47</v>
      </c>
      <c r="L55" s="60">
        <f>'EAST-EGM-GL'!L55+'EAST-LRC-GL'!L55</f>
        <v>0</v>
      </c>
      <c r="M55" s="38">
        <f>'EAST-EGM-GL'!M55+'EAST-LRC-GL'!M55</f>
        <v>31444.34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-123958594</v>
      </c>
      <c r="E56" s="39">
        <f t="shared" si="10"/>
        <v>-9413465.3900000006</v>
      </c>
      <c r="F56" s="61">
        <f t="shared" si="10"/>
        <v>0</v>
      </c>
      <c r="G56" s="39">
        <f t="shared" si="10"/>
        <v>-103316</v>
      </c>
      <c r="H56" s="61">
        <f t="shared" si="10"/>
        <v>-146152224</v>
      </c>
      <c r="I56" s="39">
        <f t="shared" si="10"/>
        <v>-9637005.9399999995</v>
      </c>
      <c r="J56" s="61">
        <f t="shared" si="10"/>
        <v>23818200</v>
      </c>
      <c r="K56" s="39">
        <f t="shared" si="10"/>
        <v>362943.7</v>
      </c>
      <c r="L56" s="61">
        <f>SUM(L54:L55)</f>
        <v>-1624570</v>
      </c>
      <c r="M56" s="39">
        <f>SUM(M54:M55)</f>
        <v>-36087.150000000009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4088787</v>
      </c>
      <c r="E59" s="38">
        <f>SUM(G59,I59,K59,M59,O59,Q59,S59,U59,W59,Y59,AA59,AC59,AE59)</f>
        <v>98146.360000000015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4231082</v>
      </c>
      <c r="I59" s="38">
        <f>'EAST-EGM-GL'!I59+'EAST-LRC-GL'!I59</f>
        <v>105623.07</v>
      </c>
      <c r="J59" s="60">
        <f>'EAST-EGM-GL'!J59+'EAST-LRC-GL'!J59</f>
        <v>-183757</v>
      </c>
      <c r="K59" s="38">
        <f>'EAST-EGM-GL'!K59+'EAST-LRC-GL'!K59</f>
        <v>-7476.7099999999991</v>
      </c>
      <c r="L59" s="60">
        <f>'EAST-EGM-GL'!L59+'EAST-LRC-GL'!L59</f>
        <v>41462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4088787</v>
      </c>
      <c r="E61" s="39">
        <f t="shared" si="11"/>
        <v>98146.360000000015</v>
      </c>
      <c r="F61" s="61">
        <f t="shared" si="11"/>
        <v>0</v>
      </c>
      <c r="G61" s="39">
        <f t="shared" si="11"/>
        <v>0</v>
      </c>
      <c r="H61" s="61">
        <f t="shared" si="11"/>
        <v>4231082</v>
      </c>
      <c r="I61" s="39">
        <f t="shared" si="11"/>
        <v>105623.07</v>
      </c>
      <c r="J61" s="61">
        <f t="shared" si="11"/>
        <v>-183757</v>
      </c>
      <c r="K61" s="39">
        <f t="shared" si="11"/>
        <v>-7476.7099999999991</v>
      </c>
      <c r="L61" s="61">
        <f>SUM(L59:L60)</f>
        <v>41462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-24721057</v>
      </c>
      <c r="E64" s="38">
        <f>SUM(G64,I64,K64,M64,O64,Q64,S64,U64,W64,Y64,AA64,AC64,AE64)</f>
        <v>-2900191.0199999996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-17969790</v>
      </c>
      <c r="I64" s="38">
        <f>'EAST-EGM-GL'!I64+'EAST-LRC-GL'!I64</f>
        <v>-2702385.8</v>
      </c>
      <c r="J64" s="60">
        <f>'EAST-EGM-GL'!J64+'EAST-LRC-GL'!J64</f>
        <v>-6748652</v>
      </c>
      <c r="K64" s="38">
        <f>'EAST-EGM-GL'!K64+'EAST-LRC-GL'!K64</f>
        <v>-197489.15</v>
      </c>
      <c r="L64" s="60">
        <f>'EAST-EGM-GL'!L64+'EAST-LRC-GL'!L64</f>
        <v>-2615</v>
      </c>
      <c r="M64" s="38">
        <f>'EAST-EGM-GL'!M64+'EAST-LRC-GL'!M64</f>
        <v>-316.07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24545093</v>
      </c>
      <c r="E65" s="38">
        <f>SUM(G65,I65,K65,M65,O65,Q65,S65,U65,W65,Y65,AA65,AC65,AE65)</f>
        <v>2899874.9499999997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17947986</v>
      </c>
      <c r="I65" s="38">
        <f>'EAST-EGM-GL'!I65+'EAST-LRC-GL'!I65</f>
        <v>2702385.8</v>
      </c>
      <c r="J65" s="60">
        <f>'EAST-EGM-GL'!J65+'EAST-LRC-GL'!J65</f>
        <v>6597107</v>
      </c>
      <c r="K65" s="38">
        <f>'EAST-EGM-GL'!K65+'EAST-LRC-GL'!K65</f>
        <v>197489.15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-175964</v>
      </c>
      <c r="E66" s="39">
        <f t="shared" si="12"/>
        <v>-316.06999999983236</v>
      </c>
      <c r="F66" s="61">
        <f t="shared" si="12"/>
        <v>0</v>
      </c>
      <c r="G66" s="39">
        <f t="shared" si="12"/>
        <v>0</v>
      </c>
      <c r="H66" s="61">
        <f t="shared" si="12"/>
        <v>-21804</v>
      </c>
      <c r="I66" s="39">
        <f t="shared" si="12"/>
        <v>0</v>
      </c>
      <c r="J66" s="61">
        <f t="shared" si="12"/>
        <v>-151545</v>
      </c>
      <c r="K66" s="39">
        <f t="shared" si="12"/>
        <v>0</v>
      </c>
      <c r="L66" s="61">
        <f>SUM(L64:L65)</f>
        <v>-2615</v>
      </c>
      <c r="M66" s="39">
        <f>SUM(M64:M65)</f>
        <v>-316.07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('TIE-OUT'!L70+'TIE-OUT'!J70)+(RECLASS!J70+RECLASS!H70)</f>
        <v>0</v>
      </c>
      <c r="G70" s="68">
        <f>('TIE-OUT'!M70+'TIE-OUT'!K70)+(RECLASS!K70+RECLASS!I70)</f>
        <v>563222.05000000005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('TIE-OUT'!L71+'TIE-OUT'!J71)+(RECLASS!J71+RECLASS!H71)</f>
        <v>0</v>
      </c>
      <c r="G71" s="82">
        <f>('TIE-OUT'!M71+'TIE-OUT'!K71)+(RECLASS!K71+RECLASS!I71)</f>
        <v>-13133657.73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-12570435.68</v>
      </c>
      <c r="F72" s="61">
        <f t="shared" si="13"/>
        <v>0</v>
      </c>
      <c r="G72" s="39">
        <f t="shared" si="13"/>
        <v>-12570435.68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4362691.25</v>
      </c>
      <c r="F74" s="60">
        <f>('TIE-OUT'!L74+'TIE-OUT'!J74)+(RECLASS!J74+RECLASS!H74)</f>
        <v>0</v>
      </c>
      <c r="G74" s="60">
        <f>('TIE-OUT'!M74+'TIE-OUT'!K74)+(RECLASS!K74+RECLASS!I74)</f>
        <v>5451087.5899999999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-1124804.3400000001</v>
      </c>
      <c r="L74" s="60">
        <f>'EAST-EGM-GL'!L74+'EAST-LRC-GL'!L74</f>
        <v>0</v>
      </c>
      <c r="M74" s="38">
        <f>'EAST-EGM-GL'!M74+'EAST-LRC-GL'!M74</f>
        <v>36408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9400</v>
      </c>
      <c r="F75" s="60">
        <f>('TIE-OUT'!L75+'TIE-OUT'!J75)+(RECLASS!J75+RECLASS!H75)</f>
        <v>0</v>
      </c>
      <c r="G75" s="60">
        <f>('TIE-OUT'!M75+'TIE-OUT'!K75)+(RECLASS!K75+RECLASS!I75)</f>
        <v>9400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-98490.07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-106069.64</v>
      </c>
      <c r="J76" s="60">
        <f>'EAST-EGM-GL'!J76+'EAST-LRC-GL'!J76</f>
        <v>0</v>
      </c>
      <c r="K76" s="38">
        <f>'EAST-EGM-GL'!K76+'EAST-LRC-GL'!K76</f>
        <v>257.5</v>
      </c>
      <c r="L76" s="60">
        <f>'EAST-EGM-GL'!L76+'EAST-LRC-GL'!L76</f>
        <v>0</v>
      </c>
      <c r="M76" s="38">
        <f>'EAST-EGM-GL'!M76+'EAST-LRC-GL'!M76</f>
        <v>7322.07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-2906000</v>
      </c>
      <c r="F77" s="60">
        <f>('TIE-OUT'!L77+'TIE-OUT'!J77)+(RECLASS!J77+RECLASS!H77)</f>
        <v>0</v>
      </c>
      <c r="G77" s="60">
        <f>('TIE-OUT'!M77+'TIE-OUT'!K77)+(RECLASS!K77+RECLASS!I77)</f>
        <v>-2906000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22942</v>
      </c>
      <c r="F78" s="60">
        <f>('TIE-OUT'!L78+'TIE-OUT'!J78)+(RECLASS!J78+RECLASS!H78)</f>
        <v>0</v>
      </c>
      <c r="G78" s="60">
        <f>('TIE-OUT'!M78+'TIE-OUT'!K78)+(RECLASS!K78+RECLASS!I78)</f>
        <v>22942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0.39000000001396984</v>
      </c>
      <c r="F81" s="60">
        <f>('TIE-OUT'!L81+'TIE-OUT'!J81)+(RECLASS!J81+RECLASS!H81)</f>
        <v>0</v>
      </c>
      <c r="G81" s="60">
        <f>('TIE-OUT'!M81+'TIE-OUT'!K81)+(RECLASS!K81+RECLASS!I81)</f>
        <v>-178764</v>
      </c>
      <c r="H81" s="60">
        <f>'EAST-EGM-GL'!H81+'EAST-LRC-GL'!H81</f>
        <v>0</v>
      </c>
      <c r="I81" s="38">
        <f>'EAST-EGM-GL'!I81+'EAST-LRC-GL'!I81</f>
        <v>178764.39</v>
      </c>
      <c r="J81" s="60">
        <f>'EAST-EGM-GL'!J81+'EAST-LRC-GL'!J81</f>
        <v>0</v>
      </c>
      <c r="K81" s="38">
        <f>'EAST-EGM-GL'!K81+'EAST-LRC-GL'!K81</f>
        <v>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-11688218.960000051</v>
      </c>
      <c r="F82" s="91">
        <f>F16+F24+F29+F36+F43+F45+F47+F49</f>
        <v>0</v>
      </c>
      <c r="G82" s="92">
        <f>SUM(G72:G81)+G16+G24+G29+G36+G43+G45+G47+G49+G51+G56+G61+G66</f>
        <v>-28654044.190000001</v>
      </c>
      <c r="H82" s="91">
        <f>H16+H24+H29+H36+H43+H45+H47+H49</f>
        <v>0</v>
      </c>
      <c r="I82" s="92">
        <f>SUM(I72:I81)+I16+I24+I29+I36+I43+I45+I47+I49+I51+I56+I61+I66</f>
        <v>10762209.055000002</v>
      </c>
      <c r="J82" s="91">
        <f>J16+J24+J29+J36+J43+J45+J47+J49</f>
        <v>0</v>
      </c>
      <c r="K82" s="92">
        <f>SUM(K72:K81)+K16+K24+K29+K36+K43+K45+K47+K49+K51+K56+K61+K66</f>
        <v>5929058.3350000121</v>
      </c>
      <c r="L82" s="91">
        <f>L16+L24+L29+L36+L43+L45+L47+L49</f>
        <v>0</v>
      </c>
      <c r="M82" s="92">
        <f>SUM(M72:M81)+M16+M24+M29+M36+M43+M45+M47+M49+M51+M56+M61+M66</f>
        <v>274557.84000000026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-11688218.960000031</v>
      </c>
      <c r="G84" s="14">
        <f>+'EAST-LRC-GL'!G82+'EAST-EGM-GL'!G82</f>
        <v>-28654044.190000001</v>
      </c>
      <c r="I84" s="14">
        <f>+'EAST-LRC-GL'!I82+'EAST-EGM-GL'!I82</f>
        <v>10762209.055000015</v>
      </c>
      <c r="K84" s="14">
        <f>+'EAST-LRC-GL'!K82+'EAST-EGM-GL'!K82</f>
        <v>5929058.3350000111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344137</v>
      </c>
      <c r="F86" s="145">
        <f>'EAST-EGM-GL'!F86+'EAST-LRC-GL'!F86</f>
        <v>0</v>
      </c>
      <c r="G86" s="145">
        <f>'EAST-EGM-GL'!G86+'EAST-LRC-GL'!G86</f>
        <v>344137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-11344081.960000051</v>
      </c>
      <c r="F91" s="160">
        <f t="shared" si="19"/>
        <v>0</v>
      </c>
      <c r="G91" s="160">
        <f t="shared" si="19"/>
        <v>-28309907.190000001</v>
      </c>
      <c r="H91" s="160">
        <f t="shared" si="19"/>
        <v>0</v>
      </c>
      <c r="I91" s="160">
        <f t="shared" si="19"/>
        <v>10762209.055000002</v>
      </c>
      <c r="J91" s="160">
        <f t="shared" si="19"/>
        <v>0</v>
      </c>
      <c r="K91" s="160">
        <f t="shared" si="19"/>
        <v>5929058.3350000121</v>
      </c>
      <c r="L91" s="160">
        <f t="shared" si="19"/>
        <v>0</v>
      </c>
      <c r="M91" s="160">
        <f t="shared" si="19"/>
        <v>274557.84000000026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G71" activePane="bottomRight" state="frozen"/>
      <selection activeCell="L19" sqref="L19"/>
      <selection pane="topRight" activeCell="L19" sqref="L19"/>
      <selection pane="bottomLeft" activeCell="L19" sqref="L19"/>
      <selection pane="bottomRight" activeCell="M20" sqref="M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14778972</v>
      </c>
      <c r="E11" s="38">
        <f>SUM(G11,I11,K11,M11,O11,Q11,S11,U11,W11,Y11,AA11,AC11,AE11)</f>
        <v>40523363.210000008</v>
      </c>
      <c r="F11" s="60">
        <f>'TIE-OUT'!V11+RECLASS!T11</f>
        <v>0</v>
      </c>
      <c r="G11" s="38">
        <f>'TIE-OUT'!W11+RECLASS!U11</f>
        <v>0</v>
      </c>
      <c r="H11" s="118">
        <f>+Actuals!E444</f>
        <v>14669792</v>
      </c>
      <c r="I11" s="119">
        <f>+Actuals!F444</f>
        <v>39816010.850000001</v>
      </c>
      <c r="J11" s="118">
        <f>+Actuals!G444</f>
        <v>110244</v>
      </c>
      <c r="K11" s="119">
        <f>+Actuals!H444</f>
        <v>121206.34</v>
      </c>
      <c r="L11" s="118">
        <f>+Actuals!I444</f>
        <v>-1064</v>
      </c>
      <c r="M11" s="119">
        <f>+Actuals!J444</f>
        <v>586146.02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-3624181.05</v>
      </c>
      <c r="F12" s="60">
        <f>'TIE-OUT'!V12+RECLASS!T12</f>
        <v>0</v>
      </c>
      <c r="G12" s="38">
        <f>'TIE-OUT'!W12+RECLASS!U12</f>
        <v>-3624181.05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1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'TIE-OUT'!V13+RECLASS!T13</f>
        <v>0</v>
      </c>
      <c r="G13" s="38">
        <f>'TIE-OUT'!W13+RECLASS!U13</f>
        <v>0</v>
      </c>
      <c r="H13" s="118">
        <f>+Actuals!E446</f>
        <v>9128921</v>
      </c>
      <c r="I13" s="119">
        <f>+Actuals!F446</f>
        <v>23569012</v>
      </c>
      <c r="J13" s="118">
        <f>+Actuals!G446</f>
        <v>-8175373</v>
      </c>
      <c r="K13" s="119">
        <f>+Actuals!H446</f>
        <v>-21144119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2040850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2025070</v>
      </c>
      <c r="J15" s="118">
        <f>+Actuals!G448</f>
        <v>0</v>
      </c>
      <c r="K15" s="119">
        <f>+Actuals!H448</f>
        <v>15780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15732520</v>
      </c>
      <c r="E16" s="39">
        <f t="shared" si="1"/>
        <v>41364925.160000011</v>
      </c>
      <c r="F16" s="61">
        <f t="shared" si="1"/>
        <v>0</v>
      </c>
      <c r="G16" s="39">
        <f t="shared" si="1"/>
        <v>-3624181.05</v>
      </c>
      <c r="H16" s="61">
        <f t="shared" si="1"/>
        <v>23798713</v>
      </c>
      <c r="I16" s="39">
        <f t="shared" si="1"/>
        <v>65410092.850000001</v>
      </c>
      <c r="J16" s="61">
        <f t="shared" ref="J16:AO16" si="2">SUM(J11:J15)</f>
        <v>-8065129</v>
      </c>
      <c r="K16" s="39">
        <f t="shared" si="2"/>
        <v>-21007132.66</v>
      </c>
      <c r="L16" s="61">
        <f>SUM(L11:L15)</f>
        <v>-1064</v>
      </c>
      <c r="M16" s="39">
        <f>SUM(M11:M15)</f>
        <v>586146.02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-3737598</v>
      </c>
      <c r="E19" s="38">
        <f t="shared" si="3"/>
        <v>-9363022.2699999996</v>
      </c>
      <c r="F19" s="64">
        <f>'TIE-OUT'!V19+RECLASS!T19</f>
        <v>0</v>
      </c>
      <c r="G19" s="68">
        <f>'TIE-OUT'!W19+RECLASS!U19</f>
        <v>0</v>
      </c>
      <c r="H19" s="118">
        <f>+Actuals!E449</f>
        <v>-3428091</v>
      </c>
      <c r="I19" s="119">
        <f>+Actuals!F449</f>
        <v>-8598836.1799999997</v>
      </c>
      <c r="J19" s="118">
        <f>+Actuals!G449</f>
        <v>-336402</v>
      </c>
      <c r="K19" s="119">
        <f>+Actuals!H449</f>
        <v>-825743.29</v>
      </c>
      <c r="L19" s="118">
        <f>+Actuals!I449</f>
        <v>26895</v>
      </c>
      <c r="M19" s="119">
        <f>+Actuals!J449</f>
        <v>61557.2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1966219.69</v>
      </c>
      <c r="F20" s="60">
        <f>'TIE-OUT'!V20+RECLASS!T20</f>
        <v>0</v>
      </c>
      <c r="G20" s="38">
        <f>'TIE-OUT'!W20+RECLASS!U20</f>
        <v>1987338.19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1">
        <v>-21118.5</v>
      </c>
      <c r="L20" s="118">
        <f>+Actuals!I450</f>
        <v>0</v>
      </c>
      <c r="M20" s="119"/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'TIE-OUT'!V21+RECLASS!T21</f>
        <v>0</v>
      </c>
      <c r="G21" s="38">
        <f>'TIE-OUT'!W21+RECLASS!U21</f>
        <v>0</v>
      </c>
      <c r="H21" s="118">
        <f>+Actuals!E451</f>
        <v>-8188173</v>
      </c>
      <c r="I21" s="119">
        <f>+Actuals!F451</f>
        <v>-21176878</v>
      </c>
      <c r="J21" s="118">
        <f>+Actuals!G451</f>
        <v>8188173</v>
      </c>
      <c r="K21" s="119">
        <f>+Actuals!H451</f>
        <v>21176878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10283</v>
      </c>
      <c r="E23" s="38">
        <f t="shared" si="3"/>
        <v>25872.027999999998</v>
      </c>
      <c r="F23" s="81">
        <f>'TIE-OUT'!V23+RECLASS!T23</f>
        <v>0</v>
      </c>
      <c r="G23" s="82">
        <f>'TIE-OUT'!W23+RECLASS!U23</f>
        <v>0</v>
      </c>
      <c r="H23" s="118">
        <f>+Actuals!E453</f>
        <v>10270</v>
      </c>
      <c r="I23" s="119">
        <f>+Actuals!F453</f>
        <v>25839.32</v>
      </c>
      <c r="J23" s="118">
        <f>+Actuals!G453</f>
        <v>108</v>
      </c>
      <c r="K23" s="119">
        <f>+Actuals!H453</f>
        <v>271.72800000000001</v>
      </c>
      <c r="L23" s="118">
        <f>+Actuals!I453</f>
        <v>-95</v>
      </c>
      <c r="M23" s="119">
        <f>+Actuals!J453</f>
        <v>-239.02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-3727315</v>
      </c>
      <c r="E24" s="39">
        <f t="shared" si="4"/>
        <v>-7370930.5520000001</v>
      </c>
      <c r="F24" s="61">
        <f t="shared" si="4"/>
        <v>0</v>
      </c>
      <c r="G24" s="39">
        <f t="shared" si="4"/>
        <v>1987338.19</v>
      </c>
      <c r="H24" s="61">
        <f t="shared" si="4"/>
        <v>-11605994</v>
      </c>
      <c r="I24" s="39">
        <f t="shared" si="4"/>
        <v>-29749874.859999999</v>
      </c>
      <c r="J24" s="61">
        <f t="shared" ref="J24:AO24" si="5">SUM(J19:J23)</f>
        <v>7851879</v>
      </c>
      <c r="K24" s="39">
        <f t="shared" si="5"/>
        <v>20330287.938000001</v>
      </c>
      <c r="L24" s="61">
        <f>SUM(L19:L23)</f>
        <v>26800</v>
      </c>
      <c r="M24" s="39">
        <f>SUM(M19:M23)</f>
        <v>61318.18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7969701</v>
      </c>
      <c r="E27" s="38">
        <f>SUM(G27,I27,K27,M27,O27,Q27,S27,U27,W27,Y27,AA27,AC27,AE27)</f>
        <v>20748621.130000003</v>
      </c>
      <c r="F27" s="64">
        <f>'TIE-OUT'!V27+RECLASS!T27</f>
        <v>0</v>
      </c>
      <c r="G27" s="68">
        <f>'TIE-OUT'!W27+RECLASS!U27</f>
        <v>0</v>
      </c>
      <c r="H27" s="118">
        <f>+Actuals!E454</f>
        <v>6050342</v>
      </c>
      <c r="I27" s="119">
        <f>+Actuals!F454</f>
        <v>15656095.050000001</v>
      </c>
      <c r="J27" s="118">
        <f>+Actuals!G454</f>
        <v>1957346</v>
      </c>
      <c r="K27" s="119">
        <f>+Actuals!H454</f>
        <v>5190814.07</v>
      </c>
      <c r="L27" s="118">
        <f>+Actuals!I454</f>
        <v>-37987</v>
      </c>
      <c r="M27" s="119">
        <f>+Actuals!J454</f>
        <v>-98287.99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-19589394</v>
      </c>
      <c r="E28" s="38">
        <f>SUM(G28,I28,K28,M28,O28,Q28,S28,U28,W28,Y28,AA28,AC28,AE28)</f>
        <v>-51067549.180000007</v>
      </c>
      <c r="F28" s="81">
        <f>'TIE-OUT'!V28+RECLASS!T28</f>
        <v>0</v>
      </c>
      <c r="G28" s="82">
        <f>'TIE-OUT'!W28+RECLASS!U28</f>
        <v>0</v>
      </c>
      <c r="H28" s="118">
        <f>+Actuals!E455</f>
        <v>-10785468</v>
      </c>
      <c r="I28" s="119">
        <f>+Actuals!F455</f>
        <v>-28066625.530000001</v>
      </c>
      <c r="J28" s="118">
        <f>+Actuals!G455</f>
        <v>-8804204</v>
      </c>
      <c r="K28" s="119">
        <f>+Actuals!H455</f>
        <v>-23001646.120000001</v>
      </c>
      <c r="L28" s="118">
        <f>+Actuals!I455</f>
        <v>278</v>
      </c>
      <c r="M28" s="119">
        <f>+Actuals!J455</f>
        <v>722.47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-11619693</v>
      </c>
      <c r="E29" s="39">
        <f t="shared" si="6"/>
        <v>-30318928.050000004</v>
      </c>
      <c r="F29" s="61">
        <f t="shared" si="6"/>
        <v>0</v>
      </c>
      <c r="G29" s="39">
        <f t="shared" si="6"/>
        <v>0</v>
      </c>
      <c r="H29" s="61">
        <f t="shared" si="6"/>
        <v>-4735126</v>
      </c>
      <c r="I29" s="39">
        <f t="shared" si="6"/>
        <v>-12410530.48</v>
      </c>
      <c r="J29" s="61">
        <f t="shared" ref="J29:AO29" si="7">SUM(J27:J28)</f>
        <v>-6846858</v>
      </c>
      <c r="K29" s="39">
        <f t="shared" si="7"/>
        <v>-17810832.050000001</v>
      </c>
      <c r="L29" s="61">
        <f>SUM(L27:L28)</f>
        <v>-37709</v>
      </c>
      <c r="M29" s="39">
        <f>SUM(M27:M28)</f>
        <v>-97565.52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631</v>
      </c>
      <c r="E32" s="38">
        <f t="shared" si="8"/>
        <v>1587.5959999982406</v>
      </c>
      <c r="F32" s="64">
        <f>'TIE-OUT'!V32+RECLASS!T32</f>
        <v>0</v>
      </c>
      <c r="G32" s="68">
        <f>'TIE-OUT'!W32+RECLASS!U32</f>
        <v>0</v>
      </c>
      <c r="H32" s="118">
        <f>+Actuals!E456</f>
        <v>-10370046</v>
      </c>
      <c r="I32" s="119">
        <f>+Actuals!F456</f>
        <v>-26091035.736000001</v>
      </c>
      <c r="J32" s="118">
        <f>+Actuals!G456</f>
        <v>10358953</v>
      </c>
      <c r="K32" s="119">
        <f>+Actuals!H456</f>
        <v>26063125.748</v>
      </c>
      <c r="L32" s="118">
        <f>+Actuals!I456</f>
        <v>11724</v>
      </c>
      <c r="M32" s="119">
        <f>+Actuals!J456</f>
        <v>29497.583999999999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631</v>
      </c>
      <c r="E36" s="39">
        <f t="shared" si="9"/>
        <v>1587.5959999982406</v>
      </c>
      <c r="F36" s="61">
        <f t="shared" si="9"/>
        <v>0</v>
      </c>
      <c r="G36" s="39">
        <f t="shared" si="9"/>
        <v>0</v>
      </c>
      <c r="H36" s="61">
        <f t="shared" si="9"/>
        <v>-10370046</v>
      </c>
      <c r="I36" s="39">
        <f t="shared" si="9"/>
        <v>-26091035.736000001</v>
      </c>
      <c r="J36" s="61">
        <f t="shared" ref="J36:AO36" si="10">SUM(J32:J35)</f>
        <v>10358953</v>
      </c>
      <c r="K36" s="39">
        <f t="shared" si="10"/>
        <v>26063125.748</v>
      </c>
      <c r="L36" s="61">
        <f>SUM(L32:L35)</f>
        <v>11724</v>
      </c>
      <c r="M36" s="39">
        <f>SUM(M32:M35)</f>
        <v>29497.583999999999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-409770</v>
      </c>
      <c r="E39" s="38">
        <f t="shared" si="11"/>
        <v>-927925.31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-409770</v>
      </c>
      <c r="K39" s="119">
        <f>+Actuals!H460</f>
        <v>-927925.31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-409770</v>
      </c>
      <c r="E43" s="39">
        <f t="shared" si="14"/>
        <v>-927925.31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-409770</v>
      </c>
      <c r="K43" s="39">
        <f t="shared" si="15"/>
        <v>-927925.31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23627</v>
      </c>
      <c r="E49" s="38">
        <f>SUM(G49,I49,K49,M49,O49,Q49,S49,U49,W49,Y49,AA49,AC49,AE49)</f>
        <v>59445.532000000414</v>
      </c>
      <c r="F49" s="60">
        <f>'TIE-OUT'!V49+RECLASS!T49</f>
        <v>0</v>
      </c>
      <c r="G49" s="38">
        <f>'TIE-OUT'!W49+RECLASS!U49</f>
        <v>0</v>
      </c>
      <c r="H49" s="118">
        <f>+Actuals!E465</f>
        <v>2912453</v>
      </c>
      <c r="I49" s="119">
        <f>+Actuals!F465</f>
        <v>7327731.7479999997</v>
      </c>
      <c r="J49" s="118">
        <f>+Actuals!G465</f>
        <v>-2889075</v>
      </c>
      <c r="K49" s="119">
        <f>+Actuals!H465</f>
        <v>-7268912.6999999993</v>
      </c>
      <c r="L49" s="118">
        <f>+Actuals!I465</f>
        <v>249</v>
      </c>
      <c r="M49" s="119">
        <f>+Actuals!J465</f>
        <v>626.48400000000004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'TIE-OUT'!V51+RECLASS!T51</f>
        <v>0</v>
      </c>
      <c r="G51" s="38">
        <f>'TIE-OUT'!W51+RECLASS!U51</f>
        <v>0</v>
      </c>
      <c r="H51" s="118">
        <f>+Actuals!E466</f>
        <v>-10270</v>
      </c>
      <c r="I51" s="119">
        <f>+Actuals!F466</f>
        <v>-25839.32</v>
      </c>
      <c r="J51" s="118">
        <f>+Actuals!G466</f>
        <v>-108</v>
      </c>
      <c r="K51" s="119">
        <f>+Actuals!H466</f>
        <v>-271.72800000000001</v>
      </c>
      <c r="L51" s="118">
        <f>+Actuals!I466</f>
        <v>95</v>
      </c>
      <c r="M51" s="119">
        <f>+Actuals!J466</f>
        <v>239.02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-341626.02999999997</v>
      </c>
      <c r="F54" s="64">
        <f>'TIE-OUT'!V54+RECLASS!T54</f>
        <v>0</v>
      </c>
      <c r="G54" s="68">
        <f>'TIE-OUT'!W54+RECLASS!U54</f>
        <v>0</v>
      </c>
      <c r="H54" s="118">
        <f>+Actuals!E467</f>
        <v>-6041778</v>
      </c>
      <c r="I54" s="119">
        <f>+Actuals!F467</f>
        <v>-233128.45</v>
      </c>
      <c r="J54" s="118">
        <f>+Actuals!G467</f>
        <v>-10566612</v>
      </c>
      <c r="K54" s="119">
        <f>+Actuals!H467</f>
        <v>-113808.15</v>
      </c>
      <c r="L54" s="118">
        <f>+Actuals!I467</f>
        <v>-8628</v>
      </c>
      <c r="M54" s="119">
        <f>+Actuals!J467</f>
        <v>5310.57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-157745.18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-158446.35</v>
      </c>
      <c r="J55" s="118">
        <f>+Actuals!G468</f>
        <v>0</v>
      </c>
      <c r="K55" s="119">
        <f>+Actuals!H468</f>
        <v>768</v>
      </c>
      <c r="L55" s="118">
        <f>+Actuals!I468</f>
        <v>0</v>
      </c>
      <c r="M55" s="119">
        <f>+Actuals!J468</f>
        <v>-66.83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-16617018</v>
      </c>
      <c r="E56" s="39">
        <f t="shared" si="16"/>
        <v>-499371.20999999996</v>
      </c>
      <c r="F56" s="61">
        <f t="shared" si="16"/>
        <v>0</v>
      </c>
      <c r="G56" s="39">
        <f t="shared" si="16"/>
        <v>0</v>
      </c>
      <c r="H56" s="61">
        <f t="shared" si="16"/>
        <v>-6041778</v>
      </c>
      <c r="I56" s="39">
        <f t="shared" si="16"/>
        <v>-391574.80000000005</v>
      </c>
      <c r="J56" s="61">
        <f t="shared" ref="J56:AO56" si="17">SUM(J54:J55)</f>
        <v>-10566612</v>
      </c>
      <c r="K56" s="39">
        <f t="shared" si="17"/>
        <v>-113040.15</v>
      </c>
      <c r="L56" s="61">
        <f>SUM(L54:L55)</f>
        <v>-8628</v>
      </c>
      <c r="M56" s="39">
        <f>SUM(M54:M55)</f>
        <v>5243.74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-799.86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-799.86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-799.86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'TIE-OUT'!V70+RECLASS!T70</f>
        <v>0</v>
      </c>
      <c r="G70" s="68">
        <f>'TIE-OUT'!W70+RECLASS!U70</f>
        <v>-7489614.6200000001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'TIE-OUT'!V71+RECLASS!T71</f>
        <v>0</v>
      </c>
      <c r="G71" s="82">
        <f>'TIE-OUT'!W71+RECLASS!U71</f>
        <v>2639306.77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-4850307.8499999996</v>
      </c>
      <c r="F72" s="61">
        <f t="shared" si="22"/>
        <v>0</v>
      </c>
      <c r="G72" s="39">
        <f t="shared" si="22"/>
        <v>-4850307.8499999996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-107244.44</v>
      </c>
      <c r="F74" s="60">
        <f>'TIE-OUT'!V74+RECLASS!T74</f>
        <v>0</v>
      </c>
      <c r="G74" s="60">
        <f>'TIE-OUT'!W74+RECLASS!U74</f>
        <v>-107244.44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15000</v>
      </c>
      <c r="F75" s="60">
        <f>'TIE-OUT'!V75+RECLASS!T75</f>
        <v>0</v>
      </c>
      <c r="G75" s="60">
        <f>'TIE-OUT'!W75+RECLASS!U75</f>
        <v>15000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-25713.75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-4048.75</v>
      </c>
      <c r="J76" s="118">
        <f>+Actuals!G478</f>
        <v>0</v>
      </c>
      <c r="K76" s="119">
        <f>+Actuals!H478</f>
        <v>-21665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-2686134.7619999941</v>
      </c>
      <c r="F82" s="91">
        <f>F16+F24+F29+F36+F43+F45+F47+F49</f>
        <v>0</v>
      </c>
      <c r="G82" s="92">
        <f>SUM(G72:G81)+G16+G24+G29+G36+G43+G45+G47+G49+G51+G56+G61+G66</f>
        <v>-6579395.1500000004</v>
      </c>
      <c r="H82" s="91">
        <f>H16+H24+H29+H36+H43+H45+H47+H49</f>
        <v>0</v>
      </c>
      <c r="I82" s="92">
        <f>SUM(I72:I81)+I16+I24+I29+I36+I43+I45+I47+I49+I51+I56+I61+I66</f>
        <v>4064920.6519999998</v>
      </c>
      <c r="J82" s="91">
        <f>J16+J24+J29+J36+J43+J45+J47+J49</f>
        <v>0</v>
      </c>
      <c r="K82" s="140">
        <f>SUM(K72:K81)+K16+K24+K29+K36+K43+K45+K47+K49+K51+K56+K61+K66</f>
        <v>-757165.772</v>
      </c>
      <c r="L82" s="91">
        <f>L16+L24+L29+L36+L43+L45+L47+L49</f>
        <v>0</v>
      </c>
      <c r="M82" s="92">
        <f>SUM(M72:M81)+M16+M24+M29+M36+M43+M45+M47+M49+M51+M56+M61+M66</f>
        <v>585505.50800000015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-2686134.7619999941</v>
      </c>
      <c r="F91" s="155">
        <f t="shared" si="29"/>
        <v>0</v>
      </c>
      <c r="G91" s="155">
        <f t="shared" si="29"/>
        <v>-6579395.1500000004</v>
      </c>
      <c r="H91" s="155">
        <f t="shared" si="29"/>
        <v>0</v>
      </c>
      <c r="I91" s="155">
        <f t="shared" si="29"/>
        <v>4064920.6519999998</v>
      </c>
      <c r="J91" s="155">
        <f t="shared" si="29"/>
        <v>0</v>
      </c>
      <c r="K91" s="155">
        <f t="shared" si="29"/>
        <v>-757165.772</v>
      </c>
      <c r="L91" s="155">
        <f t="shared" si="29"/>
        <v>0</v>
      </c>
      <c r="M91" s="155">
        <f t="shared" si="29"/>
        <v>585505.50800000015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G58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129677</v>
      </c>
      <c r="E11" s="38">
        <f>SUM(G11,I11,K11,M11,O11,Q11,S11,U11,W11,Y11,AA11,AC11,AE11)</f>
        <v>337289.88</v>
      </c>
      <c r="F11" s="60">
        <f>'TIE-OUT'!T11+RECLASS!R11</f>
        <v>0</v>
      </c>
      <c r="G11" s="38">
        <f>'TIE-OUT'!U11+RECLASS!S11</f>
        <v>0</v>
      </c>
      <c r="H11" s="118">
        <f>+Actuals!E4</f>
        <v>129167</v>
      </c>
      <c r="I11" s="119">
        <f>+Actuals!F4</f>
        <v>335963.37</v>
      </c>
      <c r="J11" s="118">
        <f>+Actuals!G4</f>
        <v>510</v>
      </c>
      <c r="K11" s="119">
        <f>+Actuals!H4</f>
        <v>1326.51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-3497.4</v>
      </c>
      <c r="F12" s="60">
        <f>'TIE-OUT'!T12+RECLASS!R12</f>
        <v>0</v>
      </c>
      <c r="G12" s="38">
        <f>'TIE-OUT'!U12+RECLASS!S12</f>
        <v>-3497.4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129677</v>
      </c>
      <c r="E16" s="39">
        <f t="shared" si="1"/>
        <v>333792.48</v>
      </c>
      <c r="F16" s="61">
        <f t="shared" si="1"/>
        <v>0</v>
      </c>
      <c r="G16" s="39">
        <f t="shared" si="1"/>
        <v>-3497.4</v>
      </c>
      <c r="H16" s="61">
        <f t="shared" si="1"/>
        <v>129167</v>
      </c>
      <c r="I16" s="39">
        <f t="shared" si="1"/>
        <v>335963.37</v>
      </c>
      <c r="J16" s="61">
        <f t="shared" si="1"/>
        <v>510</v>
      </c>
      <c r="K16" s="39">
        <f t="shared" si="1"/>
        <v>1326.51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-12259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+Actuals!F9-12259</f>
        <v>-12259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-12259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-12259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-129677</v>
      </c>
      <c r="E28" s="38">
        <f>SUM(G28,I28,K28,M28,O28,Q28,S28,U28,W28,Y28,AA28,AC28,AE28)</f>
        <v>-334566.65999999997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-129167</v>
      </c>
      <c r="I28" s="119">
        <f>+Actuals!F15</f>
        <v>-333250.86</v>
      </c>
      <c r="J28" s="118">
        <f>+Actuals!G15</f>
        <v>-510</v>
      </c>
      <c r="K28" s="119">
        <f>+Actuals!H15</f>
        <v>-1315.8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-129677</v>
      </c>
      <c r="E29" s="39">
        <f t="shared" si="4"/>
        <v>-334566.65999999997</v>
      </c>
      <c r="F29" s="61">
        <f t="shared" si="4"/>
        <v>0</v>
      </c>
      <c r="G29" s="39">
        <f t="shared" si="4"/>
        <v>0</v>
      </c>
      <c r="H29" s="61">
        <f t="shared" si="4"/>
        <v>-129167</v>
      </c>
      <c r="I29" s="39">
        <f t="shared" si="4"/>
        <v>-333250.86</v>
      </c>
      <c r="J29" s="61">
        <f t="shared" si="4"/>
        <v>-510</v>
      </c>
      <c r="K29" s="39">
        <f t="shared" si="4"/>
        <v>-1315.8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96843.74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83810.560000000012</v>
      </c>
      <c r="F82" s="91">
        <f>F16+F24+F29+F36+F43+F45+F47+F49</f>
        <v>0</v>
      </c>
      <c r="G82" s="92">
        <f>SUM(G72:G81)+G16+G24+G29+G36+G43+G45+G47+G49+G51+G56+G61+G66</f>
        <v>-3497.4</v>
      </c>
      <c r="H82" s="91">
        <f>H16+H24+H29+H36+H43+H45+H47+H49</f>
        <v>0</v>
      </c>
      <c r="I82" s="92">
        <f>SUM(I72:I81)+I16+I24+I29+I36+I43+I45+I47+I49+I51+I56+I61+I66</f>
        <v>-9546.4899999999907</v>
      </c>
      <c r="J82" s="91">
        <f>J16+J24+J29+J36+J43+J45+J47+J49</f>
        <v>0</v>
      </c>
      <c r="K82" s="110">
        <f>SUM(K72:K81)+K16+K24+K29+K36+K43+K45+K47+K49+K51+K56+K61+K66</f>
        <v>10.710000000000036</v>
      </c>
      <c r="L82" s="91">
        <f>L16+L24+L29+L36+L43+L45+L47+L49</f>
        <v>0</v>
      </c>
      <c r="M82" s="92">
        <f>SUM(M72:M81)+M16+M24+M29+M36+M43+M45+M47+M49+M51+M56+M61+M66</f>
        <v>96843.74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3" max="43" width="10.3320312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36990197</v>
      </c>
      <c r="E11" s="38">
        <f>SUM(G11,I11,K11,M11,O11,Q11,S11,U11,W11,Y11,AA11,AC11,AE11)</f>
        <v>93494101</v>
      </c>
      <c r="F11" s="60">
        <f>'TIE-OUT'!X11+RECLASS!V11</f>
        <v>0</v>
      </c>
      <c r="G11" s="38">
        <f>'TIE-OUT'!Y11+RECLASS!W11</f>
        <v>0</v>
      </c>
      <c r="H11" s="118">
        <v>32111201</v>
      </c>
      <c r="I11" s="118">
        <v>83194408</v>
      </c>
      <c r="J11" s="118">
        <v>4951112</v>
      </c>
      <c r="K11" s="119">
        <v>10373194</v>
      </c>
      <c r="L11" s="118">
        <v>-72116</v>
      </c>
      <c r="M11" s="119">
        <v>-73501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-2127969.5499999998</v>
      </c>
      <c r="F12" s="60">
        <f>'TIE-OUT'!X12+RECLASS!V12</f>
        <v>0</v>
      </c>
      <c r="G12" s="38">
        <f>'TIE-OUT'!Y12+RECLASS!W12</f>
        <v>-102899.55000000005</v>
      </c>
      <c r="H12" s="118">
        <v>0</v>
      </c>
      <c r="I12" s="118">
        <v>0</v>
      </c>
      <c r="J12" s="118">
        <v>0</v>
      </c>
      <c r="K12" s="211">
        <v>-2025070</v>
      </c>
      <c r="L12" s="118"/>
      <c r="M12" s="139"/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/>
      <c r="M13" s="119"/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36990197</v>
      </c>
      <c r="E16" s="39">
        <f t="shared" si="1"/>
        <v>91486131.450000003</v>
      </c>
      <c r="F16" s="61">
        <f t="shared" si="1"/>
        <v>0</v>
      </c>
      <c r="G16" s="39">
        <f t="shared" si="1"/>
        <v>17100.449999999953</v>
      </c>
      <c r="H16" s="61">
        <f t="shared" si="1"/>
        <v>32111201</v>
      </c>
      <c r="I16" s="61">
        <f t="shared" si="1"/>
        <v>83194408</v>
      </c>
      <c r="J16" s="61">
        <f t="shared" si="1"/>
        <v>4951112</v>
      </c>
      <c r="K16" s="39">
        <f t="shared" si="1"/>
        <v>8348124</v>
      </c>
      <c r="L16" s="61">
        <f>SUM(L11:L15)</f>
        <v>-72116</v>
      </c>
      <c r="M16" s="39">
        <f>SUM(M11:M15)</f>
        <v>-73501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-47962174</v>
      </c>
      <c r="E19" s="38">
        <f t="shared" si="2"/>
        <v>-118296396</v>
      </c>
      <c r="F19" s="64">
        <f>'TIE-OUT'!X19+RECLASS!V19</f>
        <v>0</v>
      </c>
      <c r="G19" s="68">
        <f>'TIE-OUT'!Y19+RECLASS!W19</f>
        <v>-236103</v>
      </c>
      <c r="H19" s="118">
        <v>-48723985</v>
      </c>
      <c r="I19" s="118">
        <v>-121873627</v>
      </c>
      <c r="J19" s="118">
        <v>416555</v>
      </c>
      <c r="K19" s="119">
        <v>2941236</v>
      </c>
      <c r="L19" s="118">
        <v>345256</v>
      </c>
      <c r="M19" s="119">
        <v>872098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-1531952</v>
      </c>
      <c r="F20" s="60">
        <f>'TIE-OUT'!X20+RECLASS!V20</f>
        <v>0</v>
      </c>
      <c r="G20" s="38">
        <f>'TIE-OUT'!Y20+RECLASS!W20</f>
        <v>-1507592</v>
      </c>
      <c r="H20" s="118">
        <v>0</v>
      </c>
      <c r="I20" s="118">
        <v>0</v>
      </c>
      <c r="J20" s="118">
        <v>0</v>
      </c>
      <c r="K20" s="211">
        <v>-24360</v>
      </c>
      <c r="L20" s="118"/>
      <c r="M20" s="119"/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-47962174</v>
      </c>
      <c r="E24" s="39">
        <f t="shared" si="3"/>
        <v>-119828348</v>
      </c>
      <c r="F24" s="61">
        <f t="shared" si="3"/>
        <v>0</v>
      </c>
      <c r="G24" s="39">
        <f t="shared" si="3"/>
        <v>-1743695</v>
      </c>
      <c r="H24" s="61">
        <f t="shared" si="3"/>
        <v>-48723985</v>
      </c>
      <c r="I24" s="61">
        <f t="shared" si="3"/>
        <v>-121873627</v>
      </c>
      <c r="J24" s="61">
        <f t="shared" si="3"/>
        <v>416555</v>
      </c>
      <c r="K24" s="39">
        <f t="shared" si="3"/>
        <v>2916876</v>
      </c>
      <c r="L24" s="61">
        <f>SUM(L19:L23)</f>
        <v>345256</v>
      </c>
      <c r="M24" s="39">
        <f>SUM(M19:M23)</f>
        <v>872098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22739257</v>
      </c>
      <c r="E27" s="38">
        <f>SUM(G27,I27,K27,M27,O27,Q27,S27,U27,W27,Y27,AA27,AC27,AE27)</f>
        <v>59230432</v>
      </c>
      <c r="F27" s="64">
        <f>'TIE-OUT'!X27+RECLASS!V27</f>
        <v>0</v>
      </c>
      <c r="G27" s="68">
        <f>'TIE-OUT'!Y27+RECLASS!W27</f>
        <v>0</v>
      </c>
      <c r="H27" s="118">
        <f>12891512+135141</f>
        <v>13026653</v>
      </c>
      <c r="I27" s="118">
        <f>33576261+346767</f>
        <v>33923028</v>
      </c>
      <c r="J27" s="118">
        <f>9718346-5464</f>
        <v>9712882</v>
      </c>
      <c r="K27" s="119">
        <f>25320326-12200</f>
        <v>25308126</v>
      </c>
      <c r="L27" s="118">
        <v>-278</v>
      </c>
      <c r="M27" s="119">
        <v>-722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-8996310</v>
      </c>
      <c r="E28" s="38">
        <f>SUM(G28,I28,K28,M28,O28,Q28,S28,U28,W28,Y28,AA28,AC28,AE28)</f>
        <v>-23278869</v>
      </c>
      <c r="F28" s="81">
        <f>'TIE-OUT'!X28+RECLASS!V28</f>
        <v>0</v>
      </c>
      <c r="G28" s="82">
        <f>'TIE-OUT'!Y28+RECLASS!W28</f>
        <v>0</v>
      </c>
      <c r="H28" s="118">
        <v>-7237071</v>
      </c>
      <c r="I28" s="118">
        <v>-18185720</v>
      </c>
      <c r="J28" s="118">
        <v>-1743137</v>
      </c>
      <c r="K28" s="119">
        <v>-5049694</v>
      </c>
      <c r="L28" s="118">
        <v>-16102</v>
      </c>
      <c r="M28" s="119">
        <v>-43455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13742947</v>
      </c>
      <c r="E29" s="39">
        <f t="shared" si="4"/>
        <v>35951563</v>
      </c>
      <c r="F29" s="61">
        <f t="shared" si="4"/>
        <v>0</v>
      </c>
      <c r="G29" s="39">
        <f t="shared" si="4"/>
        <v>0</v>
      </c>
      <c r="H29" s="61">
        <f t="shared" si="4"/>
        <v>5789582</v>
      </c>
      <c r="I29" s="61">
        <f t="shared" si="4"/>
        <v>15737308</v>
      </c>
      <c r="J29" s="61">
        <f t="shared" si="4"/>
        <v>7969745</v>
      </c>
      <c r="K29" s="39">
        <f t="shared" si="4"/>
        <v>20258432</v>
      </c>
      <c r="L29" s="61">
        <f>SUM(L27:L28)</f>
        <v>-16380</v>
      </c>
      <c r="M29" s="39">
        <f>SUM(M27:M28)</f>
        <v>-44177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-167237</v>
      </c>
      <c r="E32" s="38">
        <f t="shared" si="5"/>
        <v>-420768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-156111</v>
      </c>
      <c r="K32" s="119">
        <v>-392775</v>
      </c>
      <c r="L32" s="118">
        <v>-11126</v>
      </c>
      <c r="M32" s="119">
        <v>-27993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-167237</v>
      </c>
      <c r="E36" s="39">
        <f t="shared" si="6"/>
        <v>-420768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-156111</v>
      </c>
      <c r="K36" s="39">
        <f t="shared" si="6"/>
        <v>-392775</v>
      </c>
      <c r="L36" s="61">
        <f>SUM(L32:L35)</f>
        <v>-11126</v>
      </c>
      <c r="M36" s="39">
        <f>SUM(M32:M35)</f>
        <v>-27993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-95808</v>
      </c>
      <c r="F39" s="64">
        <f>'TIE-OUT'!X39+RECLASS!V39</f>
        <v>0</v>
      </c>
      <c r="G39" s="68">
        <f>'TIE-OUT'!Y39+RECLASS!W39</f>
        <v>-95808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-2574630</v>
      </c>
      <c r="K40" s="119">
        <v>-5818535</v>
      </c>
      <c r="L40" s="118">
        <v>870</v>
      </c>
      <c r="M40" s="119">
        <v>3819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'TIE-OUT'!X41+RECLASS!V41</f>
        <v>0</v>
      </c>
      <c r="G41" s="82">
        <f>'TIE-OUT'!Y41+RECLASS!W41</f>
        <v>-447550</v>
      </c>
      <c r="H41" s="118">
        <v>0</v>
      </c>
      <c r="I41" s="118">
        <v>0</v>
      </c>
      <c r="J41" s="118">
        <v>0</v>
      </c>
      <c r="K41" s="211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61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-2573760</v>
      </c>
      <c r="E43" s="39">
        <f t="shared" si="9"/>
        <v>-6358074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61">
        <f t="shared" si="9"/>
        <v>0</v>
      </c>
      <c r="J43" s="61">
        <f t="shared" si="9"/>
        <v>-2574630</v>
      </c>
      <c r="K43" s="39">
        <f t="shared" si="9"/>
        <v>-5818535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-29973</v>
      </c>
      <c r="E49" s="38">
        <f>SUM(G49,I49,K49,M49,O49,Q49,S49,U49,W49,Y49,AA49,AC49,AE49)</f>
        <v>-75412</v>
      </c>
      <c r="F49" s="60">
        <f>'TIE-OUT'!X49+RECLASS!V49</f>
        <v>0</v>
      </c>
      <c r="G49" s="38">
        <f>'TIE-OUT'!Y49+RECLASS!W49</f>
        <v>0</v>
      </c>
      <c r="H49" s="118">
        <v>10823202</v>
      </c>
      <c r="I49" s="118">
        <v>27231176</v>
      </c>
      <c r="J49" s="118">
        <v>-10606671</v>
      </c>
      <c r="K49" s="119">
        <v>-26686384</v>
      </c>
      <c r="L49" s="118">
        <v>-246504</v>
      </c>
      <c r="M49" s="119">
        <v>-620204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-1024412</v>
      </c>
      <c r="F54" s="64">
        <f>'TIE-OUT'!X54+RECLASS!V54</f>
        <v>0</v>
      </c>
      <c r="G54" s="68">
        <f>'TIE-OUT'!Y54+RECLASS!W54</f>
        <v>-1024412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143300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-881112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'TIE-OUT'!X59+RECLASS!V59</f>
        <v>0</v>
      </c>
      <c r="G59" s="68">
        <f>'TIE-OUT'!Y59+RECLASS!W59</f>
        <v>-50000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39">
        <f>-177000-68958</f>
        <v>-245958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50000</v>
      </c>
      <c r="J65" s="118">
        <v>0</v>
      </c>
      <c r="K65" s="119">
        <v>0</v>
      </c>
      <c r="L65" s="118">
        <v>0</v>
      </c>
      <c r="M65" s="119"/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4804061.22</v>
      </c>
      <c r="F74" s="60">
        <f>'TIE-OUT'!X74+RECLASS!V74</f>
        <v>0</v>
      </c>
      <c r="G74" s="60">
        <f>'TIE-OUT'!Y74+RECLASS!W74</f>
        <v>42769.72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139">
        <f>4761944-652.5</f>
        <v>4761291.5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873548</v>
      </c>
      <c r="H80" s="118">
        <v>0</v>
      </c>
      <c r="I80" s="118">
        <v>0</v>
      </c>
      <c r="J80" s="118">
        <v>0</v>
      </c>
      <c r="K80" s="211">
        <v>-873548</v>
      </c>
      <c r="L80" s="118">
        <v>0</v>
      </c>
      <c r="M80" s="119"/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4333783.6700000018</v>
      </c>
      <c r="F82" s="91">
        <f>F16+F24+F29+F36+F43+F45+F47+F49</f>
        <v>0</v>
      </c>
      <c r="G82" s="92">
        <f>SUM(G72:G81)+G16+G24+G29+G36+G43+G45+G47+G49+G51+G56+G61+G66</f>
        <v>-2383046.83</v>
      </c>
      <c r="H82" s="91">
        <f>H16+H24+H29+H36+H43+H45+H47+H49</f>
        <v>0</v>
      </c>
      <c r="I82" s="92">
        <f>SUM(I72:I81)+I16+I24+I29+I36+I43+I45+I47+I49+I51+I56+I61+I66</f>
        <v>4339265</v>
      </c>
      <c r="J82" s="91">
        <f>J16+J24+J29+J36+J43+J45+J47+J49</f>
        <v>0</v>
      </c>
      <c r="K82" s="110">
        <f>SUM(K72:K81)+K16+K24+K29+K36+K43+K45+K47+K49+K51+K56+K61+K66</f>
        <v>-2247810</v>
      </c>
      <c r="L82" s="91">
        <f>L16+L24+L29+L36+L43+L45+L47+L49</f>
        <v>0</v>
      </c>
      <c r="M82" s="92">
        <f>SUM(M72:M81)+M16+M24+M29+M36+M43+M45+M47+M49+M51+M56+M61+M66</f>
        <v>4625375.5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170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1995000</v>
      </c>
      <c r="F86" s="145">
        <f>'TIE-OUT'!X86+RECLASS!V86</f>
        <v>0</v>
      </c>
      <c r="G86" s="146">
        <f>'TIE-OUT'!Y86+RECLASS!W86</f>
        <v>2301485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-306485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'TIE-OUT'!X88+RECLASS!V88</f>
        <v>0</v>
      </c>
      <c r="G88" s="147">
        <f>'TIE-OUT'!Y88+RECLASS!W88</f>
        <v>-1925000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70000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-306485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4403783.6700000018</v>
      </c>
      <c r="F91" s="155">
        <f t="shared" si="17"/>
        <v>0</v>
      </c>
      <c r="G91" s="155">
        <f t="shared" si="17"/>
        <v>-2006561.83</v>
      </c>
      <c r="H91" s="155">
        <f t="shared" si="17"/>
        <v>0</v>
      </c>
      <c r="I91" s="155">
        <f t="shared" si="17"/>
        <v>4339265</v>
      </c>
      <c r="J91" s="155">
        <f t="shared" si="17"/>
        <v>0</v>
      </c>
      <c r="K91" s="155">
        <f t="shared" si="17"/>
        <v>-2247810</v>
      </c>
      <c r="L91" s="155">
        <f>+L82+L89</f>
        <v>0</v>
      </c>
      <c r="M91" s="155">
        <f>+M82+M89</f>
        <v>4318890.5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51898846</v>
      </c>
      <c r="E11" s="38">
        <f>SUM(G11,I11,K11,M11,O11,Q11,S11,U11,W11,Y11,AA11,AC11,AE11)</f>
        <v>134354754.09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46910160</v>
      </c>
      <c r="I11" s="38">
        <f>'TX-EGM-GL'!I11+'TX-HPLR-GL '!I11+'TX-HPLC-GL'!I11</f>
        <v>123346382.22</v>
      </c>
      <c r="J11" s="60">
        <f>'TX-EGM-GL'!J11+'TX-HPLR-GL '!J11+'TX-HPLC-GL'!J11</f>
        <v>5061866</v>
      </c>
      <c r="K11" s="38">
        <f>'TX-EGM-GL'!K11+'TX-HPLR-GL '!K11+'TX-HPLC-GL'!K11</f>
        <v>10495726.85</v>
      </c>
      <c r="L11" s="60">
        <f>'TX-EGM-GL'!L11+'TX-HPLR-GL '!L11+'TX-HPLC-GL'!L11</f>
        <v>-73180</v>
      </c>
      <c r="M11" s="38">
        <f>'TX-EGM-GL'!M11+'TX-HPLR-GL '!M11+'TX-HPLC-GL'!M11</f>
        <v>512645.02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-5755648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-3730578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-2025070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9128921</v>
      </c>
      <c r="I13" s="38">
        <f>'TX-EGM-GL'!I13+'TX-HPLR-GL '!I13+'TX-HPLC-GL'!I13</f>
        <v>23569012</v>
      </c>
      <c r="J13" s="60">
        <f>'TX-EGM-GL'!J13+'TX-HPLR-GL '!J13+'TX-HPLC-GL'!J13</f>
        <v>-8175373</v>
      </c>
      <c r="K13" s="38">
        <f>'TX-EGM-GL'!K13+'TX-HPLR-GL '!K13+'TX-HPLC-GL'!K13</f>
        <v>-21144119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2160850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2025070</v>
      </c>
      <c r="J15" s="60">
        <f>'TX-EGM-GL'!J15+'TX-HPLR-GL '!J15+'TX-HPLC-GL'!J15</f>
        <v>0</v>
      </c>
      <c r="K15" s="38">
        <f>'TX-EGM-GL'!K15+'TX-HPLR-GL '!K15+'TX-HPLC-GL'!K15</f>
        <v>15780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52852394</v>
      </c>
      <c r="E16" s="39">
        <f t="shared" si="1"/>
        <v>133184849.09</v>
      </c>
      <c r="F16" s="61">
        <f t="shared" si="1"/>
        <v>0</v>
      </c>
      <c r="G16" s="39">
        <f t="shared" si="1"/>
        <v>-3610578</v>
      </c>
      <c r="H16" s="61">
        <f t="shared" si="1"/>
        <v>56039081</v>
      </c>
      <c r="I16" s="39">
        <f t="shared" si="1"/>
        <v>148940464.22</v>
      </c>
      <c r="J16" s="61">
        <f t="shared" si="1"/>
        <v>-3113507</v>
      </c>
      <c r="K16" s="39">
        <f t="shared" si="1"/>
        <v>-12657682.15</v>
      </c>
      <c r="L16" s="61">
        <f>SUM(L11:L15)</f>
        <v>-73180</v>
      </c>
      <c r="M16" s="39">
        <f>SUM(M11:M15)</f>
        <v>512645.02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-51699772</v>
      </c>
      <c r="E19" s="38">
        <f t="shared" si="2"/>
        <v>-127671677.27000001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-236103</v>
      </c>
      <c r="H19" s="60">
        <f>'TX-EGM-GL'!H19+'TX-HPLR-GL '!H19+'TX-HPLC-GL'!H19</f>
        <v>-52152076</v>
      </c>
      <c r="I19" s="38">
        <f>'TX-EGM-GL'!I19+'TX-HPLR-GL '!I19+'TX-HPLC-GL'!I19</f>
        <v>-130484722.18000001</v>
      </c>
      <c r="J19" s="60">
        <f>'TX-EGM-GL'!J19+'TX-HPLR-GL '!J19+'TX-HPLC-GL'!J19</f>
        <v>80153</v>
      </c>
      <c r="K19" s="38">
        <f>'TX-EGM-GL'!K19+'TX-HPLR-GL '!K19+'TX-HPLC-GL'!K19</f>
        <v>2115492.71</v>
      </c>
      <c r="L19" s="60">
        <f>'TX-EGM-GL'!L19+'TX-HPLR-GL '!L19+'TX-HPLC-GL'!L19</f>
        <v>372151</v>
      </c>
      <c r="M19" s="38">
        <f>'TX-EGM-GL'!M19+'TX-HPLR-GL '!M19+'TX-HPLC-GL'!M19</f>
        <v>933655.2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434267.68999999994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479746.18999999994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-45478.5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-8188173</v>
      </c>
      <c r="I21" s="38">
        <f>'TX-EGM-GL'!I21+'TX-HPLR-GL '!I21+'TX-HPLC-GL'!I21</f>
        <v>-21176878</v>
      </c>
      <c r="J21" s="60">
        <f>'TX-EGM-GL'!J21+'TX-HPLR-GL '!J21+'TX-HPLC-GL'!J21</f>
        <v>8188173</v>
      </c>
      <c r="K21" s="38">
        <f>'TX-EGM-GL'!K21+'TX-HPLR-GL '!K21+'TX-HPLC-GL'!K21</f>
        <v>21176878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10283</v>
      </c>
      <c r="E23" s="38">
        <f t="shared" si="2"/>
        <v>25872.027999999998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10270</v>
      </c>
      <c r="I23" s="38">
        <f>'TX-EGM-GL'!I23+'TX-HPLR-GL '!I23+'TX-HPLC-GL'!I23</f>
        <v>25839.32</v>
      </c>
      <c r="J23" s="60">
        <f>'TX-EGM-GL'!J23+'TX-HPLR-GL '!J23+'TX-HPLC-GL'!J23</f>
        <v>108</v>
      </c>
      <c r="K23" s="38">
        <f>'TX-EGM-GL'!K23+'TX-HPLR-GL '!K23+'TX-HPLC-GL'!K23</f>
        <v>271.72800000000001</v>
      </c>
      <c r="L23" s="60">
        <f>'TX-EGM-GL'!L23+'TX-HPLR-GL '!L23+'TX-HPLC-GL'!L23</f>
        <v>-95</v>
      </c>
      <c r="M23" s="38">
        <f>'TX-EGM-GL'!M23+'TX-HPLR-GL '!M23+'TX-HPLC-GL'!M23</f>
        <v>-239.02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-51689489</v>
      </c>
      <c r="E24" s="39">
        <f t="shared" si="3"/>
        <v>-127211537.55200002</v>
      </c>
      <c r="F24" s="61">
        <f t="shared" si="3"/>
        <v>0</v>
      </c>
      <c r="G24" s="39">
        <f t="shared" si="3"/>
        <v>243643.18999999994</v>
      </c>
      <c r="H24" s="61">
        <f t="shared" si="3"/>
        <v>-60329979</v>
      </c>
      <c r="I24" s="39">
        <f t="shared" si="3"/>
        <v>-151635760.86000001</v>
      </c>
      <c r="J24" s="61">
        <f t="shared" si="3"/>
        <v>8268434</v>
      </c>
      <c r="K24" s="39">
        <f t="shared" si="3"/>
        <v>23247163.938000001</v>
      </c>
      <c r="L24" s="61">
        <f>SUM(L19:L23)</f>
        <v>372056</v>
      </c>
      <c r="M24" s="39">
        <f>SUM(M19:M23)</f>
        <v>933416.17999999993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30708958</v>
      </c>
      <c r="E27" s="38">
        <f>SUM(G27,I27,K27,M27,O27,Q27,S27,U27,W27,Y27,AA27,AC27,AE27)</f>
        <v>79979053.13000001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19076995</v>
      </c>
      <c r="I27" s="38">
        <f>'TX-EGM-GL'!I27+'TX-HPLR-GL '!I27+'TX-HPLC-GL'!I27</f>
        <v>49579123.049999997</v>
      </c>
      <c r="J27" s="60">
        <f>'TX-EGM-GL'!J27+'TX-HPLR-GL '!J27+'TX-HPLC-GL'!J27</f>
        <v>11670228</v>
      </c>
      <c r="K27" s="38">
        <f>'TX-EGM-GL'!K27+'TX-HPLR-GL '!K27+'TX-HPLC-GL'!K27</f>
        <v>30498940.07</v>
      </c>
      <c r="L27" s="60">
        <f>'TX-EGM-GL'!L27+'TX-HPLR-GL '!L27+'TX-HPLC-GL'!L27</f>
        <v>-38265</v>
      </c>
      <c r="M27" s="38">
        <f>'TX-EGM-GL'!M27+'TX-HPLR-GL '!M27+'TX-HPLC-GL'!M27</f>
        <v>-99009.99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-28715381</v>
      </c>
      <c r="E28" s="38">
        <f>SUM(G28,I28,K28,M28,O28,Q28,S28,U28,W28,Y28,AA28,AC28,AE28)</f>
        <v>-74680984.840000004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-18151706</v>
      </c>
      <c r="I28" s="38">
        <f>'TX-EGM-GL'!I28+'TX-HPLR-GL '!I28+'TX-HPLC-GL'!I28</f>
        <v>-46585596.390000001</v>
      </c>
      <c r="J28" s="60">
        <f>'TX-EGM-GL'!J28+'TX-HPLR-GL '!J28+'TX-HPLC-GL'!J28</f>
        <v>-10547851</v>
      </c>
      <c r="K28" s="38">
        <f>'TX-EGM-GL'!K28+'TX-HPLR-GL '!K28+'TX-HPLC-GL'!K28</f>
        <v>-28052655.920000002</v>
      </c>
      <c r="L28" s="60">
        <f>'TX-EGM-GL'!L28+'TX-HPLR-GL '!L28+'TX-HPLC-GL'!L28</f>
        <v>-15824</v>
      </c>
      <c r="M28" s="38">
        <f>'TX-EGM-GL'!M28+'TX-HPLR-GL '!M28+'TX-HPLC-GL'!M28</f>
        <v>-42732.53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1993577</v>
      </c>
      <c r="E29" s="39">
        <f t="shared" si="4"/>
        <v>5298068.2900000066</v>
      </c>
      <c r="F29" s="61">
        <f t="shared" si="4"/>
        <v>0</v>
      </c>
      <c r="G29" s="39">
        <f t="shared" si="4"/>
        <v>0</v>
      </c>
      <c r="H29" s="61">
        <f t="shared" si="4"/>
        <v>925289</v>
      </c>
      <c r="I29" s="39">
        <f t="shared" si="4"/>
        <v>2993526.6599999964</v>
      </c>
      <c r="J29" s="61">
        <f t="shared" si="4"/>
        <v>1122377</v>
      </c>
      <c r="K29" s="39">
        <f t="shared" si="4"/>
        <v>2446284.1499999985</v>
      </c>
      <c r="L29" s="61">
        <f>SUM(L27:L28)</f>
        <v>-54089</v>
      </c>
      <c r="M29" s="39">
        <f>SUM(M27:M28)</f>
        <v>-141742.52000000002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-166606</v>
      </c>
      <c r="E32" s="38">
        <f t="shared" si="5"/>
        <v>-419180.40400000178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-10370046</v>
      </c>
      <c r="I32" s="38">
        <f>'TX-EGM-GL'!I32+'TX-HPLR-GL '!I32+'TX-HPLC-GL'!I32</f>
        <v>-26091035.736000001</v>
      </c>
      <c r="J32" s="60">
        <f>'TX-EGM-GL'!J32+'TX-HPLR-GL '!J32+'TX-HPLC-GL'!J32</f>
        <v>10202842</v>
      </c>
      <c r="K32" s="38">
        <f>'TX-EGM-GL'!K32+'TX-HPLR-GL '!K32+'TX-HPLC-GL'!K32</f>
        <v>25670350.748</v>
      </c>
      <c r="L32" s="60">
        <f>'TX-EGM-GL'!L32+'TX-HPLR-GL '!L32+'TX-HPLC-GL'!L32</f>
        <v>598</v>
      </c>
      <c r="M32" s="38">
        <f>'TX-EGM-GL'!M32+'TX-HPLR-GL '!M32+'TX-HPLC-GL'!M32</f>
        <v>1504.5839999999989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-166606</v>
      </c>
      <c r="E36" s="39">
        <f t="shared" si="6"/>
        <v>-419180.40400000178</v>
      </c>
      <c r="F36" s="61">
        <f t="shared" si="6"/>
        <v>0</v>
      </c>
      <c r="G36" s="39">
        <f t="shared" si="6"/>
        <v>0</v>
      </c>
      <c r="H36" s="61">
        <f t="shared" si="6"/>
        <v>-10370046</v>
      </c>
      <c r="I36" s="39">
        <f t="shared" si="6"/>
        <v>-26091035.736000001</v>
      </c>
      <c r="J36" s="61">
        <f t="shared" si="6"/>
        <v>10202842</v>
      </c>
      <c r="K36" s="39">
        <f t="shared" si="6"/>
        <v>25670350.748</v>
      </c>
      <c r="L36" s="61">
        <f>SUM(L32:L35)</f>
        <v>598</v>
      </c>
      <c r="M36" s="39">
        <f>SUM(M32:M35)</f>
        <v>1504.5839999999989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-409770</v>
      </c>
      <c r="E39" s="38">
        <f t="shared" si="7"/>
        <v>-1023733.31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-95808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-409770</v>
      </c>
      <c r="K39" s="38">
        <f>'TX-EGM-GL'!K39+'TX-HPLR-GL '!K39+'TX-HPLC-GL'!K39</f>
        <v>-927925.31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-2574630</v>
      </c>
      <c r="K40" s="38">
        <f>'TX-EGM-GL'!K40+'TX-HPLR-GL '!K40+'TX-HPLC-GL'!K40</f>
        <v>-5818535</v>
      </c>
      <c r="L40" s="60">
        <f>'TX-EGM-GL'!L40+'TX-HPLR-GL '!L40+'TX-HPLC-GL'!L40</f>
        <v>870</v>
      </c>
      <c r="M40" s="38">
        <f>'TX-EGM-GL'!M40+'TX-HPLR-GL '!M40+'TX-HPLC-GL'!M40</f>
        <v>3819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-447550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39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-2983530</v>
      </c>
      <c r="E43" s="39">
        <f t="shared" si="9"/>
        <v>-7285999.3100000005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39">
        <f t="shared" si="9"/>
        <v>0</v>
      </c>
      <c r="J43" s="61">
        <f t="shared" si="9"/>
        <v>-2984400</v>
      </c>
      <c r="K43" s="39">
        <f t="shared" si="9"/>
        <v>-6746460.3100000005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96843.74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-6346</v>
      </c>
      <c r="E49" s="38">
        <f>SUM(G49,I49,K49,M49,O49,Q49,S49,U49,W49,Y49,AA49,AC49,AE49)</f>
        <v>-15966.468000006978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13735655</v>
      </c>
      <c r="I49" s="38">
        <f>'TX-EGM-GL'!I49+'TX-HPLR-GL '!I49+'TX-HPLC-GL'!I49</f>
        <v>34558907.747999996</v>
      </c>
      <c r="J49" s="60">
        <f>'TX-EGM-GL'!J49+'TX-HPLR-GL '!J49+'TX-HPLC-GL'!J49</f>
        <v>-13495746</v>
      </c>
      <c r="K49" s="38">
        <f>'TX-EGM-GL'!K49+'TX-HPLR-GL '!K49+'TX-HPLC-GL'!K49</f>
        <v>-33955296.700000003</v>
      </c>
      <c r="L49" s="60">
        <f>'TX-EGM-GL'!L49+'TX-HPLR-GL '!L49+'TX-HPLC-GL'!L49</f>
        <v>-246255</v>
      </c>
      <c r="M49" s="38">
        <f>'TX-EGM-GL'!M49+'TX-HPLR-GL '!M49+'TX-HPLC-GL'!M49</f>
        <v>-619577.51599999995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-10270</v>
      </c>
      <c r="I51" s="38">
        <f>'TX-EGM-GL'!I51+'TX-HPLR-GL '!I51+'TX-HPLC-GL'!I51</f>
        <v>-25839.32</v>
      </c>
      <c r="J51" s="60">
        <f>'TX-EGM-GL'!J51+'TX-HPLR-GL '!J51+'TX-HPLC-GL'!J51</f>
        <v>-108</v>
      </c>
      <c r="K51" s="38">
        <f>'TX-EGM-GL'!K51+'TX-HPLR-GL '!K51+'TX-HPLC-GL'!K51</f>
        <v>-271.72800000000001</v>
      </c>
      <c r="L51" s="60">
        <f>'TX-EGM-GL'!L51+'TX-HPLR-GL '!L51+'TX-HPLC-GL'!L51</f>
        <v>95</v>
      </c>
      <c r="M51" s="38">
        <f>'TX-EGM-GL'!M51+'TX-HPLR-GL '!M51+'TX-HPLC-GL'!M51</f>
        <v>239.02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-1366038.0299999998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-1024412</v>
      </c>
      <c r="H54" s="60">
        <f>'TX-EGM-GL'!H54+'TX-HPLR-GL '!H54+'TX-HPLC-GL'!H54</f>
        <v>-6041778</v>
      </c>
      <c r="I54" s="38">
        <f>'TX-EGM-GL'!I54+'TX-HPLR-GL '!I54+'TX-HPLC-GL'!I54</f>
        <v>-233128.45</v>
      </c>
      <c r="J54" s="60">
        <f>'TX-EGM-GL'!J54+'TX-HPLR-GL '!J54+'TX-HPLC-GL'!J54</f>
        <v>-10566612</v>
      </c>
      <c r="K54" s="38">
        <f>'TX-EGM-GL'!K54+'TX-HPLR-GL '!K54+'TX-HPLC-GL'!K54</f>
        <v>-113808.15</v>
      </c>
      <c r="L54" s="60">
        <f>'TX-EGM-GL'!L54+'TX-HPLR-GL '!L54+'TX-HPLC-GL'!L54</f>
        <v>-8628</v>
      </c>
      <c r="M54" s="38">
        <f>'TX-EGM-GL'!M54+'TX-HPLR-GL '!M54+'TX-HPLC-GL'!M54</f>
        <v>5310.57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-14445.180000000006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143300</v>
      </c>
      <c r="H55" s="60">
        <f>'TX-EGM-GL'!H55+'TX-HPLR-GL '!H55+'TX-HPLC-GL'!H55</f>
        <v>0</v>
      </c>
      <c r="I55" s="38">
        <f>'TX-EGM-GL'!I55+'TX-HPLR-GL '!I55+'TX-HPLC-GL'!I55</f>
        <v>-158446.35</v>
      </c>
      <c r="J55" s="60">
        <f>'TX-EGM-GL'!J55+'TX-HPLR-GL '!J55+'TX-HPLC-GL'!J55</f>
        <v>0</v>
      </c>
      <c r="K55" s="38">
        <f>'TX-EGM-GL'!K55+'TX-HPLR-GL '!K55+'TX-HPLC-GL'!K55</f>
        <v>768</v>
      </c>
      <c r="L55" s="60">
        <f>'TX-EGM-GL'!L55+'TX-HPLR-GL '!L55+'TX-HPLC-GL'!L55</f>
        <v>0</v>
      </c>
      <c r="M55" s="38">
        <f>'TX-EGM-GL'!M55+'TX-HPLR-GL '!M55+'TX-HPLC-GL'!M55</f>
        <v>-66.83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-16617018</v>
      </c>
      <c r="E56" s="39">
        <f t="shared" si="10"/>
        <v>-1380483.2099999997</v>
      </c>
      <c r="F56" s="61">
        <f t="shared" si="10"/>
        <v>0</v>
      </c>
      <c r="G56" s="39">
        <f t="shared" si="10"/>
        <v>-881112</v>
      </c>
      <c r="H56" s="61">
        <f t="shared" si="10"/>
        <v>-6041778</v>
      </c>
      <c r="I56" s="39">
        <f t="shared" si="10"/>
        <v>-391574.80000000005</v>
      </c>
      <c r="J56" s="61">
        <f t="shared" si="10"/>
        <v>-10566612</v>
      </c>
      <c r="K56" s="39">
        <f t="shared" si="10"/>
        <v>-113040.15</v>
      </c>
      <c r="L56" s="61">
        <f>SUM(L54:L55)</f>
        <v>-8628</v>
      </c>
      <c r="M56" s="39">
        <f>SUM(M54:M55)</f>
        <v>5243.74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-50000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-245958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-799.86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50000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49200.14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-799.86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-7489614.6200000001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2639306.77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-4850307.8499999996</v>
      </c>
      <c r="F72" s="61">
        <f t="shared" si="13"/>
        <v>0</v>
      </c>
      <c r="G72" s="39">
        <f t="shared" si="13"/>
        <v>-4850307.8499999996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4696816.78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-64474.720000000001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4761291.5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15000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15000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-25713.75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-4048.75</v>
      </c>
      <c r="J76" s="60">
        <f>'TX-EGM-GL'!J76+'TX-HPLR-GL '!J76+'TX-HPLC-GL'!J76</f>
        <v>0</v>
      </c>
      <c r="K76" s="38">
        <f>'TX-EGM-GL'!K76+'TX-HPLR-GL '!K76+'TX-HPLC-GL'!K76</f>
        <v>-21665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873548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-873548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1731459.4679999934</v>
      </c>
      <c r="F82" s="91">
        <f>F16+F24+F29+F36+F43+F45+F47+F49</f>
        <v>0</v>
      </c>
      <c r="G82" s="92">
        <f>SUM(G72:G81)+G16+G24+G29+G36+G43+G45+G47+G49+G51+G56+G61+G66</f>
        <v>-8965939.379999999</v>
      </c>
      <c r="H82" s="91">
        <f>H16+H24+H29+H36+H43+H45+H47+H49</f>
        <v>0</v>
      </c>
      <c r="I82" s="92">
        <f>SUM(I72:I81)+I16+I24+I29+I36+I43+I45+I47+I49+I51+I56+I61+I66</f>
        <v>8394639.1619999744</v>
      </c>
      <c r="J82" s="91">
        <f>J16+J24+J29+J36+J43+J45+J47+J49</f>
        <v>0</v>
      </c>
      <c r="K82" s="92">
        <f>SUM(K72:K81)+K16+K24+K29+K36+K43+K45+K47+K49+K51+K56+K61+K66</f>
        <v>-3004965.0620000083</v>
      </c>
      <c r="L82" s="91">
        <f>L16+L24+L29+L36+L43+L45+L47+L49</f>
        <v>0</v>
      </c>
      <c r="M82" s="92">
        <f>SUM(M72:M81)+M16+M24+M29+M36+M43+M45+M47+M49+M51+M56+M61+M66</f>
        <v>5307724.7479999997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2301485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2301485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376485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2107944.4679999934</v>
      </c>
      <c r="F91" s="155">
        <f t="shared" si="19"/>
        <v>0</v>
      </c>
      <c r="G91" s="155">
        <f t="shared" si="19"/>
        <v>-8589454.379999999</v>
      </c>
      <c r="H91" s="155">
        <f t="shared" si="19"/>
        <v>0</v>
      </c>
      <c r="I91" s="155">
        <f t="shared" si="19"/>
        <v>8394639.1619999744</v>
      </c>
      <c r="J91" s="155">
        <f>+J82+J89</f>
        <v>0</v>
      </c>
      <c r="K91" s="155">
        <f>+K82+K89</f>
        <v>-3004965.0620000083</v>
      </c>
      <c r="L91" s="155">
        <f t="shared" si="19"/>
        <v>0</v>
      </c>
      <c r="M91" s="155">
        <f t="shared" si="19"/>
        <v>5307724.7479999997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55" activePane="bottomRight" state="frozen"/>
      <selection activeCell="L19" sqref="L19"/>
      <selection pane="topRight" activeCell="L19" sqref="L19"/>
      <selection pane="bottomLeft" activeCell="L19" sqref="L19"/>
      <selection pane="bottomRight" activeCell="G65" sqref="G6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39330953</v>
      </c>
      <c r="E11" s="38">
        <f>SUM(G11,I11,K11,M11,O11,Q11,S11,U11,W11,Y11,AA11,AC11,AE11)</f>
        <v>92733394.799999997</v>
      </c>
      <c r="F11" s="60">
        <f>'TIE-OUT'!P11+RECLASS!N11</f>
        <v>0</v>
      </c>
      <c r="G11" s="38">
        <f>'TIE-OUT'!Q11+RECLASS!O11</f>
        <v>0</v>
      </c>
      <c r="H11" s="118">
        <f>+Actuals!E484</f>
        <v>39322345</v>
      </c>
      <c r="I11" s="119">
        <f>+Actuals!F484</f>
        <v>92746123.709999993</v>
      </c>
      <c r="J11" s="118">
        <f>+Actuals!G484</f>
        <v>-606150</v>
      </c>
      <c r="K11" s="119">
        <f>+Actuals!H484</f>
        <v>-1483626.41</v>
      </c>
      <c r="L11" s="118">
        <f>+Actuals!I484</f>
        <v>614758</v>
      </c>
      <c r="M11" s="119">
        <f>+Actuals!J484</f>
        <v>1470897.5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6017954.2699999996</v>
      </c>
      <c r="F12" s="60">
        <f>'TIE-OUT'!P12+RECLASS!N12</f>
        <v>0</v>
      </c>
      <c r="G12" s="38">
        <f>'TIE-OUT'!Q12+RECLASS!O12</f>
        <v>6017954.2699999996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1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79500</v>
      </c>
      <c r="F13" s="60">
        <f>'TIE-OUT'!P13+RECLASS!N13</f>
        <v>0</v>
      </c>
      <c r="G13" s="38">
        <f>'TIE-OUT'!Q13+RECLASS!O13</f>
        <v>0</v>
      </c>
      <c r="H13" s="118">
        <f>+Actuals!E486</f>
        <v>12490224</v>
      </c>
      <c r="I13" s="119">
        <f>+Actuals!F486</f>
        <v>31431178</v>
      </c>
      <c r="J13" s="118">
        <f>+Actuals!G486</f>
        <v>-12460224</v>
      </c>
      <c r="K13" s="119">
        <f>+Actuals!H486</f>
        <v>-31351678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1139491.1299999999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1130170.68</v>
      </c>
      <c r="J15" s="118">
        <f>+Actuals!G488</f>
        <v>0</v>
      </c>
      <c r="K15" s="119">
        <f>+Actuals!H488</f>
        <v>9320.4500000000007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39360953</v>
      </c>
      <c r="E16" s="39">
        <f t="shared" si="1"/>
        <v>99970340.199999988</v>
      </c>
      <c r="F16" s="61">
        <f t="shared" si="1"/>
        <v>0</v>
      </c>
      <c r="G16" s="39">
        <f t="shared" si="1"/>
        <v>6017954.2699999996</v>
      </c>
      <c r="H16" s="61">
        <f t="shared" si="1"/>
        <v>51812569</v>
      </c>
      <c r="I16" s="39">
        <f t="shared" si="1"/>
        <v>125307472.39</v>
      </c>
      <c r="J16" s="61">
        <f t="shared" ref="J16:AO16" si="2">SUM(J11:J15)</f>
        <v>-13066374</v>
      </c>
      <c r="K16" s="39">
        <f t="shared" si="2"/>
        <v>-32825983.960000001</v>
      </c>
      <c r="L16" s="61">
        <f>SUM(L11:L15)</f>
        <v>614758</v>
      </c>
      <c r="M16" s="39">
        <f>SUM(M11:M15)</f>
        <v>1470897.5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-40229358</v>
      </c>
      <c r="E19" s="38">
        <f t="shared" si="3"/>
        <v>-97830857.479999989</v>
      </c>
      <c r="F19" s="60">
        <f>'TIE-OUT'!P19+RECLASS!N19</f>
        <v>0</v>
      </c>
      <c r="G19" s="38">
        <f>'TIE-OUT'!Q19+RECLASS!O19</f>
        <v>0</v>
      </c>
      <c r="H19" s="118">
        <f>+Actuals!E489</f>
        <v>-40204839</v>
      </c>
      <c r="I19" s="119">
        <f>+Actuals!F489</f>
        <v>-98145863.739999995</v>
      </c>
      <c r="J19" s="118">
        <f>+Actuals!G489</f>
        <v>1220603</v>
      </c>
      <c r="K19" s="119">
        <f>+Actuals!H489</f>
        <v>3124880.31</v>
      </c>
      <c r="L19" s="118">
        <f>+Actuals!I489</f>
        <v>-1245122</v>
      </c>
      <c r="M19" s="119">
        <f>+Actuals!J489</f>
        <v>-2809874.05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-2476854.09</v>
      </c>
      <c r="F20" s="60">
        <f>'TIE-OUT'!P20+RECLASS!N20</f>
        <v>0</v>
      </c>
      <c r="G20" s="38">
        <f>'TIE-OUT'!Q20+RECLASS!O20</f>
        <v>-2854454.09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1">
        <f>409200+9000-40600</f>
        <v>377600</v>
      </c>
      <c r="L20" s="118">
        <f>+Actuals!I490</f>
        <v>0</v>
      </c>
      <c r="M20" s="119"/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-79800</v>
      </c>
      <c r="F21" s="60">
        <f>'TIE-OUT'!P21+RECLASS!N21</f>
        <v>0</v>
      </c>
      <c r="G21" s="38">
        <f>'TIE-OUT'!Q21+RECLASS!O21</f>
        <v>0</v>
      </c>
      <c r="H21" s="118">
        <f>+Actuals!E491</f>
        <v>-16360937</v>
      </c>
      <c r="I21" s="119">
        <f>+Actuals!F491</f>
        <v>-40717506</v>
      </c>
      <c r="J21" s="118">
        <f>+Actuals!G491</f>
        <v>16330937</v>
      </c>
      <c r="K21" s="119">
        <f>+Actuals!H491</f>
        <v>40637706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330069</v>
      </c>
      <c r="E23" s="38">
        <f t="shared" si="3"/>
        <v>793155.80700000003</v>
      </c>
      <c r="F23" s="60">
        <f>'TIE-OUT'!P23+RECLASS!N23</f>
        <v>0</v>
      </c>
      <c r="G23" s="38">
        <f>'TIE-OUT'!Q23+RECLASS!O23</f>
        <v>0</v>
      </c>
      <c r="H23" s="118">
        <f>+Actuals!E493</f>
        <v>324965</v>
      </c>
      <c r="I23" s="119">
        <f>+Actuals!F493</f>
        <v>780890.89500000002</v>
      </c>
      <c r="J23" s="118">
        <f>+Actuals!G493</f>
        <v>5132</v>
      </c>
      <c r="K23" s="119">
        <f>+Actuals!H493</f>
        <v>12332.196</v>
      </c>
      <c r="L23" s="118">
        <f>+Actuals!I493</f>
        <v>-28</v>
      </c>
      <c r="M23" s="119">
        <f>+Actuals!J493</f>
        <v>-67.284000000000006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-39929289</v>
      </c>
      <c r="E24" s="39">
        <f t="shared" si="4"/>
        <v>-99594355.762999997</v>
      </c>
      <c r="F24" s="61">
        <f t="shared" si="4"/>
        <v>0</v>
      </c>
      <c r="G24" s="39">
        <f t="shared" si="4"/>
        <v>-2854454.09</v>
      </c>
      <c r="H24" s="61">
        <f t="shared" si="4"/>
        <v>-56240811</v>
      </c>
      <c r="I24" s="39">
        <f t="shared" si="4"/>
        <v>-138082478.845</v>
      </c>
      <c r="J24" s="61">
        <f t="shared" ref="J24:AO24" si="5">SUM(J19:J23)</f>
        <v>17556672</v>
      </c>
      <c r="K24" s="39">
        <f t="shared" si="5"/>
        <v>44152518.506000005</v>
      </c>
      <c r="L24" s="61">
        <f>SUM(L19:L23)</f>
        <v>-1245150</v>
      </c>
      <c r="M24" s="39">
        <f>SUM(M19:M23)</f>
        <v>-2809941.3339999998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710110</v>
      </c>
      <c r="E27" s="38">
        <f>SUM(G27,I27,K27,M27,O27,Q27,S27,U27,W27,Y27,AA27,AC27,AE27)</f>
        <v>1751374.36</v>
      </c>
      <c r="F27" s="60">
        <f>'TIE-OUT'!P27+RECLASS!N27</f>
        <v>0</v>
      </c>
      <c r="G27" s="38">
        <f>'TIE-OUT'!Q27+RECLASS!O27</f>
        <v>0</v>
      </c>
      <c r="H27" s="118">
        <f>+Actuals!E494</f>
        <v>710110</v>
      </c>
      <c r="I27" s="119">
        <f>+Actuals!F494</f>
        <v>1751374.36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710110</v>
      </c>
      <c r="E29" s="39">
        <f t="shared" si="6"/>
        <v>1751374.36</v>
      </c>
      <c r="F29" s="61">
        <f t="shared" si="6"/>
        <v>0</v>
      </c>
      <c r="G29" s="39">
        <f t="shared" si="6"/>
        <v>0</v>
      </c>
      <c r="H29" s="61">
        <f t="shared" si="6"/>
        <v>710110</v>
      </c>
      <c r="I29" s="39">
        <f t="shared" si="6"/>
        <v>1751374.36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22063</v>
      </c>
      <c r="E32" s="38">
        <f t="shared" si="8"/>
        <v>53017.388999999966</v>
      </c>
      <c r="F32" s="60">
        <f>'TIE-OUT'!P32+RECLASS!N32</f>
        <v>0</v>
      </c>
      <c r="G32" s="38">
        <f>'TIE-OUT'!Q32+RECLASS!O32</f>
        <v>0</v>
      </c>
      <c r="H32" s="118">
        <f>+Actuals!E496</f>
        <v>-48567</v>
      </c>
      <c r="I32" s="119">
        <f>+Actuals!F496</f>
        <v>-116706.501</v>
      </c>
      <c r="J32" s="118">
        <f>+Actuals!G496</f>
        <v>-146531</v>
      </c>
      <c r="K32" s="119">
        <f>+Actuals!H496</f>
        <v>-352113.99300000002</v>
      </c>
      <c r="L32" s="118">
        <f>+Actuals!I496</f>
        <v>217161</v>
      </c>
      <c r="M32" s="119">
        <f>+Actuals!J496</f>
        <v>521837.88299999997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4525</v>
      </c>
      <c r="E34" s="38">
        <f t="shared" si="8"/>
        <v>10833.05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4519</v>
      </c>
      <c r="K34" s="119">
        <f>+Actuals!H498</f>
        <v>10818.49</v>
      </c>
      <c r="L34" s="118">
        <f>+Actuals!I498</f>
        <v>6</v>
      </c>
      <c r="M34" s="119">
        <f>+Actuals!J498</f>
        <v>14.56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26588</v>
      </c>
      <c r="E36" s="39">
        <f t="shared" si="9"/>
        <v>63850.438999999969</v>
      </c>
      <c r="F36" s="60">
        <f>'TIE-OUT'!P36+RECLASS!N36</f>
        <v>0</v>
      </c>
      <c r="G36" s="38">
        <f>'TIE-OUT'!Q36+RECLASS!O36</f>
        <v>0</v>
      </c>
      <c r="H36" s="61">
        <f t="shared" si="9"/>
        <v>-48567</v>
      </c>
      <c r="I36" s="39">
        <f t="shared" si="9"/>
        <v>-116706.501</v>
      </c>
      <c r="J36" s="61">
        <f t="shared" ref="J36:AO36" si="10">SUM(J32:J35)</f>
        <v>-142012</v>
      </c>
      <c r="K36" s="39">
        <f t="shared" si="10"/>
        <v>-341295.50300000003</v>
      </c>
      <c r="L36" s="61">
        <f>SUM(L32:L35)</f>
        <v>217167</v>
      </c>
      <c r="M36" s="39">
        <f>SUM(M32:M35)</f>
        <v>521852.44299999997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42625</v>
      </c>
      <c r="E39" s="38">
        <f t="shared" si="11"/>
        <v>104155.11</v>
      </c>
      <c r="F39" s="60">
        <f>'TIE-OUT'!P39+RECLASS!N39</f>
        <v>0</v>
      </c>
      <c r="G39" s="38">
        <f>'TIE-OUT'!Q39+RECLASS!O39</f>
        <v>0</v>
      </c>
      <c r="H39" s="118">
        <f>+Actuals!E500</f>
        <v>35142</v>
      </c>
      <c r="I39" s="119">
        <f>+Actuals!F500</f>
        <v>84446.23</v>
      </c>
      <c r="J39" s="118">
        <f>+Actuals!G500</f>
        <v>7483</v>
      </c>
      <c r="K39" s="119">
        <f>+Actuals!H500</f>
        <v>19708.88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20247</v>
      </c>
      <c r="E40" s="38">
        <f t="shared" si="11"/>
        <v>47285.43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20247</v>
      </c>
      <c r="K40" s="119">
        <f>+Actuals!H501</f>
        <v>47285.43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20247</v>
      </c>
      <c r="E42" s="39">
        <f t="shared" si="12"/>
        <v>47285.43</v>
      </c>
      <c r="F42" s="60">
        <f>'TIE-OUT'!P42+RECLASS!N42</f>
        <v>0</v>
      </c>
      <c r="G42" s="38">
        <f>'TIE-OUT'!Q42+RECLASS!O42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20247</v>
      </c>
      <c r="K42" s="39">
        <f t="shared" si="13"/>
        <v>47285.43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62872</v>
      </c>
      <c r="E43" s="39">
        <f t="shared" si="14"/>
        <v>151440.54</v>
      </c>
      <c r="F43" s="60">
        <f>'TIE-OUT'!P43+RECLASS!N43</f>
        <v>0</v>
      </c>
      <c r="G43" s="38">
        <f>'TIE-OUT'!Q43+RECLASS!O43</f>
        <v>0</v>
      </c>
      <c r="H43" s="61">
        <f t="shared" si="14"/>
        <v>35142</v>
      </c>
      <c r="I43" s="39">
        <f t="shared" si="14"/>
        <v>84446.23</v>
      </c>
      <c r="J43" s="61">
        <f t="shared" ref="J43:AO43" si="15">J42+J39</f>
        <v>27730</v>
      </c>
      <c r="K43" s="39">
        <f t="shared" si="15"/>
        <v>66994.31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>
        <f>'TIE-OUT'!P46+RECLASS!N46</f>
        <v>0</v>
      </c>
      <c r="G46" s="38">
        <f>'TIE-OUT'!Q46+RECLASS!O46</f>
        <v>0</v>
      </c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-231234</v>
      </c>
      <c r="E49" s="38">
        <f>SUM(G49,I49,K49,M49,O49,Q49,S49,U49,W49,Y49,AA49,AC49,AE49)</f>
        <v>-555655.30199999991</v>
      </c>
      <c r="F49" s="60">
        <f>'TIE-OUT'!P49+RECLASS!N49</f>
        <v>0</v>
      </c>
      <c r="G49" s="38">
        <f>'TIE-OUT'!Q49+RECLASS!O49</f>
        <v>0</v>
      </c>
      <c r="H49" s="118">
        <f>+Actuals!E505</f>
        <v>3731557</v>
      </c>
      <c r="I49" s="119">
        <f>+Actuals!F505</f>
        <v>8966931.4710000008</v>
      </c>
      <c r="J49" s="118">
        <f>+Actuals!G505</f>
        <v>-4376016</v>
      </c>
      <c r="K49" s="119">
        <f>+Actuals!H505</f>
        <v>-10515566.448000001</v>
      </c>
      <c r="L49" s="118">
        <f>+Actuals!I505</f>
        <v>413225</v>
      </c>
      <c r="M49" s="119">
        <f>+Actuals!J505</f>
        <v>992979.67500000005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-330069</v>
      </c>
      <c r="E51" s="38">
        <f>SUM(G51,I51,K51,M51,O51,Q51,S51,U51,W51,Y51,AA51,AC51,AE51)</f>
        <v>-793155.80700000003</v>
      </c>
      <c r="F51" s="60">
        <f>'TIE-OUT'!P51+RECLASS!N51</f>
        <v>0</v>
      </c>
      <c r="G51" s="38">
        <f>'TIE-OUT'!Q51+RECLASS!O51</f>
        <v>0</v>
      </c>
      <c r="H51" s="118">
        <f>+Actuals!E506</f>
        <v>-324965</v>
      </c>
      <c r="I51" s="119">
        <f>+Actuals!F506</f>
        <v>-780890.89500000002</v>
      </c>
      <c r="J51" s="118">
        <f>+Actuals!G506</f>
        <v>-5132</v>
      </c>
      <c r="K51" s="119">
        <f>+Actuals!H506</f>
        <v>-12332.196</v>
      </c>
      <c r="L51" s="118">
        <f>+Actuals!I506</f>
        <v>28</v>
      </c>
      <c r="M51" s="119">
        <f>+Actuals!J506</f>
        <v>67.284000000000006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-19121210</v>
      </c>
      <c r="E54" s="38">
        <f>SUM(G54,I54,K54,M54,O54,Q54,S54,U54,W54,Y54,AA54,AC54,AE54)</f>
        <v>-709992.95000000007</v>
      </c>
      <c r="F54" s="60">
        <f>'TIE-OUT'!P54+RECLASS!N54</f>
        <v>0</v>
      </c>
      <c r="G54" s="38">
        <f>'TIE-OUT'!Q54+RECLASS!O54</f>
        <v>0</v>
      </c>
      <c r="H54" s="118">
        <f>+Actuals!E507</f>
        <v>-20284585</v>
      </c>
      <c r="I54" s="119">
        <f>+Actuals!F507</f>
        <v>-332935.93</v>
      </c>
      <c r="J54" s="118">
        <f>+Actuals!G507</f>
        <v>2091007</v>
      </c>
      <c r="K54" s="119">
        <f>+Actuals!H507</f>
        <v>-377276.37</v>
      </c>
      <c r="L54" s="118">
        <f>+Actuals!I507</f>
        <v>-927632</v>
      </c>
      <c r="M54" s="119">
        <f>+Actuals!J507</f>
        <v>219.3499999999992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-2279474.4900000002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-2109665.7400000002</v>
      </c>
      <c r="J55" s="118">
        <f>+Actuals!G508</f>
        <v>0</v>
      </c>
      <c r="K55" s="119">
        <f>+Actuals!H508</f>
        <v>-57600.58</v>
      </c>
      <c r="L55" s="118">
        <f>+Actuals!I508</f>
        <v>0</v>
      </c>
      <c r="M55" s="119">
        <f>+Actuals!J508</f>
        <v>-112208.17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-19121210</v>
      </c>
      <c r="E56" s="39">
        <f t="shared" si="16"/>
        <v>-2989467.4400000004</v>
      </c>
      <c r="F56" s="61">
        <f t="shared" si="16"/>
        <v>0</v>
      </c>
      <c r="G56" s="39">
        <f t="shared" si="16"/>
        <v>0</v>
      </c>
      <c r="H56" s="61">
        <f t="shared" si="16"/>
        <v>-20284585</v>
      </c>
      <c r="I56" s="39">
        <f t="shared" si="16"/>
        <v>-2442601.6700000004</v>
      </c>
      <c r="J56" s="61">
        <f t="shared" ref="J56:AO56" si="17">SUM(J54:J55)</f>
        <v>2091007</v>
      </c>
      <c r="K56" s="39">
        <f t="shared" si="17"/>
        <v>-434876.95</v>
      </c>
      <c r="L56" s="61">
        <f>SUM(L54:L55)</f>
        <v>-927632</v>
      </c>
      <c r="M56" s="39">
        <f>SUM(M54:M55)</f>
        <v>-111988.81999999999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2516504.2799999998</v>
      </c>
      <c r="F70" s="60">
        <f>'TIE-OUT'!P70+RECLASS!N70</f>
        <v>0</v>
      </c>
      <c r="G70" s="38">
        <f>'TIE-OUT'!Q70+RECLASS!O70</f>
        <v>2516504.2799999998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-6953222</v>
      </c>
      <c r="F71" s="60">
        <f>'TIE-OUT'!P71+RECLASS!N71</f>
        <v>0</v>
      </c>
      <c r="G71" s="38">
        <f>'TIE-OUT'!Q71+RECLASS!O71</f>
        <v>-6953222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-4436717.7200000007</v>
      </c>
      <c r="F72" s="61">
        <f t="shared" si="22"/>
        <v>0</v>
      </c>
      <c r="G72" s="39">
        <f t="shared" si="22"/>
        <v>-4436717.7200000007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5170442.1100000003</v>
      </c>
      <c r="F74" s="60">
        <f>'TIE-OUT'!P74+RECLASS!N74</f>
        <v>0</v>
      </c>
      <c r="G74" s="38">
        <f>'TIE-OUT'!Q74+RECLASS!O74</f>
        <v>5170442.1100000003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-20492.550000000003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-19326.22</v>
      </c>
      <c r="J76" s="118">
        <f>+Actuals!G518</f>
        <v>0</v>
      </c>
      <c r="K76" s="119">
        <f>+Actuals!H518</f>
        <v>-1166.33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4881.84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7142.84</v>
      </c>
      <c r="J81" s="118">
        <f>+Actuals!G523</f>
        <v>0</v>
      </c>
      <c r="K81" s="119">
        <f>+Actuals!H523</f>
        <v>-2261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-1277515.0930000162</v>
      </c>
      <c r="F82" s="91">
        <f>F16+F24+F29+F36+F43+F45+F47+F49</f>
        <v>0</v>
      </c>
      <c r="G82" s="92">
        <f>SUM(G72:G81)+G16+G24+G29+G36+G43+G45+G47+G49+G51+G56+G61+G66</f>
        <v>3897224.5699999994</v>
      </c>
      <c r="H82" s="91">
        <f>H16+H24+H29+H36+H43+H45+H47+H49</f>
        <v>0</v>
      </c>
      <c r="I82" s="92">
        <f>SUM(I72:I81)+I16+I24+I29+I36+I43+I45+I47+I49+I51+I56+I61+I66</f>
        <v>-5324636.8399999933</v>
      </c>
      <c r="J82" s="91">
        <f>J16+J24+J29+J36+J43+J45+J47+J49</f>
        <v>0</v>
      </c>
      <c r="K82" s="137">
        <f>SUM(K72:K81)+K16+K24+K29+K36+K43+K45+K47+K49+K51+K56+K61+K66</f>
        <v>86030.429000004835</v>
      </c>
      <c r="L82" s="91">
        <f>L16+L24+L29+L36+L43+L45+L47+L49</f>
        <v>0</v>
      </c>
      <c r="M82" s="92">
        <f>SUM(M72:M81)+M16+M24+M29+M36+M43+M45+M47+M49+M51+M56+M61+M66</f>
        <v>63866.74800000024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4211571</v>
      </c>
      <c r="E11" s="38">
        <f>SUM(G11,I11,K11,M11,O11,Q11,S11,U11,W11,Y11,AA11,AC11,AE11)</f>
        <v>9791395.7899999991</v>
      </c>
      <c r="F11" s="60">
        <f>'TIE-OUT'!R11+RECLASS!P11</f>
        <v>0</v>
      </c>
      <c r="G11" s="38">
        <f>'TIE-OUT'!S11+RECLASS!Q11</f>
        <v>0</v>
      </c>
      <c r="H11" s="118">
        <f>+Actuals!E204</f>
        <v>4187211</v>
      </c>
      <c r="I11" s="119">
        <f>+Actuals!F204</f>
        <v>9739875.6999999993</v>
      </c>
      <c r="J11" s="118">
        <f>+Actuals!G204</f>
        <v>25128</v>
      </c>
      <c r="K11" s="119">
        <f>+Actuals!H204</f>
        <v>53086.22</v>
      </c>
      <c r="L11" s="118">
        <f>+Actuals!I204</f>
        <v>-768</v>
      </c>
      <c r="M11" s="119">
        <f>+Actuals!J204</f>
        <v>-1566.13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-480009.7</v>
      </c>
      <c r="F12" s="60">
        <f>'TIE-OUT'!R12+RECLASS!P12</f>
        <v>0</v>
      </c>
      <c r="G12" s="38">
        <f>'TIE-OUT'!S12+RECLASS!Q12</f>
        <v>-480009.7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345314</v>
      </c>
      <c r="E13" s="38">
        <f t="shared" si="0"/>
        <v>875803</v>
      </c>
      <c r="F13" s="60">
        <f>'TIE-OUT'!R13+RECLASS!P13</f>
        <v>0</v>
      </c>
      <c r="G13" s="38">
        <f>'TIE-OUT'!S13+RECLASS!Q13</f>
        <v>0</v>
      </c>
      <c r="H13" s="118">
        <f>+Actuals!E206</f>
        <v>4793099</v>
      </c>
      <c r="I13" s="119">
        <f>+Actuals!F206</f>
        <v>11586227</v>
      </c>
      <c r="J13" s="118">
        <f>+Actuals!G206</f>
        <v>-4447785</v>
      </c>
      <c r="K13" s="119">
        <f>+Actuals!H206</f>
        <v>-10710424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5736.78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5736.78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4556885</v>
      </c>
      <c r="E16" s="39">
        <f t="shared" si="1"/>
        <v>10192925.869999999</v>
      </c>
      <c r="F16" s="61">
        <f t="shared" si="1"/>
        <v>0</v>
      </c>
      <c r="G16" s="39">
        <f t="shared" si="1"/>
        <v>-480009.7</v>
      </c>
      <c r="H16" s="61">
        <f t="shared" si="1"/>
        <v>8980310</v>
      </c>
      <c r="I16" s="39">
        <f t="shared" si="1"/>
        <v>21331839.48</v>
      </c>
      <c r="J16" s="61">
        <f t="shared" ref="J16:AO16" si="2">SUM(J11:J15)</f>
        <v>-4422657</v>
      </c>
      <c r="K16" s="39">
        <f t="shared" si="2"/>
        <v>-10657337.779999999</v>
      </c>
      <c r="L16" s="61">
        <f>SUM(L11:L15)</f>
        <v>-768</v>
      </c>
      <c r="M16" s="39">
        <f>SUM(M11:M15)</f>
        <v>-1566.13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-5298343</v>
      </c>
      <c r="E19" s="38">
        <f t="shared" si="3"/>
        <v>-11883829.48</v>
      </c>
      <c r="F19" s="64">
        <f>'TIE-OUT'!R19+RECLASS!P19</f>
        <v>0</v>
      </c>
      <c r="G19" s="68">
        <f>'TIE-OUT'!S19+RECLASS!Q19</f>
        <v>0</v>
      </c>
      <c r="H19" s="118">
        <f>+Actuals!E209</f>
        <v>-5371540</v>
      </c>
      <c r="I19" s="119">
        <f>+Actuals!F209</f>
        <v>-11958165.060000001</v>
      </c>
      <c r="J19" s="118">
        <f>+Actuals!G209</f>
        <v>72741</v>
      </c>
      <c r="K19" s="119">
        <f>+Actuals!H209</f>
        <v>73340.77</v>
      </c>
      <c r="L19" s="118">
        <f>+Actuals!I209</f>
        <v>456</v>
      </c>
      <c r="M19" s="119">
        <f>+Actuals!J209</f>
        <v>994.81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394265.22</v>
      </c>
      <c r="F20" s="60">
        <f>'TIE-OUT'!R20+RECLASS!P20</f>
        <v>0</v>
      </c>
      <c r="G20" s="38">
        <f>'TIE-OUT'!S20+RECLASS!Q20</f>
        <v>394265.22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-87</v>
      </c>
      <c r="E21" s="38">
        <f t="shared" si="3"/>
        <v>-227</v>
      </c>
      <c r="F21" s="60">
        <f>'TIE-OUT'!R21+RECLASS!P21</f>
        <v>0</v>
      </c>
      <c r="G21" s="38">
        <f>'TIE-OUT'!S21+RECLASS!Q21</f>
        <v>0</v>
      </c>
      <c r="H21" s="118">
        <f>+Actuals!E211</f>
        <v>-577187</v>
      </c>
      <c r="I21" s="119">
        <f>+Actuals!F211</f>
        <v>-1424756</v>
      </c>
      <c r="J21" s="118">
        <f>+Actuals!G211</f>
        <v>577100</v>
      </c>
      <c r="K21" s="119">
        <f>+Actuals!H211</f>
        <v>1424529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3335</v>
      </c>
      <c r="E23" s="38">
        <f t="shared" si="3"/>
        <v>7790.56</v>
      </c>
      <c r="F23" s="81">
        <f>'TIE-OUT'!R23+RECLASS!P23</f>
        <v>0</v>
      </c>
      <c r="G23" s="82">
        <f>'TIE-OUT'!S23+RECLASS!Q23</f>
        <v>0</v>
      </c>
      <c r="H23" s="118">
        <f>+Actuals!E213</f>
        <v>3335</v>
      </c>
      <c r="I23" s="119">
        <f>+Actuals!F213</f>
        <v>7790.56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-5295095</v>
      </c>
      <c r="E24" s="39">
        <f t="shared" si="4"/>
        <v>-11482000.699999999</v>
      </c>
      <c r="F24" s="61">
        <f t="shared" si="4"/>
        <v>0</v>
      </c>
      <c r="G24" s="39">
        <f t="shared" si="4"/>
        <v>394265.22</v>
      </c>
      <c r="H24" s="61">
        <f t="shared" si="4"/>
        <v>-5945392</v>
      </c>
      <c r="I24" s="39">
        <f t="shared" si="4"/>
        <v>-13375130.5</v>
      </c>
      <c r="J24" s="61">
        <f t="shared" ref="J24:AO24" si="5">SUM(J19:J23)</f>
        <v>649841</v>
      </c>
      <c r="K24" s="39">
        <f t="shared" si="5"/>
        <v>1497869.77</v>
      </c>
      <c r="L24" s="61">
        <f>SUM(L19:L23)</f>
        <v>456</v>
      </c>
      <c r="M24" s="39">
        <f>SUM(M19:M23)</f>
        <v>994.81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27983</v>
      </c>
      <c r="E32" s="38">
        <f t="shared" si="7"/>
        <v>65368.288000000008</v>
      </c>
      <c r="F32" s="64">
        <f>'TIE-OUT'!R32+RECLASS!P32</f>
        <v>0</v>
      </c>
      <c r="G32" s="68">
        <f>'TIE-OUT'!S32+RECLASS!Q32</f>
        <v>0</v>
      </c>
      <c r="H32" s="118">
        <f>+Actuals!E216</f>
        <v>79961</v>
      </c>
      <c r="I32" s="119">
        <f>+Actuals!F216</f>
        <v>186788.89600000001</v>
      </c>
      <c r="J32" s="118">
        <f>+Actuals!G216</f>
        <v>-51185</v>
      </c>
      <c r="K32" s="119">
        <f>+Actuals!H216</f>
        <v>-119568.16</v>
      </c>
      <c r="L32" s="118">
        <f>+Actuals!I216</f>
        <v>-793</v>
      </c>
      <c r="M32" s="119">
        <f>+Actuals!J216</f>
        <v>-1852.4480000000001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27983</v>
      </c>
      <c r="E36" s="39">
        <f t="shared" si="8"/>
        <v>65368.288000000008</v>
      </c>
      <c r="F36" s="61">
        <f t="shared" si="8"/>
        <v>0</v>
      </c>
      <c r="G36" s="39">
        <f t="shared" si="8"/>
        <v>0</v>
      </c>
      <c r="H36" s="61">
        <f t="shared" si="8"/>
        <v>79961</v>
      </c>
      <c r="I36" s="39">
        <f t="shared" si="8"/>
        <v>186788.89600000001</v>
      </c>
      <c r="J36" s="61">
        <f t="shared" ref="J36:AO36" si="9">SUM(J32:J35)</f>
        <v>-51185</v>
      </c>
      <c r="K36" s="39">
        <f t="shared" si="9"/>
        <v>-119568.16</v>
      </c>
      <c r="L36" s="61">
        <f>SUM(L32:L35)</f>
        <v>-793</v>
      </c>
      <c r="M36" s="39">
        <f>SUM(M32:M35)</f>
        <v>-1852.4480000000001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710227</v>
      </c>
      <c r="E49" s="38">
        <f>SUM(G49,I49,K49,M49,O49,Q49,S49,U49,W49,Y49,AA49,AC49,AE49)</f>
        <v>1659090.2719999996</v>
      </c>
      <c r="F49" s="60">
        <f>'TIE-OUT'!R49+RECLASS!P49</f>
        <v>0</v>
      </c>
      <c r="G49" s="38">
        <f>'TIE-OUT'!S49+RECLASS!Q49</f>
        <v>0</v>
      </c>
      <c r="H49" s="118">
        <f>+Actuals!E225</f>
        <v>-3114879</v>
      </c>
      <c r="I49" s="119">
        <f>+Actuals!F225</f>
        <v>-7276357.3439999996</v>
      </c>
      <c r="J49" s="118">
        <f>+Actuals!G225</f>
        <v>3824001</v>
      </c>
      <c r="K49" s="119">
        <f>+Actuals!H225</f>
        <v>8932866.3359999992</v>
      </c>
      <c r="L49" s="118">
        <f>+Actuals!I225</f>
        <v>1105</v>
      </c>
      <c r="M49" s="119">
        <f>+Actuals!J225</f>
        <v>2581.2800000000002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-3335</v>
      </c>
      <c r="E51" s="38">
        <f>SUM(G51,I51,K51,M51,O51,Q51,S51,U51,W51,Y51,AA51,AC51,AE51)</f>
        <v>-7790.56</v>
      </c>
      <c r="F51" s="60">
        <f>'TIE-OUT'!R51+RECLASS!P51</f>
        <v>0</v>
      </c>
      <c r="G51" s="38">
        <f>'TIE-OUT'!S51+RECLASS!Q51</f>
        <v>0</v>
      </c>
      <c r="H51" s="118">
        <f>+Actuals!E226</f>
        <v>-3335</v>
      </c>
      <c r="I51" s="119">
        <f>+Actuals!F226</f>
        <v>-7790.56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-8211647</v>
      </c>
      <c r="E54" s="38">
        <f>SUM(G54,I54,K54,M54,O54,Q54,S54,U54,W54,Y54,AA54,AC54,AE54)</f>
        <v>-151392.33000000002</v>
      </c>
      <c r="F54" s="64">
        <f>'TIE-OUT'!R54+RECLASS!P54</f>
        <v>0</v>
      </c>
      <c r="G54" s="68">
        <f>'TIE-OUT'!S54+RECLASS!Q54</f>
        <v>0</v>
      </c>
      <c r="H54" s="118">
        <f>+Actuals!E227</f>
        <v>-8259002</v>
      </c>
      <c r="I54" s="119">
        <f>+Actuals!F227</f>
        <v>-145412.39000000001</v>
      </c>
      <c r="J54" s="118">
        <f>+Actuals!G227</f>
        <v>45815</v>
      </c>
      <c r="K54" s="119">
        <f>+Actuals!H227</f>
        <v>-5934.69</v>
      </c>
      <c r="L54" s="118">
        <f>+Actuals!I227</f>
        <v>1540</v>
      </c>
      <c r="M54" s="119">
        <f>+Actuals!J227</f>
        <v>-45.25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-382664.12</v>
      </c>
      <c r="F55" s="81">
        <f>'TIE-OUT'!R55+RECLASS!P55</f>
        <v>0</v>
      </c>
      <c r="G55" s="82">
        <f>'TIE-OUT'!S55+RECLASS!Q55</f>
        <v>318140</v>
      </c>
      <c r="H55" s="118">
        <f>+Actuals!E228</f>
        <v>0</v>
      </c>
      <c r="I55" s="119">
        <f>+Actuals!F228</f>
        <v>-689719.23</v>
      </c>
      <c r="J55" s="118">
        <f>+Actuals!G228</f>
        <v>0</v>
      </c>
      <c r="K55" s="119">
        <f>+Actuals!H228</f>
        <v>-11084.89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-8211647</v>
      </c>
      <c r="E56" s="39">
        <f t="shared" si="15"/>
        <v>-534056.44999999995</v>
      </c>
      <c r="F56" s="61">
        <f t="shared" si="15"/>
        <v>0</v>
      </c>
      <c r="G56" s="39">
        <f t="shared" si="15"/>
        <v>318140</v>
      </c>
      <c r="H56" s="61">
        <f t="shared" si="15"/>
        <v>-8259002</v>
      </c>
      <c r="I56" s="39">
        <f t="shared" si="15"/>
        <v>-835131.62</v>
      </c>
      <c r="J56" s="61">
        <f t="shared" si="15"/>
        <v>45815</v>
      </c>
      <c r="K56" s="39">
        <f t="shared" si="15"/>
        <v>-17019.579999999998</v>
      </c>
      <c r="L56" s="61">
        <f>SUM(L54:L55)</f>
        <v>1540</v>
      </c>
      <c r="M56" s="39">
        <f>SUM(M54:M55)</f>
        <v>-45.25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-9099</v>
      </c>
      <c r="F70" s="64">
        <f>'TIE-OUT'!R70+RECLASS!P70</f>
        <v>0</v>
      </c>
      <c r="G70" s="68">
        <f>'TIE-OUT'!S70+RECLASS!Q70</f>
        <v>-9099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-9099</v>
      </c>
      <c r="F72" s="61">
        <f t="shared" si="18"/>
        <v>0</v>
      </c>
      <c r="G72" s="39">
        <f t="shared" si="18"/>
        <v>-9099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22124</v>
      </c>
      <c r="F74" s="60">
        <f>'TIE-OUT'!R74+RECLASS!P74</f>
        <v>0</v>
      </c>
      <c r="G74" s="60">
        <f>'TIE-OUT'!S74+RECLASS!Q74</f>
        <v>22124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-93438.280000000435</v>
      </c>
      <c r="F82" s="91">
        <f>F16+F24+F29+F36+F43+F45+F47+F49</f>
        <v>0</v>
      </c>
      <c r="G82" s="92">
        <f>SUM(G72:G81)+G16+G24+G29+G36+G43+G45+G47+G49+G51+G56+G61+G66</f>
        <v>245420.51999999996</v>
      </c>
      <c r="H82" s="91">
        <f>H16+H24+H29+H36+H43+H45+H47+H49</f>
        <v>0</v>
      </c>
      <c r="I82" s="92">
        <f>SUM(I72:I81)+I16+I24+I29+I36+I43+I45+I47+I49+I51+I56+I61+I66</f>
        <v>24218.352000000537</v>
      </c>
      <c r="J82" s="91">
        <f>J16+J24+J29+J36+J43+J45+J47+J49</f>
        <v>0</v>
      </c>
      <c r="K82" s="137">
        <f>SUM(K72:K81)+K16+K24+K29+K36+K43+K45+K47+K49+K51+K56+K61+K66</f>
        <v>-363189.41400000075</v>
      </c>
      <c r="L82" s="91">
        <f>L16+L24+L29+L36+L43+L45+L47+L49</f>
        <v>0</v>
      </c>
      <c r="M82" s="92">
        <f>SUM(M72:M81)+M16+M24+M29+M36+M43+M45+M47+M49+M51+M56+M61+M66</f>
        <v>112.26200000000017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472991</v>
      </c>
      <c r="F86" s="145">
        <f>'TIE-OUT'!R86+RECLASS!P86</f>
        <v>0</v>
      </c>
      <c r="G86" s="184">
        <f>'TIE-OUT'!S86+RECLASS!Q86</f>
        <v>472991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472723</v>
      </c>
      <c r="F89" s="155">
        <f t="shared" si="22"/>
        <v>0</v>
      </c>
      <c r="G89" s="155">
        <f t="shared" si="22"/>
        <v>472723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379284.71999999956</v>
      </c>
      <c r="F91" s="155">
        <f t="shared" si="23"/>
        <v>0</v>
      </c>
      <c r="G91" s="155">
        <f t="shared" si="23"/>
        <v>718143.52</v>
      </c>
      <c r="H91" s="155">
        <f t="shared" si="23"/>
        <v>0</v>
      </c>
      <c r="I91" s="155">
        <f t="shared" si="23"/>
        <v>24218.352000000537</v>
      </c>
      <c r="J91" s="155">
        <f t="shared" si="23"/>
        <v>0</v>
      </c>
      <c r="K91" s="155">
        <f t="shared" si="23"/>
        <v>-363189.41400000075</v>
      </c>
      <c r="L91" s="155">
        <f t="shared" si="23"/>
        <v>0</v>
      </c>
      <c r="M91" s="155">
        <f t="shared" si="23"/>
        <v>112.26200000000017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19412793</v>
      </c>
      <c r="E11" s="38">
        <f>SUM(G11,I11,K11,M11,O11,Q11,S11,U11,W11,Y11,AA11,AC11,AE11)</f>
        <v>40383597.469999999</v>
      </c>
      <c r="F11" s="60">
        <f>'TIE-OUT'!AF11+RECLASS!AF11</f>
        <v>0</v>
      </c>
      <c r="G11" s="38">
        <f>'TIE-OUT'!AG11+RECLASS!AG11</f>
        <v>-9194890</v>
      </c>
      <c r="H11" s="118">
        <f>+Actuals!E124</f>
        <v>19431347</v>
      </c>
      <c r="I11" s="121">
        <f>+Actuals!F124</f>
        <v>53544567.719999999</v>
      </c>
      <c r="J11" s="118">
        <f>+Actuals!G124</f>
        <v>-18554</v>
      </c>
      <c r="K11" s="121">
        <f>+Actuals!H124</f>
        <v>-3966080.25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10586122</v>
      </c>
      <c r="E13" s="38">
        <f t="shared" si="0"/>
        <v>34451104</v>
      </c>
      <c r="F13" s="60">
        <f>'TIE-OUT'!AF13+RECLASS!AF13</f>
        <v>0</v>
      </c>
      <c r="G13" s="38">
        <f>'TIE-OUT'!AG13+RECLASS!AG13</f>
        <v>0</v>
      </c>
      <c r="H13" s="120">
        <f>+Actuals!E126</f>
        <v>40256482</v>
      </c>
      <c r="I13" s="121">
        <f>+Actuals!F126</f>
        <v>149667712</v>
      </c>
      <c r="J13" s="120">
        <f>+Actuals!G126</f>
        <v>-29669668</v>
      </c>
      <c r="K13" s="121">
        <f>+Actuals!H126</f>
        <v>-115214428</v>
      </c>
      <c r="L13" s="120">
        <f>+Actuals!I126</f>
        <v>-692</v>
      </c>
      <c r="M13" s="121">
        <f>+Actuals!J126</f>
        <v>-2180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10491758.290000001</v>
      </c>
      <c r="F15" s="81">
        <f>'TIE-OUT'!AF15+RECLASS!AF15</f>
        <v>0</v>
      </c>
      <c r="G15" s="82">
        <f>'TIE-OUT'!AG15+RECLASS!AG15</f>
        <v>6421871</v>
      </c>
      <c r="H15" s="120">
        <f>+Actuals!E128</f>
        <v>0</v>
      </c>
      <c r="I15" s="121">
        <f>+Actuals!F128</f>
        <v>4005898</v>
      </c>
      <c r="J15" s="120">
        <f>+Actuals!G128</f>
        <v>0</v>
      </c>
      <c r="K15" s="121">
        <f>+Actuals!H128</f>
        <v>58669.65</v>
      </c>
      <c r="L15" s="120">
        <f>+Actuals!I128</f>
        <v>0</v>
      </c>
      <c r="M15" s="121">
        <f>+Actuals!J128</f>
        <v>5319.64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29998915</v>
      </c>
      <c r="E16" s="39">
        <f t="shared" si="1"/>
        <v>85326459.760000005</v>
      </c>
      <c r="F16" s="61">
        <f t="shared" si="1"/>
        <v>0</v>
      </c>
      <c r="G16" s="39">
        <f t="shared" si="1"/>
        <v>-2773019</v>
      </c>
      <c r="H16" s="61">
        <f t="shared" si="1"/>
        <v>59687829</v>
      </c>
      <c r="I16" s="39">
        <f t="shared" si="1"/>
        <v>207218177.72</v>
      </c>
      <c r="J16" s="61">
        <f t="shared" ref="J16:AO16" si="2">SUM(J11:J15)</f>
        <v>-29688222</v>
      </c>
      <c r="K16" s="39">
        <f t="shared" si="2"/>
        <v>-119121838.59999999</v>
      </c>
      <c r="L16" s="61">
        <f>SUM(L11:L15)</f>
        <v>-692</v>
      </c>
      <c r="M16" s="39">
        <f>SUM(M11:M15)</f>
        <v>3139.6400000000003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-7528728</v>
      </c>
      <c r="E19" s="38">
        <f t="shared" si="3"/>
        <v>-22330312.530000001</v>
      </c>
      <c r="F19" s="64">
        <f>'TIE-OUT'!AF19+RECLASS!AF19</f>
        <v>0</v>
      </c>
      <c r="G19" s="68">
        <f>'TIE-OUT'!AG19+RECLASS!AG19</f>
        <v>0</v>
      </c>
      <c r="H19" s="120">
        <f>+Actuals!E129</f>
        <v>-7535915</v>
      </c>
      <c r="I19" s="121">
        <f>+Actuals!F129</f>
        <v>-21525702.010000002</v>
      </c>
      <c r="J19" s="120">
        <f>+Actuals!G129</f>
        <v>8269</v>
      </c>
      <c r="K19" s="121">
        <f>+Actuals!H129</f>
        <v>-802176.02</v>
      </c>
      <c r="L19" s="120">
        <f>+Actuals!I129</f>
        <v>-1082</v>
      </c>
      <c r="M19" s="121">
        <f>+Actuals!J129</f>
        <v>-2434.5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-320740</v>
      </c>
      <c r="F20" s="60">
        <f>'TIE-OUT'!AF20+RECLASS!AF20</f>
        <v>0</v>
      </c>
      <c r="G20" s="38">
        <f>'TIE-OUT'!AG20+RECLASS!AG20</f>
        <v>-320740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1">
        <v>0</v>
      </c>
      <c r="L20" s="120">
        <f>+Actuals!I130</f>
        <v>0</v>
      </c>
      <c r="M20" s="121"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-9914444</v>
      </c>
      <c r="E21" s="38">
        <f t="shared" si="3"/>
        <v>-26686161</v>
      </c>
      <c r="F21" s="60">
        <f>'TIE-OUT'!AF21+RECLASS!AF21</f>
        <v>0</v>
      </c>
      <c r="G21" s="38">
        <f>'TIE-OUT'!AG21+RECLASS!AG21</f>
        <v>0</v>
      </c>
      <c r="H21" s="120">
        <f>+Actuals!E131</f>
        <v>-39752169</v>
      </c>
      <c r="I21" s="121">
        <f>+Actuals!F131</f>
        <v>-142820242</v>
      </c>
      <c r="J21" s="120">
        <f>+Actuals!G131</f>
        <v>29837725</v>
      </c>
      <c r="K21" s="121">
        <f>+Actuals!H131</f>
        <v>116134081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-17443172</v>
      </c>
      <c r="E24" s="39">
        <f t="shared" si="4"/>
        <v>-49337213.530000001</v>
      </c>
      <c r="F24" s="61">
        <f t="shared" si="4"/>
        <v>0</v>
      </c>
      <c r="G24" s="39">
        <f t="shared" si="4"/>
        <v>-320740</v>
      </c>
      <c r="H24" s="61">
        <f t="shared" si="4"/>
        <v>-47288084</v>
      </c>
      <c r="I24" s="39">
        <f t="shared" si="4"/>
        <v>-164345944.00999999</v>
      </c>
      <c r="J24" s="61">
        <f t="shared" ref="J24:AO24" si="5">SUM(J19:J23)</f>
        <v>29845994</v>
      </c>
      <c r="K24" s="39">
        <f t="shared" si="5"/>
        <v>115331904.98</v>
      </c>
      <c r="L24" s="61">
        <f>SUM(L19:L23)</f>
        <v>-1082</v>
      </c>
      <c r="M24" s="39">
        <f>SUM(M19:M23)</f>
        <v>-2434.5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-13469292</v>
      </c>
      <c r="E40" s="38">
        <f t="shared" si="11"/>
        <v>-22594320.890000001</v>
      </c>
      <c r="F40" s="60">
        <f>'TIE-OUT'!AF40+RECLASS!AF40</f>
        <v>0</v>
      </c>
      <c r="G40" s="38">
        <f>'TIE-OUT'!AG40+RECLASS!AG40</f>
        <v>13427849</v>
      </c>
      <c r="H40" s="120">
        <f>+Actuals!E141</f>
        <v>-13334961</v>
      </c>
      <c r="I40" s="121">
        <f>+Actuals!F141</f>
        <v>-35688126.609999999</v>
      </c>
      <c r="J40" s="120">
        <f>+Actuals!G141</f>
        <v>-131001</v>
      </c>
      <c r="K40" s="121">
        <f>+Actuals!H141</f>
        <v>-324973.23</v>
      </c>
      <c r="L40" s="120">
        <f>+Actuals!I141</f>
        <v>-3330</v>
      </c>
      <c r="M40" s="121">
        <f>+Actuals!J141</f>
        <v>-9070.0499999999993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-13469292</v>
      </c>
      <c r="E42" s="39">
        <f t="shared" si="12"/>
        <v>-22594320.890000001</v>
      </c>
      <c r="F42" s="61">
        <f t="shared" si="12"/>
        <v>0</v>
      </c>
      <c r="G42" s="39">
        <f t="shared" si="12"/>
        <v>13427849</v>
      </c>
      <c r="H42" s="61">
        <f t="shared" si="12"/>
        <v>-13334961</v>
      </c>
      <c r="I42" s="39">
        <f t="shared" si="12"/>
        <v>-35688126.609999999</v>
      </c>
      <c r="J42" s="61">
        <f t="shared" ref="J42:AO42" si="13">SUM(J40:J41)</f>
        <v>-131001</v>
      </c>
      <c r="K42" s="39">
        <f t="shared" si="13"/>
        <v>-324973.23</v>
      </c>
      <c r="L42" s="61">
        <f>SUM(L40:L41)</f>
        <v>-3330</v>
      </c>
      <c r="M42" s="39">
        <f>SUM(M40:M41)</f>
        <v>-9070.0499999999993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-13469292</v>
      </c>
      <c r="E43" s="39">
        <f t="shared" si="14"/>
        <v>-22594320.890000001</v>
      </c>
      <c r="F43" s="61">
        <f t="shared" si="14"/>
        <v>0</v>
      </c>
      <c r="G43" s="39">
        <f t="shared" si="14"/>
        <v>13427849</v>
      </c>
      <c r="H43" s="61">
        <f t="shared" si="14"/>
        <v>-13334961</v>
      </c>
      <c r="I43" s="39">
        <f t="shared" si="14"/>
        <v>-35688126.609999999</v>
      </c>
      <c r="J43" s="61">
        <f t="shared" ref="J43:AO43" si="15">J42+J39</f>
        <v>-131001</v>
      </c>
      <c r="K43" s="39">
        <f t="shared" si="15"/>
        <v>-324973.23</v>
      </c>
      <c r="L43" s="61">
        <f>L42+L39</f>
        <v>-3330</v>
      </c>
      <c r="M43" s="39">
        <f>M42+M39</f>
        <v>-9070.0499999999993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913549</v>
      </c>
      <c r="E49" s="38">
        <f>SUM(G49,I49,K49,M49,O49,Q49,S49,U49,W49,Y49,AA49,AC49,AE49)</f>
        <v>2452879.0650000004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935216</v>
      </c>
      <c r="I49" s="121">
        <f>+Actuals!F145</f>
        <v>2511054.96</v>
      </c>
      <c r="J49" s="120">
        <f>+Actuals!G145</f>
        <v>-26771</v>
      </c>
      <c r="K49" s="121">
        <f>+Actuals!H145</f>
        <v>-71880.134999999776</v>
      </c>
      <c r="L49" s="120">
        <f>+Actuals!I145</f>
        <v>5104</v>
      </c>
      <c r="M49" s="121">
        <f>+Actuals!J145</f>
        <v>13704.24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-28626145</v>
      </c>
      <c r="E54" s="38">
        <f>SUM(G54,I54,K54,M54,O54,Q54,S54,U54,W54,Y54,AA54,AC54,AE54)</f>
        <v>-1163381.0900000001</v>
      </c>
      <c r="F54" s="64">
        <f>'TIE-OUT'!AF54+RECLASS!AF54</f>
        <v>0</v>
      </c>
      <c r="G54" s="68">
        <f>'TIE-OUT'!AG54+RECLASS!AG54</f>
        <v>-38678</v>
      </c>
      <c r="H54" s="120">
        <f>+Actuals!E147</f>
        <v>-28454012</v>
      </c>
      <c r="I54" s="121">
        <f>+Actuals!F147</f>
        <v>-1056140.2</v>
      </c>
      <c r="J54" s="120">
        <f>+Actuals!G147</f>
        <v>-180573</v>
      </c>
      <c r="K54" s="121">
        <f>+Actuals!H147</f>
        <v>-69185.03</v>
      </c>
      <c r="L54" s="120">
        <f>+Actuals!I147</f>
        <v>8440</v>
      </c>
      <c r="M54" s="121">
        <f>+Actuals!J147</f>
        <v>622.14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-10485686.359999999</v>
      </c>
      <c r="F55" s="81">
        <f>'TIE-OUT'!AF55+RECLASS!AF55</f>
        <v>0</v>
      </c>
      <c r="G55" s="82">
        <f>'TIE-OUT'!AG55+RECLASS!AG55</f>
        <v>-34004</v>
      </c>
      <c r="H55" s="120">
        <f>+Actuals!E148</f>
        <v>0</v>
      </c>
      <c r="I55" s="121">
        <f>+Actuals!F148</f>
        <v>-10505991.42</v>
      </c>
      <c r="J55" s="120">
        <f>+Actuals!G148</f>
        <v>0</v>
      </c>
      <c r="K55" s="121">
        <f>+Actuals!H148</f>
        <v>54309.06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-28626145</v>
      </c>
      <c r="E56" s="39">
        <f t="shared" si="16"/>
        <v>-11649067.449999999</v>
      </c>
      <c r="F56" s="61">
        <f t="shared" si="16"/>
        <v>0</v>
      </c>
      <c r="G56" s="39">
        <f t="shared" si="16"/>
        <v>-72682</v>
      </c>
      <c r="H56" s="61">
        <f t="shared" si="16"/>
        <v>-28454012</v>
      </c>
      <c r="I56" s="39">
        <f t="shared" si="16"/>
        <v>-11562131.619999999</v>
      </c>
      <c r="J56" s="61">
        <f t="shared" ref="J56:AO56" si="17">SUM(J54:J55)</f>
        <v>-180573</v>
      </c>
      <c r="K56" s="39">
        <f t="shared" si="17"/>
        <v>-14875.970000000001</v>
      </c>
      <c r="L56" s="61">
        <f>SUM(L54:L55)</f>
        <v>8440</v>
      </c>
      <c r="M56" s="39">
        <f>SUM(M54:M55)</f>
        <v>622.14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-2467844.79</v>
      </c>
      <c r="F70" s="64">
        <f>'TIE-OUT'!AF70+RECLASS!AF70</f>
        <v>0</v>
      </c>
      <c r="G70" s="68">
        <f>'TIE-OUT'!AG70+RECLASS!AG70</f>
        <v>-2467844.79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-5937115.1600000001</v>
      </c>
      <c r="F71" s="81">
        <f>'TIE-OUT'!AF71+RECLASS!AF71</f>
        <v>0</v>
      </c>
      <c r="G71" s="82">
        <f>'TIE-OUT'!AG71+RECLASS!AG71</f>
        <v>-5937115.1600000001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-8404959.9499999993</v>
      </c>
      <c r="F72" s="61">
        <f t="shared" si="22"/>
        <v>0</v>
      </c>
      <c r="G72" s="39">
        <f t="shared" si="22"/>
        <v>-8404959.9499999993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-4622369.46</v>
      </c>
      <c r="F74" s="60">
        <f>'TIE-OUT'!AF74+RECLASS!AF74</f>
        <v>0</v>
      </c>
      <c r="G74" s="60">
        <f>'TIE-OUT'!AG74+RECLASS!AG74</f>
        <v>-4622369.46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-8828592.4549999908</v>
      </c>
      <c r="F82" s="91">
        <f>F16+F24+F29+F36+F43+F45+F47+F49</f>
        <v>0</v>
      </c>
      <c r="G82" s="92">
        <f>SUM(G72:G81)+G16+G24+G29+G36+G43+G45+G47+G49+G51+G56+G61+G66</f>
        <v>-2765921.41</v>
      </c>
      <c r="H82" s="91">
        <f>H16+H24+H29+H36+H43+H45+H47+H49</f>
        <v>0</v>
      </c>
      <c r="I82" s="92">
        <f>SUM(I72:I81)+I16+I24+I29+I36+I43+I45+I47+I49+I51+I56+I61+I66</f>
        <v>-1866969.5599999893</v>
      </c>
      <c r="J82" s="91">
        <f>J16+J24+J29+J36+J43+J45+J47+J49</f>
        <v>0</v>
      </c>
      <c r="K82" s="137">
        <f>SUM(K72:K81)+K16+K24+K29+K36+K43+K45+K47+K49+K51+K56+K61+K66</f>
        <v>-4201662.9549999898</v>
      </c>
      <c r="L82" s="91">
        <f>L16+L24+L29+L36+L43+L45+L47+L49</f>
        <v>0</v>
      </c>
      <c r="M82" s="92">
        <f>SUM(M72:M81)+M16+M24+M29+M36+M43+M45+M47+M49+M51+M56+M61+M66</f>
        <v>5961.47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F51" activePane="bottomRight" state="frozen"/>
      <selection activeCell="L19" sqref="L19"/>
      <selection pane="topRight" activeCell="L19" sqref="L19"/>
      <selection pane="bottomLeft" activeCell="L19" sqref="L19"/>
      <selection pane="bottomRight" activeCell="M61" sqref="M6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09">
        <v>0</v>
      </c>
      <c r="L11" s="60"/>
      <c r="M11" s="38">
        <v>0</v>
      </c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09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5850792</v>
      </c>
      <c r="F13" s="60">
        <f>'TIE-OUT'!Z13+RECLASS!X13</f>
        <v>0</v>
      </c>
      <c r="G13" s="38">
        <f>'TIE-OUT'!AA13+RECLASS!Y13</f>
        <v>0</v>
      </c>
      <c r="H13" s="60"/>
      <c r="I13" s="38">
        <v>14142946</v>
      </c>
      <c r="J13" s="60"/>
      <c r="K13" s="209">
        <v>-8292154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09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09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5850792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14142946</v>
      </c>
      <c r="J16" s="61">
        <f t="shared" si="1"/>
        <v>0</v>
      </c>
      <c r="K16" s="210">
        <f t="shared" si="1"/>
        <v>-8292154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09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09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09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09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09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09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09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0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09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09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09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09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0">
        <f>SUM(K27:K28)</f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09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09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09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09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09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09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0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09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09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09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09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1428901</v>
      </c>
      <c r="F41" s="81">
        <f>'TIE-OUT'!Z41+RECLASS!X41</f>
        <v>0</v>
      </c>
      <c r="G41" s="82">
        <f>'TIE-OUT'!AA41+RECLASS!Y41</f>
        <v>1428901</v>
      </c>
      <c r="H41" s="60"/>
      <c r="I41" s="38"/>
      <c r="J41" s="60"/>
      <c r="K41" s="209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1428901</v>
      </c>
      <c r="F42" s="61">
        <f t="shared" si="8"/>
        <v>0</v>
      </c>
      <c r="G42" s="39">
        <f t="shared" si="8"/>
        <v>1428901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0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1428901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0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09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09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09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09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09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09">
        <v>0</v>
      </c>
      <c r="L49" s="60">
        <v>0</v>
      </c>
      <c r="M49" s="38">
        <v>0</v>
      </c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09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09">
        <v>0</v>
      </c>
      <c r="L51" s="60">
        <v>0</v>
      </c>
      <c r="M51" s="38">
        <v>0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09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09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09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09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0">
        <f>SUM(K54:K55)</f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09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09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09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1">
        <v>150679</v>
      </c>
      <c r="L60" s="60"/>
      <c r="M60" s="38">
        <v>-53846</v>
      </c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0">
        <f>SUM(K59:K60)</f>
        <v>150679</v>
      </c>
      <c r="L61" s="61">
        <f>SUM(L59:L60)</f>
        <v>0</v>
      </c>
      <c r="M61" s="39">
        <f>SUM(M59:M60)</f>
        <v>-53846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09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09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09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09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0">
        <f>SUM(K64:K65)</f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09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09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09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-15092154</v>
      </c>
      <c r="F70" s="64">
        <f>'TIE-OUT'!Z70+RECLASS!X70</f>
        <v>0</v>
      </c>
      <c r="G70" s="68">
        <f>'TIE-OUT'!AA70+RECLASS!Y70</f>
        <v>-15782424</v>
      </c>
      <c r="H70" s="60"/>
      <c r="I70" s="38">
        <v>-14142946</v>
      </c>
      <c r="J70" s="60"/>
      <c r="K70" s="211">
        <v>14833216</v>
      </c>
      <c r="L70" s="60"/>
      <c r="M70" s="38"/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09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-15092154</v>
      </c>
      <c r="F72" s="61">
        <f t="shared" si="13"/>
        <v>0</v>
      </c>
      <c r="G72" s="39">
        <f t="shared" si="13"/>
        <v>-15782424</v>
      </c>
      <c r="H72" s="61">
        <f t="shared" si="13"/>
        <v>0</v>
      </c>
      <c r="I72" s="39">
        <f t="shared" si="13"/>
        <v>-14142946</v>
      </c>
      <c r="J72" s="61">
        <f t="shared" si="13"/>
        <v>0</v>
      </c>
      <c r="K72" s="210">
        <f t="shared" si="13"/>
        <v>14833216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-3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09">
        <v>-3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10419340.220000001</v>
      </c>
      <c r="F74" s="60">
        <f>'TIE-OUT'!Z74+RECLASS!X74</f>
        <v>0</v>
      </c>
      <c r="G74" s="60">
        <f>'TIE-OUT'!AA74+RECLASS!Y74</f>
        <v>10419340.220000001</v>
      </c>
      <c r="H74" s="60"/>
      <c r="I74" s="38"/>
      <c r="J74" s="60"/>
      <c r="K74" s="139">
        <v>0</v>
      </c>
      <c r="L74" s="60"/>
      <c r="M74" s="38">
        <v>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09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-18007.5</v>
      </c>
      <c r="F76" s="60">
        <f>'TIE-OUT'!Z76+RECLASS!X76</f>
        <v>0</v>
      </c>
      <c r="G76" s="60">
        <f>'TIE-OUT'!AA76+RECLASS!Y76</f>
        <v>-18007.5</v>
      </c>
      <c r="H76" s="60"/>
      <c r="I76" s="38"/>
      <c r="J76" s="60"/>
      <c r="K76" s="209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09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09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09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-89144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09">
        <v>-89144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2129979.7200000007</v>
      </c>
      <c r="F82" s="91">
        <f>F16+F24+F29+F36+F43+F45+F47+F49</f>
        <v>0</v>
      </c>
      <c r="G82" s="92">
        <f>SUM(G72:G81)+G16+G24+G29+G36+G43+G45+G47+G49+G51+G56+G61+G66</f>
        <v>-3952190.2799999993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6136016</v>
      </c>
      <c r="L82" s="91">
        <f>L16+L24+L29+L36+L43+L45+L47+L49</f>
        <v>0</v>
      </c>
      <c r="M82" s="92">
        <f>SUM(M72:M81)+M16+M24+M29+M36+M43+M45+M47+M49+M51+M56+M61+M66</f>
        <v>-53846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-15092154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7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41267440</v>
      </c>
      <c r="E11" s="38">
        <f>SUM(G11,I11,K11,M11,O11,Q11,S11,U11,W11,Y11,AA11,AC11,AE11)</f>
        <v>95366307.109999999</v>
      </c>
      <c r="F11" s="60">
        <f>'TIE-OUT'!AB11+RECLASS!Z11</f>
        <v>0</v>
      </c>
      <c r="G11" s="38">
        <f>'TIE-OUT'!AC11+RECLASS!AA11</f>
        <v>130500</v>
      </c>
      <c r="H11" s="118">
        <f>+Actuals!E284</f>
        <v>40570134</v>
      </c>
      <c r="I11" s="119">
        <f>+Actuals!F284</f>
        <v>93396561.969999999</v>
      </c>
      <c r="J11" s="118">
        <f>+Actuals!G284</f>
        <v>109860</v>
      </c>
      <c r="K11" s="119">
        <f>+Actuals!H284</f>
        <v>300137.69</v>
      </c>
      <c r="L11" s="118">
        <f>+Actuals!I284</f>
        <v>587446</v>
      </c>
      <c r="M11" s="119">
        <f>+Actuals!J284</f>
        <v>1539107.45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14461558.24</v>
      </c>
      <c r="F12" s="60">
        <f>'TIE-OUT'!AB12+RECLASS!Z12</f>
        <v>0</v>
      </c>
      <c r="G12" s="38">
        <f>'TIE-OUT'!AC12+RECLASS!AA12</f>
        <v>14461558.24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800196</v>
      </c>
      <c r="E13" s="38">
        <f t="shared" si="0"/>
        <v>2219141</v>
      </c>
      <c r="F13" s="60">
        <f>'TIE-OUT'!AB13+RECLASS!Z13</f>
        <v>0</v>
      </c>
      <c r="G13" s="38">
        <f>'TIE-OUT'!AC13+RECLASS!AA13</f>
        <v>0</v>
      </c>
      <c r="H13" s="118">
        <f>+Actuals!E286</f>
        <v>2626805</v>
      </c>
      <c r="I13" s="119">
        <f>+Actuals!F286</f>
        <v>7083468</v>
      </c>
      <c r="J13" s="118">
        <f>+Actuals!G286</f>
        <v>-1848417</v>
      </c>
      <c r="K13" s="119">
        <f>+Actuals!H286</f>
        <v>-4924959</v>
      </c>
      <c r="L13" s="118">
        <f>+Actuals!I286</f>
        <v>21808</v>
      </c>
      <c r="M13" s="119">
        <f>+Actuals!J286</f>
        <v>60632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-4500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-4500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42067636</v>
      </c>
      <c r="E16" s="39">
        <f t="shared" si="1"/>
        <v>112042506.34999999</v>
      </c>
      <c r="F16" s="61">
        <f t="shared" si="1"/>
        <v>0</v>
      </c>
      <c r="G16" s="39">
        <f t="shared" si="1"/>
        <v>14592058.24</v>
      </c>
      <c r="H16" s="61">
        <f t="shared" si="1"/>
        <v>43196939</v>
      </c>
      <c r="I16" s="39">
        <f t="shared" si="1"/>
        <v>100475529.97</v>
      </c>
      <c r="J16" s="61">
        <f t="shared" si="1"/>
        <v>-1738557</v>
      </c>
      <c r="K16" s="39">
        <f t="shared" si="1"/>
        <v>-4624821.3099999996</v>
      </c>
      <c r="L16" s="61">
        <f>SUM(L11:L15)</f>
        <v>609254</v>
      </c>
      <c r="M16" s="39">
        <f>SUM(M11:M15)</f>
        <v>1599739.45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-43254176</v>
      </c>
      <c r="E19" s="38">
        <f t="shared" si="2"/>
        <v>-107626829.68000001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-42744457</v>
      </c>
      <c r="I19" s="119">
        <f>+Actuals!F289</f>
        <v>-106014637.7</v>
      </c>
      <c r="J19" s="118">
        <f>+Actuals!G289</f>
        <v>77734</v>
      </c>
      <c r="K19" s="119">
        <f>+Actuals!H289</f>
        <v>-73065.119999999995</v>
      </c>
      <c r="L19" s="118">
        <f>+Actuals!I289</f>
        <v>-587453</v>
      </c>
      <c r="M19" s="119">
        <f>+Actuals!J289</f>
        <v>-1539126.86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-8304668.7000000002</v>
      </c>
      <c r="F20" s="60">
        <f>'TIE-OUT'!AB20+RECLASS!Z20</f>
        <v>0</v>
      </c>
      <c r="G20" s="38">
        <f>'TIE-OUT'!AC20+RECLASS!AA20</f>
        <v>-8368848.7199999997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1">
        <v>64180.02</v>
      </c>
      <c r="L20" s="118">
        <f>+Actuals!I290</f>
        <v>0</v>
      </c>
      <c r="M20" s="119"/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-356402</v>
      </c>
      <c r="E21" s="38">
        <f t="shared" si="2"/>
        <v>-1013197</v>
      </c>
      <c r="F21" s="60">
        <f>'TIE-OUT'!AB21+RECLASS!Z21</f>
        <v>0</v>
      </c>
      <c r="G21" s="38">
        <f>'TIE-OUT'!AC21+RECLASS!AA21</f>
        <v>0</v>
      </c>
      <c r="H21" s="118">
        <f>+Actuals!E291</f>
        <v>-1740000</v>
      </c>
      <c r="I21" s="119">
        <f>+Actuals!F291</f>
        <v>-4619700</v>
      </c>
      <c r="J21" s="118">
        <f>+Actuals!G291</f>
        <v>1383598</v>
      </c>
      <c r="K21" s="119">
        <f>+Actuals!H291</f>
        <v>3606503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60754</v>
      </c>
      <c r="E23" s="38">
        <f t="shared" si="2"/>
        <v>166465.96</v>
      </c>
      <c r="F23" s="81">
        <f>'TIE-OUT'!AB23+RECLASS!Z23</f>
        <v>0</v>
      </c>
      <c r="G23" s="82">
        <f>'TIE-OUT'!AC23+RECLASS!AA23</f>
        <v>0</v>
      </c>
      <c r="H23" s="118">
        <f>+Actuals!E293</f>
        <v>29330</v>
      </c>
      <c r="I23" s="119">
        <f>+Actuals!F293</f>
        <v>80364.2</v>
      </c>
      <c r="J23" s="118">
        <f>+Actuals!G293</f>
        <v>31424</v>
      </c>
      <c r="K23" s="119">
        <f>+Actuals!H293</f>
        <v>86101.759999999995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-43549824</v>
      </c>
      <c r="E24" s="39">
        <f t="shared" si="3"/>
        <v>-116778229.42000002</v>
      </c>
      <c r="F24" s="61">
        <f t="shared" si="3"/>
        <v>0</v>
      </c>
      <c r="G24" s="39">
        <f t="shared" si="3"/>
        <v>-8368848.7199999997</v>
      </c>
      <c r="H24" s="61">
        <f t="shared" si="3"/>
        <v>-44455127</v>
      </c>
      <c r="I24" s="39">
        <f t="shared" si="3"/>
        <v>-110553973.5</v>
      </c>
      <c r="J24" s="61">
        <f t="shared" si="3"/>
        <v>1492756</v>
      </c>
      <c r="K24" s="39">
        <f t="shared" si="3"/>
        <v>3683719.6599999997</v>
      </c>
      <c r="L24" s="61">
        <f>SUM(L19:L23)</f>
        <v>-587453</v>
      </c>
      <c r="M24" s="39">
        <f>SUM(M19:M23)</f>
        <v>-1539126.86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824246</v>
      </c>
      <c r="E32" s="38">
        <f t="shared" si="5"/>
        <v>2258434.04</v>
      </c>
      <c r="F32" s="64">
        <f>'TIE-OUT'!AB32+RECLASS!Z32</f>
        <v>0</v>
      </c>
      <c r="G32" s="68">
        <f>'TIE-OUT'!AC32+RECLASS!AA32</f>
        <v>0</v>
      </c>
      <c r="H32" s="118">
        <f>+Actuals!E296</f>
        <v>691544</v>
      </c>
      <c r="I32" s="119">
        <f>+Actuals!F296</f>
        <v>1894830.56</v>
      </c>
      <c r="J32" s="118">
        <f>+Actuals!G296</f>
        <v>156925</v>
      </c>
      <c r="K32" s="119">
        <f>+Actuals!H296</f>
        <v>429974.5</v>
      </c>
      <c r="L32" s="118">
        <f>+Actuals!I296</f>
        <v>-24223</v>
      </c>
      <c r="M32" s="119">
        <f>+Actuals!J296</f>
        <v>-66371.02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824246</v>
      </c>
      <c r="E36" s="39">
        <f t="shared" si="6"/>
        <v>2258434.04</v>
      </c>
      <c r="F36" s="61">
        <f t="shared" si="6"/>
        <v>0</v>
      </c>
      <c r="G36" s="39">
        <f t="shared" si="6"/>
        <v>0</v>
      </c>
      <c r="H36" s="61">
        <f t="shared" si="6"/>
        <v>691544</v>
      </c>
      <c r="I36" s="39">
        <f t="shared" si="6"/>
        <v>1894830.56</v>
      </c>
      <c r="J36" s="61">
        <f t="shared" si="6"/>
        <v>156925</v>
      </c>
      <c r="K36" s="39">
        <f t="shared" si="6"/>
        <v>429974.5</v>
      </c>
      <c r="L36" s="61">
        <f>SUM(L32:L35)</f>
        <v>-24223</v>
      </c>
      <c r="M36" s="39">
        <f>SUM(M32:M35)</f>
        <v>-66371.02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657942</v>
      </c>
      <c r="E49" s="38">
        <f>SUM(G49,I49,K49,M49,O49,Q49,S49,U49,W49,Y49,AA49,AC49,AE49)</f>
        <v>1802761.08</v>
      </c>
      <c r="F49" s="60">
        <f>'TIE-OUT'!AB49+RECLASS!Z49</f>
        <v>0</v>
      </c>
      <c r="G49" s="38">
        <f>'TIE-OUT'!AC49+RECLASS!AA49</f>
        <v>0</v>
      </c>
      <c r="H49" s="118">
        <f>+Actuals!E305</f>
        <v>566644</v>
      </c>
      <c r="I49" s="119">
        <f>+Actuals!F305</f>
        <v>1552604.56</v>
      </c>
      <c r="J49" s="118">
        <f>+Actuals!G305</f>
        <v>88876</v>
      </c>
      <c r="K49" s="119">
        <f>+Actuals!H305</f>
        <v>243520.24</v>
      </c>
      <c r="L49" s="118">
        <f>+Actuals!I305</f>
        <v>2422</v>
      </c>
      <c r="M49" s="119">
        <f>+Actuals!J305</f>
        <v>6636.28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-60754</v>
      </c>
      <c r="E51" s="38">
        <f>SUM(G51,I51,K51,M51,O51,Q51,S51,U51,W51,Y51,AA51,AC51,AE51)</f>
        <v>-166465.96</v>
      </c>
      <c r="F51" s="60">
        <f>'TIE-OUT'!AB51+RECLASS!Z51</f>
        <v>0</v>
      </c>
      <c r="G51" s="38">
        <f>'TIE-OUT'!AC51+RECLASS!AA51</f>
        <v>0</v>
      </c>
      <c r="H51" s="118">
        <f>+Actuals!E306</f>
        <v>-29330</v>
      </c>
      <c r="I51" s="119">
        <f>+Actuals!F306</f>
        <v>-80364.2</v>
      </c>
      <c r="J51" s="118">
        <f>+Actuals!G306</f>
        <v>-31424</v>
      </c>
      <c r="K51" s="119">
        <f>+Actuals!H306</f>
        <v>-86101.759999999995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-150988.93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-252.5</v>
      </c>
      <c r="L54" s="118">
        <f>+Actuals!I307</f>
        <v>0</v>
      </c>
      <c r="M54" s="119">
        <f>+Actuals!J307</f>
        <v>-150736.43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-150988.93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-252.5</v>
      </c>
      <c r="L56" s="61">
        <f>SUM(L54:L55)</f>
        <v>0</v>
      </c>
      <c r="M56" s="39">
        <f>SUM(M54:M55)</f>
        <v>-150736.43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1556139.52</v>
      </c>
      <c r="F70" s="64">
        <f>'TIE-OUT'!AB70+RECLASS!Z70</f>
        <v>0</v>
      </c>
      <c r="G70" s="68">
        <f>'TIE-OUT'!AC70+RECLASS!AA70</f>
        <v>1556139.52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-1508208.52</v>
      </c>
      <c r="F71" s="81">
        <f>'TIE-OUT'!AB71+RECLASS!Z71</f>
        <v>0</v>
      </c>
      <c r="G71" s="82">
        <f>'TIE-OUT'!AC71+RECLASS!AA71</f>
        <v>-1508208.52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47931</v>
      </c>
      <c r="F72" s="61">
        <f t="shared" si="13"/>
        <v>0</v>
      </c>
      <c r="G72" s="183">
        <f t="shared" si="13"/>
        <v>47931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1217650.69</v>
      </c>
      <c r="F74" s="60">
        <f>'TIE-OUT'!AB74+RECLASS!Z74</f>
        <v>0</v>
      </c>
      <c r="G74" s="60">
        <f>'TIE-OUT'!AC74+RECLASS!AA74</f>
        <v>1217650.69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-1049.25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-976.75</v>
      </c>
      <c r="J76" s="118">
        <f>+Actuals!G318</f>
        <v>0</v>
      </c>
      <c r="K76" s="119">
        <f>+Actuals!H318</f>
        <v>-72.5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272549.59999997512</v>
      </c>
      <c r="F82" s="91">
        <f>F16+F24+F29+F36+F43+F45+F47+F49</f>
        <v>0</v>
      </c>
      <c r="G82" s="92">
        <f>SUM(G72:G81)+G16+G24+G29+G36+G43+G45+G47+G49+G51+G56+G61+G66</f>
        <v>7488791.21</v>
      </c>
      <c r="H82" s="91">
        <f>H16+H24+H29+H36+H43+H45+H47+H49</f>
        <v>0</v>
      </c>
      <c r="I82" s="92">
        <f>SUM(I72:I81)+I16+I24+I29+I36+I43+I45+I47+I49+I51+I56+I61+I66</f>
        <v>-6712349.3600000003</v>
      </c>
      <c r="J82" s="91">
        <f>J16+J24+J29+J36+J43+J45+J47+J49</f>
        <v>0</v>
      </c>
      <c r="K82" s="140">
        <f>SUM(K72:K81)+K16+K24+K29+K36+K43+K45+K47+K49+K51+K56+K61+K66</f>
        <v>-354033.66999999993</v>
      </c>
      <c r="L82" s="91">
        <f>L16+L24+L29+L36+L43+L45+L47+L49</f>
        <v>0</v>
      </c>
      <c r="M82" s="92">
        <f>SUM(M72:M81)+M16+M24+M29+M36+M43+M45+M47+M49+M51+M56+M61+M66</f>
        <v>-149858.58000000013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441819</v>
      </c>
      <c r="F86" s="145">
        <f>'TIE-OUT'!AB86+RECLASS!Z86</f>
        <v>0</v>
      </c>
      <c r="G86" s="184">
        <f>'TIE-OUT'!AC86+RECLASS!AA86</f>
        <v>332796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109023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-17818.68</v>
      </c>
      <c r="F87" s="146">
        <f>'TIE-OUT'!AB87+RECLASS!Z87</f>
        <v>0</v>
      </c>
      <c r="G87" s="185">
        <f>'TIE-OUT'!AC87+RECLASS!AA87</f>
        <v>-17818.68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424000.32</v>
      </c>
      <c r="F89" s="155">
        <f t="shared" si="16"/>
        <v>0</v>
      </c>
      <c r="G89" s="155">
        <f t="shared" si="16"/>
        <v>314977.32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109023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696549.91999997513</v>
      </c>
      <c r="F91" s="155">
        <f t="shared" si="19"/>
        <v>0</v>
      </c>
      <c r="G91" s="155">
        <f t="shared" si="19"/>
        <v>7803768.5300000003</v>
      </c>
      <c r="H91" s="155">
        <f t="shared" si="19"/>
        <v>0</v>
      </c>
      <c r="I91" s="155">
        <f t="shared" si="19"/>
        <v>-6712349.3600000003</v>
      </c>
      <c r="J91" s="155">
        <f t="shared" si="19"/>
        <v>0</v>
      </c>
      <c r="K91" s="155">
        <f t="shared" si="19"/>
        <v>-354033.66999999993</v>
      </c>
      <c r="L91" s="155">
        <f t="shared" si="19"/>
        <v>0</v>
      </c>
      <c r="M91" s="155">
        <f t="shared" si="19"/>
        <v>-40835.580000000133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89479379</v>
      </c>
      <c r="E11" s="66">
        <f>'CE-FLSH'!M11</f>
        <v>230336937</v>
      </c>
      <c r="F11" s="60">
        <f>CE_GL!D11</f>
        <v>89211840</v>
      </c>
      <c r="G11" s="38">
        <f>CE_GL!E11</f>
        <v>226940301.91999996</v>
      </c>
      <c r="H11" s="60">
        <f>F11-D11</f>
        <v>-267539</v>
      </c>
      <c r="I11" s="38">
        <f>G11-E11</f>
        <v>-3396635.0800000429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3215601.25</v>
      </c>
      <c r="H12" s="60">
        <f>F12-D12</f>
        <v>0</v>
      </c>
      <c r="I12" s="38">
        <f>G12-E12</f>
        <v>3215601.25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39137924</v>
      </c>
      <c r="E13" s="66">
        <f>'CE-FLSH'!M13</f>
        <v>101009075</v>
      </c>
      <c r="F13" s="60">
        <f>CE_GL!D13</f>
        <v>16106252</v>
      </c>
      <c r="G13" s="38">
        <f>CE_GL!E13</f>
        <v>42226547</v>
      </c>
      <c r="H13" s="60">
        <f t="shared" ref="H13:I15" si="0">F13-D13</f>
        <v>-23031672</v>
      </c>
      <c r="I13" s="38">
        <f t="shared" si="0"/>
        <v>-58782528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1528311.7300000002</v>
      </c>
      <c r="H15" s="60">
        <f t="shared" si="0"/>
        <v>0</v>
      </c>
      <c r="I15" s="38">
        <f t="shared" si="0"/>
        <v>1528311.7300000002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128617303</v>
      </c>
      <c r="E16" s="39">
        <f t="shared" si="1"/>
        <v>331346012</v>
      </c>
      <c r="F16" s="61">
        <f t="shared" si="1"/>
        <v>105318092</v>
      </c>
      <c r="G16" s="39">
        <f t="shared" si="1"/>
        <v>273910761.89999998</v>
      </c>
      <c r="H16" s="61">
        <f t="shared" si="1"/>
        <v>-23299211</v>
      </c>
      <c r="I16" s="39">
        <f t="shared" si="1"/>
        <v>-57435250.100000046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-100343382</v>
      </c>
      <c r="E19" s="66">
        <f>'CE-FLSH'!M19</f>
        <v>-257199518</v>
      </c>
      <c r="F19" s="60">
        <f>CE_GL!D19</f>
        <v>-101122508</v>
      </c>
      <c r="G19" s="38">
        <f>CE_GL!E19</f>
        <v>-260148044.17000002</v>
      </c>
      <c r="H19" s="60">
        <f>F19-D19</f>
        <v>-779126</v>
      </c>
      <c r="I19" s="38">
        <f>G19-E19</f>
        <v>-2948526.1700000167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1290212.5799999998</v>
      </c>
      <c r="H20" s="60">
        <f>F20-D20</f>
        <v>0</v>
      </c>
      <c r="I20" s="38">
        <f>G20-E20</f>
        <v>1290212.5799999998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-28106245</v>
      </c>
      <c r="E21" s="66">
        <f>'CE-FLSH'!M21</f>
        <v>-72328753</v>
      </c>
      <c r="F21" s="60">
        <f>CE_GL!D21</f>
        <v>-5506578</v>
      </c>
      <c r="G21" s="38">
        <f>CE_GL!E21</f>
        <v>-14472082</v>
      </c>
      <c r="H21" s="60">
        <f t="shared" ref="H21:I23" si="2">F21-D21</f>
        <v>22599667</v>
      </c>
      <c r="I21" s="38">
        <f t="shared" si="2"/>
        <v>57856671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345130</v>
      </c>
      <c r="E23" s="66">
        <f>'CE-FLSH'!M23</f>
        <v>867585</v>
      </c>
      <c r="F23" s="60">
        <f>CE_GL!D23</f>
        <v>799623</v>
      </c>
      <c r="G23" s="38">
        <f>CE_GL!E23</f>
        <v>2055830.733</v>
      </c>
      <c r="H23" s="60">
        <f t="shared" si="2"/>
        <v>454493</v>
      </c>
      <c r="I23" s="38">
        <f t="shared" si="2"/>
        <v>1188245.733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-128104497</v>
      </c>
      <c r="E24" s="39">
        <f t="shared" si="3"/>
        <v>-328660686</v>
      </c>
      <c r="F24" s="61">
        <f t="shared" si="3"/>
        <v>-105829463</v>
      </c>
      <c r="G24" s="39">
        <f t="shared" si="3"/>
        <v>-271274082.85700005</v>
      </c>
      <c r="H24" s="61">
        <f t="shared" si="3"/>
        <v>22275034</v>
      </c>
      <c r="I24" s="39">
        <f t="shared" si="3"/>
        <v>57386603.142999984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302429</v>
      </c>
      <c r="G27" s="38">
        <f>CE_GL!E27</f>
        <v>749895.67</v>
      </c>
      <c r="H27" s="60">
        <f>F27-D27</f>
        <v>302429</v>
      </c>
      <c r="I27" s="38">
        <f>G27-E27</f>
        <v>749895.67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-58619</v>
      </c>
      <c r="G28" s="38">
        <f>CE_GL!E28</f>
        <v>-152271.29999999999</v>
      </c>
      <c r="H28" s="60">
        <f>F28-D28</f>
        <v>-58619</v>
      </c>
      <c r="I28" s="38">
        <f>G28-E28</f>
        <v>-152271.29999999999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243810</v>
      </c>
      <c r="G29" s="70">
        <f t="shared" si="4"/>
        <v>597624.37000000011</v>
      </c>
      <c r="H29" s="69">
        <f t="shared" si="4"/>
        <v>243810</v>
      </c>
      <c r="I29" s="70">
        <f t="shared" si="4"/>
        <v>597624.37000000011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-4473</v>
      </c>
      <c r="E32" s="66">
        <f>'CE-FLSH'!M32</f>
        <v>-177</v>
      </c>
      <c r="F32" s="60">
        <f>CE_GL!D32</f>
        <v>-361452</v>
      </c>
      <c r="G32" s="38">
        <f>CE_GL!E32</f>
        <v>-929293.09200000018</v>
      </c>
      <c r="H32" s="60">
        <f>F32-D32</f>
        <v>-356979</v>
      </c>
      <c r="I32" s="38">
        <f>G32-E32</f>
        <v>-929116.09200000018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-25939</v>
      </c>
      <c r="G33" s="38">
        <f>CE_GL!E33</f>
        <v>-67676.479999999996</v>
      </c>
      <c r="H33" s="60">
        <f t="shared" ref="H33:I35" si="5">F33-D33</f>
        <v>-25939</v>
      </c>
      <c r="I33" s="38">
        <f t="shared" si="5"/>
        <v>-67676.479999999996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10110</v>
      </c>
      <c r="G34" s="38">
        <f>CE_GL!E34</f>
        <v>25535.81</v>
      </c>
      <c r="H34" s="60">
        <f t="shared" si="5"/>
        <v>10110</v>
      </c>
      <c r="I34" s="38">
        <f t="shared" si="5"/>
        <v>25535.81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-18066</v>
      </c>
      <c r="E35" s="66">
        <f>'CE-FLSH'!M35</f>
        <v>-45399</v>
      </c>
      <c r="F35" s="60">
        <f>CE_GL!D35</f>
        <v>0</v>
      </c>
      <c r="G35" s="38">
        <f>CE_GL!E35</f>
        <v>0</v>
      </c>
      <c r="H35" s="60">
        <f t="shared" si="5"/>
        <v>18066</v>
      </c>
      <c r="I35" s="38">
        <f t="shared" si="5"/>
        <v>45399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-22539</v>
      </c>
      <c r="E36" s="39">
        <f t="shared" si="6"/>
        <v>-45576</v>
      </c>
      <c r="F36" s="61">
        <f t="shared" si="6"/>
        <v>-377281</v>
      </c>
      <c r="G36" s="39">
        <f t="shared" si="6"/>
        <v>-971433.7620000001</v>
      </c>
      <c r="H36" s="61">
        <f t="shared" si="6"/>
        <v>-354742</v>
      </c>
      <c r="I36" s="39">
        <f t="shared" si="6"/>
        <v>-925857.7620000001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50140</v>
      </c>
      <c r="E39" s="66">
        <f>'CE-FLSH'!M39</f>
        <v>130199</v>
      </c>
      <c r="F39" s="60">
        <f>CE_GL!D39</f>
        <v>3231</v>
      </c>
      <c r="G39" s="38">
        <f>CE_GL!E39</f>
        <v>8306.9</v>
      </c>
      <c r="H39" s="60">
        <f t="shared" ref="H39:I41" si="7">F39-D39</f>
        <v>-46909</v>
      </c>
      <c r="I39" s="38">
        <f t="shared" si="7"/>
        <v>-121892.1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-544509</v>
      </c>
      <c r="E40" s="66">
        <f>'CE-FLSH'!M40</f>
        <v>-1455168</v>
      </c>
      <c r="F40" s="60">
        <f>CE_GL!D40</f>
        <v>-503397</v>
      </c>
      <c r="G40" s="38">
        <f>CE_GL!E40</f>
        <v>-1296172.81</v>
      </c>
      <c r="H40" s="60">
        <f t="shared" si="7"/>
        <v>41112</v>
      </c>
      <c r="I40" s="38">
        <f t="shared" si="7"/>
        <v>158995.18999999994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-544509</v>
      </c>
      <c r="E42" s="70">
        <f t="shared" si="8"/>
        <v>-1455168</v>
      </c>
      <c r="F42" s="69">
        <f t="shared" si="8"/>
        <v>-503397</v>
      </c>
      <c r="G42" s="70">
        <f t="shared" si="8"/>
        <v>-1296172.81</v>
      </c>
      <c r="H42" s="69">
        <f t="shared" si="8"/>
        <v>41112</v>
      </c>
      <c r="I42" s="70">
        <f t="shared" si="8"/>
        <v>158995.18999999994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-494369</v>
      </c>
      <c r="E43" s="39">
        <f t="shared" si="9"/>
        <v>-1324969</v>
      </c>
      <c r="F43" s="61">
        <f t="shared" si="9"/>
        <v>-500166</v>
      </c>
      <c r="G43" s="39">
        <f t="shared" si="9"/>
        <v>-1287865.9100000001</v>
      </c>
      <c r="H43" s="61">
        <f t="shared" si="9"/>
        <v>-5797</v>
      </c>
      <c r="I43" s="39">
        <f t="shared" si="9"/>
        <v>37103.089999999938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6908</v>
      </c>
      <c r="E49" s="66">
        <f>'CE-FLSH'!M49</f>
        <v>17762.830536000001</v>
      </c>
      <c r="F49" s="60">
        <f>CE_GL!D49</f>
        <v>1145008</v>
      </c>
      <c r="G49" s="38">
        <f>CE_GL!E49</f>
        <v>2943815.568</v>
      </c>
      <c r="H49" s="60">
        <f>F49-D49</f>
        <v>1138100</v>
      </c>
      <c r="I49" s="38">
        <f>G49-E49</f>
        <v>2926052.737464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-345130</v>
      </c>
      <c r="E51" s="66">
        <f>'CE-FLSH'!M51</f>
        <v>-867585</v>
      </c>
      <c r="F51" s="60">
        <f>CE_GL!D51</f>
        <v>-799623</v>
      </c>
      <c r="G51" s="38">
        <f>CE_GL!E51</f>
        <v>-2055830.733</v>
      </c>
      <c r="H51" s="60">
        <f>F51-D51</f>
        <v>-454493</v>
      </c>
      <c r="I51" s="38">
        <f>G51-E51</f>
        <v>-1188245.733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-406932</v>
      </c>
      <c r="F54" s="60">
        <f>CE_GL!D54</f>
        <v>-69107492</v>
      </c>
      <c r="G54" s="38">
        <f>CE_GL!E54</f>
        <v>-487145.65</v>
      </c>
      <c r="H54" s="60">
        <f>F54-D54</f>
        <v>-69107492</v>
      </c>
      <c r="I54" s="38">
        <f>G54-E54</f>
        <v>-80213.650000000023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-2565922.5</v>
      </c>
      <c r="F55" s="60">
        <f>CE_GL!D55</f>
        <v>0</v>
      </c>
      <c r="G55" s="38">
        <f>CE_GL!E55</f>
        <v>-2147731.2000000002</v>
      </c>
      <c r="H55" s="60">
        <f>F55-D55</f>
        <v>0</v>
      </c>
      <c r="I55" s="38">
        <f>G55-E55</f>
        <v>418191.29999999981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-2972854.5</v>
      </c>
      <c r="F56" s="61">
        <f t="shared" si="10"/>
        <v>-69107492</v>
      </c>
      <c r="G56" s="39">
        <f t="shared" si="10"/>
        <v>-2634876.85</v>
      </c>
      <c r="H56" s="61">
        <f t="shared" si="10"/>
        <v>-69107492</v>
      </c>
      <c r="I56" s="39">
        <f t="shared" si="10"/>
        <v>337977.64999999979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4506255.0186999999</v>
      </c>
      <c r="F70" s="60">
        <f>CE_GL!D70</f>
        <v>0</v>
      </c>
      <c r="G70" s="38">
        <f>CE_GL!E70</f>
        <v>4506255.0199999996</v>
      </c>
      <c r="H70" s="60">
        <f>F70-D70</f>
        <v>0</v>
      </c>
      <c r="I70" s="38">
        <f>G70-E70</f>
        <v>1.2999996542930603E-3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-7591856</v>
      </c>
      <c r="F71" s="60">
        <f>CE_GL!D71</f>
        <v>0</v>
      </c>
      <c r="G71" s="38">
        <f>CE_GL!E71</f>
        <v>-7591856.8799999999</v>
      </c>
      <c r="H71" s="60">
        <f>F71-D71</f>
        <v>0</v>
      </c>
      <c r="I71" s="38">
        <f>G71-E71</f>
        <v>-0.87999999988824129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-3085600.9813000001</v>
      </c>
      <c r="F72" s="69">
        <f t="shared" si="13"/>
        <v>0</v>
      </c>
      <c r="G72" s="70">
        <f t="shared" si="13"/>
        <v>-3085601.8600000003</v>
      </c>
      <c r="H72" s="69">
        <f t="shared" si="13"/>
        <v>0</v>
      </c>
      <c r="I72" s="70">
        <f t="shared" si="13"/>
        <v>-0.87870000023394823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4552700</v>
      </c>
      <c r="F74" s="60">
        <f>CE_GL!D74</f>
        <v>0</v>
      </c>
      <c r="G74" s="38">
        <f>CE_GL!E74</f>
        <v>3130695.13</v>
      </c>
      <c r="H74" s="60">
        <f t="shared" ref="H74:I79" si="14">F74-D74</f>
        <v>0</v>
      </c>
      <c r="I74" s="38">
        <f t="shared" si="14"/>
        <v>-1422004.87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14359</v>
      </c>
      <c r="F75" s="60">
        <f>CE_GL!D75</f>
        <v>0</v>
      </c>
      <c r="G75" s="38">
        <f>CE_GL!E75</f>
        <v>12700</v>
      </c>
      <c r="H75" s="60">
        <f t="shared" si="14"/>
        <v>0</v>
      </c>
      <c r="I75" s="38">
        <f t="shared" si="14"/>
        <v>-1659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-14519</v>
      </c>
      <c r="F76" s="60">
        <f>CE_GL!D76</f>
        <v>0</v>
      </c>
      <c r="G76" s="38">
        <f>CE_GL!E76</f>
        <v>-17018.14</v>
      </c>
      <c r="H76" s="60">
        <f t="shared" si="14"/>
        <v>0</v>
      </c>
      <c r="I76" s="38">
        <f t="shared" si="14"/>
        <v>-2499.1399999999994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1145036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-1145036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2806</v>
      </c>
      <c r="E82" s="72">
        <f>SUM(E72:E81)+E16+E24+E29+E36+E43+E45+E47+E49+E51+E56+E61+E66</f>
        <v>104079.34923600359</v>
      </c>
      <c r="F82" s="71">
        <f>F16+F24+F29+F36+F43+F45+F47+F49</f>
        <v>0</v>
      </c>
      <c r="G82" s="72">
        <f>SUM(G72:G81)+G16+G24+G29+G36+G43+G45+G47+G49+G51+G56+G61+G66</f>
        <v>-731113.14400008181</v>
      </c>
      <c r="H82" s="71">
        <f>H16+H24+H29+H36+H43+H45+H47+H49</f>
        <v>-2806</v>
      </c>
      <c r="I82" s="72">
        <f>SUM(I72:I81)+I16+I24+I29+I36+I43+I45+I47+I49+I51+I56+I61+I66</f>
        <v>-835192.49323606316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5709814</v>
      </c>
      <c r="E11" s="66">
        <f>'SITHE-FLSH'!M11</f>
        <v>14580741</v>
      </c>
      <c r="F11" s="60">
        <f>SITHE_GL!D11</f>
        <v>5709009</v>
      </c>
      <c r="G11" s="38">
        <f>SITHE_GL!E11</f>
        <v>16109298.780000001</v>
      </c>
      <c r="H11" s="60">
        <f>F11-D11</f>
        <v>-805</v>
      </c>
      <c r="I11" s="38">
        <f>G11-E11</f>
        <v>1528557.7800000012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-669889.77</v>
      </c>
      <c r="H12" s="60">
        <f>F12-D12</f>
        <v>0</v>
      </c>
      <c r="I12" s="38">
        <f>G12-E12</f>
        <v>-669889.77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4883736</v>
      </c>
      <c r="E13" s="66">
        <f>'SITHE-FLSH'!M13</f>
        <v>13046146</v>
      </c>
      <c r="F13" s="60">
        <f>SITHE_GL!D13</f>
        <v>371635</v>
      </c>
      <c r="G13" s="38">
        <f>SITHE_GL!E13</f>
        <v>1057221</v>
      </c>
      <c r="H13" s="60">
        <f t="shared" ref="H13:I15" si="0">F13-D13</f>
        <v>-4512101</v>
      </c>
      <c r="I13" s="38">
        <f t="shared" si="0"/>
        <v>-11988925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10593550</v>
      </c>
      <c r="E16" s="39">
        <f t="shared" si="1"/>
        <v>27626887</v>
      </c>
      <c r="F16" s="61">
        <f t="shared" si="1"/>
        <v>6080644</v>
      </c>
      <c r="G16" s="39">
        <f t="shared" si="1"/>
        <v>16496630.010000002</v>
      </c>
      <c r="H16" s="61">
        <f t="shared" si="1"/>
        <v>-4512906</v>
      </c>
      <c r="I16" s="39">
        <f t="shared" si="1"/>
        <v>-11130256.989999998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-813187</v>
      </c>
      <c r="E19" s="66">
        <f>'SITHE-FLSH'!M19</f>
        <v>-2202053</v>
      </c>
      <c r="F19" s="60">
        <f>SITHE_GL!D19</f>
        <v>-1005610</v>
      </c>
      <c r="G19" s="38">
        <f>SITHE_GL!E19</f>
        <v>-3122499.95</v>
      </c>
      <c r="H19" s="60">
        <f>F19-D19</f>
        <v>-192423</v>
      </c>
      <c r="I19" s="38">
        <f>G19-E19</f>
        <v>-920446.95000000019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-54782.65</v>
      </c>
      <c r="H20" s="60">
        <f>F20-D20</f>
        <v>0</v>
      </c>
      <c r="I20" s="38">
        <f>G20-E20</f>
        <v>-54782.65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-9725476</v>
      </c>
      <c r="E21" s="66">
        <f>'SITHE-FLSH'!M21</f>
        <v>-25364923</v>
      </c>
      <c r="F21" s="60">
        <f>SITHE_GL!D21</f>
        <v>-2538126</v>
      </c>
      <c r="G21" s="38">
        <f>SITHE_GL!E21</f>
        <v>-6650891</v>
      </c>
      <c r="H21" s="60">
        <f t="shared" ref="H21:I23" si="2">F21-D21</f>
        <v>7187350</v>
      </c>
      <c r="I21" s="38">
        <f t="shared" si="2"/>
        <v>18714032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2450</v>
      </c>
      <c r="E23" s="66">
        <f>'SITHE-FLSH'!M23</f>
        <v>6292</v>
      </c>
      <c r="F23" s="60">
        <f>SITHE_GL!D23</f>
        <v>0</v>
      </c>
      <c r="G23" s="38">
        <f>SITHE_GL!E23</f>
        <v>0</v>
      </c>
      <c r="H23" s="60">
        <f t="shared" si="2"/>
        <v>-2450</v>
      </c>
      <c r="I23" s="38">
        <f t="shared" si="2"/>
        <v>-6292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-10536213</v>
      </c>
      <c r="E24" s="39">
        <f t="shared" si="3"/>
        <v>-27560684</v>
      </c>
      <c r="F24" s="61">
        <f t="shared" si="3"/>
        <v>-3543736</v>
      </c>
      <c r="G24" s="39">
        <f t="shared" si="3"/>
        <v>-9828173.5999999996</v>
      </c>
      <c r="H24" s="61">
        <f t="shared" si="3"/>
        <v>6992477</v>
      </c>
      <c r="I24" s="39">
        <f t="shared" si="3"/>
        <v>17732510.399999999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-38096</v>
      </c>
      <c r="E32" s="66">
        <f>'SITHE-FLSH'!M32</f>
        <v>123685</v>
      </c>
      <c r="F32" s="60">
        <f>SITHE_GL!D32</f>
        <v>0</v>
      </c>
      <c r="G32" s="38">
        <f>SITHE_GL!E32</f>
        <v>0</v>
      </c>
      <c r="H32" s="60">
        <f>F32-D32</f>
        <v>38096</v>
      </c>
      <c r="I32" s="38">
        <f>G32-E32</f>
        <v>-123685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-38096</v>
      </c>
      <c r="E36" s="39">
        <f t="shared" si="6"/>
        <v>123685</v>
      </c>
      <c r="F36" s="61">
        <f t="shared" si="6"/>
        <v>0</v>
      </c>
      <c r="G36" s="39">
        <f t="shared" si="6"/>
        <v>0</v>
      </c>
      <c r="H36" s="61">
        <f t="shared" si="6"/>
        <v>38096</v>
      </c>
      <c r="I36" s="39">
        <f t="shared" si="6"/>
        <v>-123685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-19241</v>
      </c>
      <c r="E49" s="66">
        <f>'SITHE-FLSH'!M49</f>
        <v>-48947.420170052712</v>
      </c>
      <c r="F49" s="60">
        <f>SITHE_GL!D49</f>
        <v>-2536908</v>
      </c>
      <c r="G49" s="38">
        <f>SITHE_GL!E49</f>
        <v>-6453893.9519999996</v>
      </c>
      <c r="H49" s="60">
        <f>F49-D49</f>
        <v>-2517667</v>
      </c>
      <c r="I49" s="38">
        <f>G49-E49</f>
        <v>-6404946.5318299467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-2450</v>
      </c>
      <c r="E51" s="66">
        <f>'SITHE-FLSH'!M51</f>
        <v>-6292</v>
      </c>
      <c r="F51" s="60">
        <f>SITHE_GL!D51</f>
        <v>0</v>
      </c>
      <c r="G51" s="38">
        <f>SITHE_GL!E51</f>
        <v>0</v>
      </c>
      <c r="H51" s="60">
        <f>F51-D51</f>
        <v>2450</v>
      </c>
      <c r="I51" s="38">
        <f>G51-E51</f>
        <v>6292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-5682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5682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-5682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5682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-259749.41519999999</v>
      </c>
      <c r="F70" s="60">
        <f>SITHE_GL!D70</f>
        <v>0</v>
      </c>
      <c r="G70" s="38">
        <f>SITHE_GL!E70</f>
        <v>-259749.42</v>
      </c>
      <c r="H70" s="60">
        <f>F70-D70</f>
        <v>0</v>
      </c>
      <c r="I70" s="38">
        <f>G70-E70</f>
        <v>-4.8000000242609531E-3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322864</v>
      </c>
      <c r="F71" s="60">
        <f>SITHE_GL!D71</f>
        <v>0</v>
      </c>
      <c r="G71" s="38">
        <f>SITHE_GL!E71</f>
        <v>322863.27</v>
      </c>
      <c r="H71" s="60">
        <f>F71-D71</f>
        <v>0</v>
      </c>
      <c r="I71" s="38">
        <f>G71-E71</f>
        <v>-0.72999999998137355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63114.584800000011</v>
      </c>
      <c r="F72" s="69">
        <f t="shared" si="13"/>
        <v>0</v>
      </c>
      <c r="G72" s="70">
        <f t="shared" si="13"/>
        <v>63113.850000000006</v>
      </c>
      <c r="H72" s="69">
        <f t="shared" si="13"/>
        <v>0</v>
      </c>
      <c r="I72" s="70">
        <f t="shared" si="13"/>
        <v>-0.7348000000056345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80011</v>
      </c>
      <c r="F74" s="60">
        <f>SITHE_GL!D74</f>
        <v>0</v>
      </c>
      <c r="G74" s="38">
        <f>SITHE_GL!E74</f>
        <v>80010.83</v>
      </c>
      <c r="H74" s="60">
        <f t="shared" ref="H74:I79" si="14">F74-D74</f>
        <v>0</v>
      </c>
      <c r="I74" s="38">
        <f t="shared" si="14"/>
        <v>-0.16999999999825377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-6608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6608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265484.1646299485</v>
      </c>
      <c r="F82" s="71">
        <f>F16+F24+F29+F36+F43+F45+F47+F49</f>
        <v>0</v>
      </c>
      <c r="G82" s="72">
        <f>SUM(G72:G81)+G16+G24+G29+G36+G43+G45+G47+G49+G51+G56+G61+G66</f>
        <v>357687.13800000213</v>
      </c>
      <c r="H82" s="71">
        <f>H16+H24+H29+H36+H43+H45+H47+H49</f>
        <v>0</v>
      </c>
      <c r="I82" s="72">
        <f>SUM(I72:I81)+I16+I24+I29+I36+I43+I45+I47+I49+I51+I56+I61+I66</f>
        <v>92202.973370053805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15465468</v>
      </c>
      <c r="E11" s="66">
        <f>'ARUBA-FLSH'!M11</f>
        <v>41679437</v>
      </c>
      <c r="F11" s="60">
        <f>ARUBA_GL!D11</f>
        <v>15465467</v>
      </c>
      <c r="G11" s="38">
        <f>ARUBA_GL!E11</f>
        <v>40939839.730000004</v>
      </c>
      <c r="H11" s="60">
        <f>F11-D11</f>
        <v>-1</v>
      </c>
      <c r="I11" s="38">
        <f>G11-E11</f>
        <v>-739597.26999999583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885146.6</v>
      </c>
      <c r="H12" s="60">
        <f>F12-D12</f>
        <v>0</v>
      </c>
      <c r="I12" s="38">
        <f>G12-E12</f>
        <v>885146.6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21293649</v>
      </c>
      <c r="E13" s="66">
        <f>'ARUBA-FLSH'!M13</f>
        <v>55351498</v>
      </c>
      <c r="F13" s="60">
        <f>ARUBA_GL!D13</f>
        <v>4751300</v>
      </c>
      <c r="G13" s="38">
        <f>ARUBA_GL!E13</f>
        <v>12571985</v>
      </c>
      <c r="H13" s="60">
        <f t="shared" ref="H13:I15" si="0">F13-D13</f>
        <v>-16542349</v>
      </c>
      <c r="I13" s="38">
        <f t="shared" si="0"/>
        <v>-42779513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2998378</v>
      </c>
      <c r="H15" s="60">
        <f t="shared" si="0"/>
        <v>0</v>
      </c>
      <c r="I15" s="38">
        <f t="shared" si="0"/>
        <v>2998378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36759117</v>
      </c>
      <c r="E16" s="39">
        <f t="shared" si="1"/>
        <v>97030935</v>
      </c>
      <c r="F16" s="61">
        <f t="shared" si="1"/>
        <v>20216767</v>
      </c>
      <c r="G16" s="39">
        <f t="shared" si="1"/>
        <v>57395349.330000006</v>
      </c>
      <c r="H16" s="61">
        <f t="shared" si="1"/>
        <v>-16542350</v>
      </c>
      <c r="I16" s="39">
        <f t="shared" si="1"/>
        <v>-39635585.669999994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-8950787</v>
      </c>
      <c r="E19" s="66">
        <f>'ARUBA-FLSH'!M19</f>
        <v>-23395546</v>
      </c>
      <c r="F19" s="60">
        <f>ARUBA_GL!D19</f>
        <v>-8950787</v>
      </c>
      <c r="G19" s="38">
        <f>ARUBA_GL!E19</f>
        <v>-23153901.629999995</v>
      </c>
      <c r="H19" s="60">
        <f>F19-D19</f>
        <v>0</v>
      </c>
      <c r="I19" s="38">
        <f>G19-E19</f>
        <v>241644.37000000477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-615842.54</v>
      </c>
      <c r="H20" s="60">
        <f>F20-D20</f>
        <v>0</v>
      </c>
      <c r="I20" s="38">
        <f>G20-E20</f>
        <v>-615842.54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-28092979</v>
      </c>
      <c r="E21" s="66">
        <f>'ARUBA-FLSH'!M21</f>
        <v>-73058872</v>
      </c>
      <c r="F21" s="60">
        <f>ARUBA_GL!D21</f>
        <v>-11580630</v>
      </c>
      <c r="G21" s="38">
        <f>ARUBA_GL!E21</f>
        <v>-30356457</v>
      </c>
      <c r="H21" s="60">
        <f t="shared" ref="H21:I23" si="2">F21-D21</f>
        <v>16512349</v>
      </c>
      <c r="I21" s="38">
        <f t="shared" si="2"/>
        <v>42702415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290458</v>
      </c>
      <c r="E23" s="66">
        <f>'ARUBA-FLSH'!M23</f>
        <v>748647</v>
      </c>
      <c r="F23" s="60">
        <f>ARUBA_GL!D23</f>
        <v>0</v>
      </c>
      <c r="G23" s="38">
        <f>ARUBA_GL!E23</f>
        <v>0</v>
      </c>
      <c r="H23" s="60">
        <f t="shared" si="2"/>
        <v>-290458</v>
      </c>
      <c r="I23" s="38">
        <f t="shared" si="2"/>
        <v>-748647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-36753308</v>
      </c>
      <c r="E24" s="39">
        <f t="shared" si="3"/>
        <v>-95705771</v>
      </c>
      <c r="F24" s="61">
        <f t="shared" si="3"/>
        <v>-20531417</v>
      </c>
      <c r="G24" s="39">
        <f t="shared" si="3"/>
        <v>-54126201.169999994</v>
      </c>
      <c r="H24" s="61">
        <f t="shared" si="3"/>
        <v>16221891</v>
      </c>
      <c r="I24" s="39">
        <f t="shared" si="3"/>
        <v>41579569.830000006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-5809</v>
      </c>
      <c r="E49" s="66">
        <f>'ARUBA-FLSH'!M49</f>
        <v>-15213.289464971507</v>
      </c>
      <c r="F49" s="60">
        <f>ARUBA_GL!D49</f>
        <v>314650</v>
      </c>
      <c r="G49" s="38">
        <f>ARUBA_GL!E49</f>
        <v>824068.35000000009</v>
      </c>
      <c r="H49" s="60">
        <f>F49-D49</f>
        <v>320459</v>
      </c>
      <c r="I49" s="38">
        <f>G49-E49</f>
        <v>839281.63946497161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-290458</v>
      </c>
      <c r="E51" s="66">
        <f>'ARUBA-FLSH'!M51</f>
        <v>-748647</v>
      </c>
      <c r="F51" s="60">
        <f>ARUBA_GL!D51</f>
        <v>0</v>
      </c>
      <c r="G51" s="38">
        <f>ARUBA_GL!E51</f>
        <v>0</v>
      </c>
      <c r="H51" s="60">
        <f>F51-D51</f>
        <v>290458</v>
      </c>
      <c r="I51" s="38">
        <f>G51-E51</f>
        <v>748647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-144172</v>
      </c>
      <c r="F54" s="60">
        <f>ARUBA_GL!D54</f>
        <v>-7935020</v>
      </c>
      <c r="G54" s="38">
        <f>ARUBA_GL!E54</f>
        <v>-147725.70000000001</v>
      </c>
      <c r="H54" s="60">
        <f>F54-D54</f>
        <v>-7935020</v>
      </c>
      <c r="I54" s="38">
        <f>G54-E54</f>
        <v>-3553.7000000000116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-3438022.3600000003</v>
      </c>
      <c r="H55" s="60">
        <f>F55-D55</f>
        <v>0</v>
      </c>
      <c r="I55" s="38">
        <f>G55-E55</f>
        <v>-3438022.3600000003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-144172</v>
      </c>
      <c r="F56" s="61">
        <f t="shared" si="10"/>
        <v>-7935020</v>
      </c>
      <c r="G56" s="39">
        <f t="shared" si="10"/>
        <v>-3585748.0600000005</v>
      </c>
      <c r="H56" s="61">
        <f t="shared" si="10"/>
        <v>-7935020</v>
      </c>
      <c r="I56" s="39">
        <f t="shared" si="10"/>
        <v>-3441576.0600000005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8290600.942900002</v>
      </c>
      <c r="F70" s="60">
        <f>ARUBA_GL!D70</f>
        <v>0</v>
      </c>
      <c r="G70" s="38">
        <f>ARUBA_GL!E70</f>
        <v>8290601</v>
      </c>
      <c r="H70" s="60">
        <f>F70-D70</f>
        <v>0</v>
      </c>
      <c r="I70" s="38">
        <f>G70-E70</f>
        <v>5.7099997997283936E-2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-12262546</v>
      </c>
      <c r="F71" s="60">
        <f>ARUBA_GL!D71</f>
        <v>0</v>
      </c>
      <c r="G71" s="38">
        <f>ARUBA_GL!E71</f>
        <v>-12261468.49</v>
      </c>
      <c r="H71" s="60">
        <f>F71-D71</f>
        <v>0</v>
      </c>
      <c r="I71" s="38">
        <f>G71-E71</f>
        <v>1077.5099999997765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-3971945.057099998</v>
      </c>
      <c r="F72" s="69">
        <f t="shared" si="13"/>
        <v>0</v>
      </c>
      <c r="G72" s="70">
        <f t="shared" si="13"/>
        <v>-3970867.49</v>
      </c>
      <c r="H72" s="69">
        <f t="shared" si="13"/>
        <v>0</v>
      </c>
      <c r="I72" s="70">
        <f t="shared" si="13"/>
        <v>1077.5670999977738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3159746.0570999999</v>
      </c>
      <c r="F74" s="60">
        <f>ARUBA_GL!D74</f>
        <v>0</v>
      </c>
      <c r="G74" s="38">
        <f>ARUBA_GL!E74</f>
        <v>803886.97</v>
      </c>
      <c r="H74" s="60">
        <f t="shared" ref="H74:I79" si="14">F74-D74</f>
        <v>0</v>
      </c>
      <c r="I74" s="38">
        <f t="shared" si="14"/>
        <v>-2355859.0871000001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46882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-46882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-348185.28946497152</v>
      </c>
      <c r="F82" s="71">
        <f>F16+F24+F29+F36+F43+F45+F47+F49</f>
        <v>0</v>
      </c>
      <c r="G82" s="72">
        <f>SUM(G72:G81)+G16+G24+G29+G36+G43+G45+G47+G49+G51+G56+G61+G66</f>
        <v>-2659512.0699999924</v>
      </c>
      <c r="H82" s="71">
        <f>H16+H24+H29+H36+H43+H45+H47+H49</f>
        <v>0</v>
      </c>
      <c r="I82" s="72">
        <f>SUM(I72:I81)+I16+I24+I29+I36+I43+I45+I47+I49+I51+I56+I61+I66</f>
        <v>-2311326.7805350209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179966793</v>
      </c>
      <c r="E11" s="66">
        <f>'EAST-EGM-FLSH'!M11</f>
        <v>512032518.36309409</v>
      </c>
      <c r="F11" s="60">
        <f>'EAST-EGM-GL'!D11</f>
        <v>172327687</v>
      </c>
      <c r="G11" s="38">
        <f>'EAST-EGM-GL'!E11</f>
        <v>489183922.90999997</v>
      </c>
      <c r="H11" s="60">
        <f>F11-D11</f>
        <v>-7639106</v>
      </c>
      <c r="I11" s="38">
        <f>G11-E11</f>
        <v>-22848595.453094125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10305140.880000001</v>
      </c>
      <c r="H12" s="60">
        <f>F12-D12</f>
        <v>0</v>
      </c>
      <c r="I12" s="38">
        <f>G12-E12</f>
        <v>10305140.880000001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59448522</v>
      </c>
      <c r="E13" s="66">
        <f>'EAST-EGM-FLSH'!M13</f>
        <v>164486618</v>
      </c>
      <c r="F13" s="60">
        <f>'EAST-EGM-GL'!D13</f>
        <v>9980860</v>
      </c>
      <c r="G13" s="38">
        <f>'EAST-EGM-GL'!E13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-464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239415315</v>
      </c>
      <c r="E16" s="39">
        <f t="shared" si="1"/>
        <v>676518672.36309409</v>
      </c>
      <c r="F16" s="61">
        <f t="shared" si="1"/>
        <v>182308547</v>
      </c>
      <c r="G16" s="39">
        <f t="shared" si="1"/>
        <v>532468886.15999997</v>
      </c>
      <c r="H16" s="61">
        <f t="shared" si="1"/>
        <v>-57106768</v>
      </c>
      <c r="I16" s="39">
        <f t="shared" si="1"/>
        <v>-144049786.20309412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-175816045</v>
      </c>
      <c r="E19" s="66">
        <f>'EAST-EGM-FLSH'!M19</f>
        <v>-489912407</v>
      </c>
      <c r="F19" s="60">
        <f>'EAST-EGM-GL'!D19</f>
        <v>-171131367</v>
      </c>
      <c r="G19" s="38">
        <f>'EAST-EGM-GL'!E19</f>
        <v>-467175363.66000003</v>
      </c>
      <c r="H19" s="60">
        <f>F19-D19</f>
        <v>4684678</v>
      </c>
      <c r="I19" s="38">
        <f>G19-E19</f>
        <v>22737043.339999974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-17309576.34</v>
      </c>
      <c r="H20" s="60">
        <f>F20-D20</f>
        <v>0</v>
      </c>
      <c r="I20" s="38">
        <f>G20-E20</f>
        <v>-17309576.34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-65865685</v>
      </c>
      <c r="E21" s="66">
        <f>'EAST-EGM-FLSH'!M21</f>
        <v>-186824785</v>
      </c>
      <c r="F21" s="60">
        <f>'EAST-EGM-GL'!D21</f>
        <v>-13998960</v>
      </c>
      <c r="G21" s="38">
        <f>'EAST-EGM-GL'!E21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699964</v>
      </c>
      <c r="E23" s="66">
        <f>'EAST-EGM-FLSH'!M23</f>
        <v>1882599</v>
      </c>
      <c r="F23" s="60">
        <f>'EAST-EGM-GL'!D23</f>
        <v>1346960</v>
      </c>
      <c r="G23" s="38">
        <f>'EAST-EGM-GL'!E23</f>
        <v>3616587.5999999996</v>
      </c>
      <c r="H23" s="60">
        <f t="shared" si="2"/>
        <v>646996</v>
      </c>
      <c r="I23" s="38">
        <f t="shared" si="2"/>
        <v>1733988.5999999996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-240981766</v>
      </c>
      <c r="E24" s="39">
        <f t="shared" si="3"/>
        <v>-674854593</v>
      </c>
      <c r="F24" s="61">
        <f t="shared" si="3"/>
        <v>-183783367</v>
      </c>
      <c r="G24" s="39">
        <f t="shared" si="3"/>
        <v>-524360094.39999998</v>
      </c>
      <c r="H24" s="61">
        <f t="shared" si="3"/>
        <v>57198399</v>
      </c>
      <c r="I24" s="39">
        <f t="shared" si="3"/>
        <v>150494498.59999996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12965197</v>
      </c>
      <c r="G27" s="38">
        <f>'EAST-EGM-GL'!E27</f>
        <v>34543121.990000002</v>
      </c>
      <c r="H27" s="60">
        <f>F27-D27</f>
        <v>12965197</v>
      </c>
      <c r="I27" s="38">
        <f>G27-E27</f>
        <v>34543121.990000002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-8407982</v>
      </c>
      <c r="G28" s="38">
        <f>'EAST-EGM-GL'!E28</f>
        <v>-22098187.710000001</v>
      </c>
      <c r="H28" s="60">
        <f>F28-D28</f>
        <v>-8407982</v>
      </c>
      <c r="I28" s="38">
        <f>G28-E28</f>
        <v>-22098187.710000001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4557215</v>
      </c>
      <c r="G29" s="70">
        <f t="shared" si="4"/>
        <v>12444934.280000001</v>
      </c>
      <c r="H29" s="69">
        <f t="shared" si="4"/>
        <v>4557215</v>
      </c>
      <c r="I29" s="70">
        <f t="shared" si="4"/>
        <v>12444934.280000001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7715</v>
      </c>
      <c r="E32" s="66">
        <f>'EAST-EGM-FLSH'!M32</f>
        <v>21673</v>
      </c>
      <c r="F32" s="60">
        <f>'EAST-EGM-GL'!D32</f>
        <v>-1955288</v>
      </c>
      <c r="G32" s="38">
        <f>'EAST-EGM-GL'!E32</f>
        <v>-5249948.2800000012</v>
      </c>
      <c r="H32" s="60">
        <f>F32-D32</f>
        <v>-1963003</v>
      </c>
      <c r="I32" s="38">
        <f>G32-E32</f>
        <v>-5271621.2800000012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1074878</v>
      </c>
      <c r="E33" s="66">
        <f>'EAST-EGM-FLSH'!M33</f>
        <v>2684870</v>
      </c>
      <c r="F33" s="60">
        <f>'EAST-EGM-GL'!D33</f>
        <v>-2924642</v>
      </c>
      <c r="G33" s="38">
        <f>'EAST-EGM-GL'!E33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-715382</v>
      </c>
      <c r="E34" s="66">
        <f>'EAST-EGM-FLSH'!M34</f>
        <v>-1813230</v>
      </c>
      <c r="F34" s="60">
        <f>'EAST-EGM-GL'!D34</f>
        <v>3260404</v>
      </c>
      <c r="G34" s="38">
        <f>'EAST-EGM-GL'!E34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-673965</v>
      </c>
      <c r="E35" s="66">
        <f>'EAST-EGM-FLSH'!M35</f>
        <v>-1072809</v>
      </c>
      <c r="F35" s="60">
        <f>'EAST-EGM-GL'!D35</f>
        <v>0</v>
      </c>
      <c r="G35" s="38">
        <f>'EAST-EGM-GL'!E35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-1619526</v>
      </c>
      <c r="G36" s="39">
        <f t="shared" si="6"/>
        <v>-4396171.120000001</v>
      </c>
      <c r="H36" s="61">
        <f t="shared" si="6"/>
        <v>-1312772</v>
      </c>
      <c r="I36" s="39">
        <f t="shared" si="6"/>
        <v>-4216675.120000001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755678</v>
      </c>
      <c r="E39" s="66">
        <f>'EAST-EGM-FLSH'!M39</f>
        <v>1971756</v>
      </c>
      <c r="F39" s="60">
        <f>'EAST-EGM-GL'!D39</f>
        <v>2514</v>
      </c>
      <c r="G39" s="38">
        <f>'EAST-EGM-GL'!E39</f>
        <v>6750.09</v>
      </c>
      <c r="H39" s="60">
        <f t="shared" ref="H39:I41" si="7">F39-D39</f>
        <v>-753164</v>
      </c>
      <c r="I39" s="38">
        <f t="shared" si="7"/>
        <v>-1965005.91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-1883830</v>
      </c>
      <c r="E40" s="66">
        <f>'EAST-EGM-FLSH'!M40</f>
        <v>-5156650</v>
      </c>
      <c r="F40" s="60">
        <f>'EAST-EGM-GL'!D40</f>
        <v>-550347</v>
      </c>
      <c r="G40" s="38">
        <f>'EAST-EGM-GL'!E40</f>
        <v>-888797.0399999998</v>
      </c>
      <c r="H40" s="60">
        <f t="shared" si="7"/>
        <v>1333483</v>
      </c>
      <c r="I40" s="38">
        <f t="shared" si="7"/>
        <v>4267852.96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-1883830</v>
      </c>
      <c r="E42" s="70">
        <f t="shared" si="8"/>
        <v>-5156650</v>
      </c>
      <c r="F42" s="69">
        <f t="shared" si="8"/>
        <v>-550347</v>
      </c>
      <c r="G42" s="70">
        <f t="shared" si="8"/>
        <v>-888797.0399999998</v>
      </c>
      <c r="H42" s="69">
        <f t="shared" si="8"/>
        <v>1333483</v>
      </c>
      <c r="I42" s="70">
        <f t="shared" si="8"/>
        <v>4267852.96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-1128152</v>
      </c>
      <c r="E43" s="39">
        <f t="shared" si="9"/>
        <v>-3184894</v>
      </c>
      <c r="F43" s="61">
        <f t="shared" si="9"/>
        <v>-547833</v>
      </c>
      <c r="G43" s="39">
        <f t="shared" si="9"/>
        <v>-882046.94999999984</v>
      </c>
      <c r="H43" s="61">
        <f t="shared" si="9"/>
        <v>580319</v>
      </c>
      <c r="I43" s="39">
        <f t="shared" si="9"/>
        <v>2302847.0499999998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3061357</v>
      </c>
      <c r="E49" s="66">
        <f>'EAST-EGM-FLSH'!M49</f>
        <v>8033244.6936061457</v>
      </c>
      <c r="F49" s="60">
        <f>'EAST-EGM-GL'!D49</f>
        <v>-915036</v>
      </c>
      <c r="G49" s="38">
        <f>'EAST-EGM-GL'!E49</f>
        <v>-2456871.6599999992</v>
      </c>
      <c r="H49" s="60">
        <f>F49-D49</f>
        <v>-3976393</v>
      </c>
      <c r="I49" s="38">
        <f>G49-E49</f>
        <v>-10490116.353606146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-699964</v>
      </c>
      <c r="E51" s="66">
        <f>'EAST-EGM-FLSH'!M51</f>
        <v>-1882599</v>
      </c>
      <c r="F51" s="60">
        <f>'EAST-EGM-GL'!D51</f>
        <v>-1346960</v>
      </c>
      <c r="G51" s="38">
        <f>'EAST-EGM-GL'!E51</f>
        <v>-3616587.5999999996</v>
      </c>
      <c r="H51" s="60">
        <f>F51-D51</f>
        <v>-646996</v>
      </c>
      <c r="I51" s="38">
        <f>G51-E51</f>
        <v>-1733988.5999999996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-1589098</v>
      </c>
      <c r="F54" s="60">
        <f>'EAST-EGM-GL'!D54</f>
        <v>-124389104</v>
      </c>
      <c r="G54" s="38">
        <f>'EAST-EGM-GL'!E54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-1289833</v>
      </c>
      <c r="F55" s="60">
        <f>'EAST-EGM-GL'!D55</f>
        <v>0</v>
      </c>
      <c r="G55" s="38">
        <f>'EAST-EGM-GL'!E55</f>
        <v>-7717241.7199999997</v>
      </c>
      <c r="H55" s="60">
        <f>F55-D55</f>
        <v>0</v>
      </c>
      <c r="I55" s="38">
        <f>G55-E55</f>
        <v>-6427408.7199999997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-124389104</v>
      </c>
      <c r="G56" s="39">
        <f t="shared" si="10"/>
        <v>-9583465.3900000006</v>
      </c>
      <c r="H56" s="61">
        <f t="shared" si="10"/>
        <v>-124389104</v>
      </c>
      <c r="I56" s="39">
        <f t="shared" si="10"/>
        <v>-6704534.3899999997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61434.31</v>
      </c>
      <c r="H59" s="60">
        <f>F59-D59</f>
        <v>0</v>
      </c>
      <c r="I59" s="38">
        <f>G59-E59</f>
        <v>61434.31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61434.31</v>
      </c>
      <c r="H61" s="69">
        <f t="shared" si="11"/>
        <v>0</v>
      </c>
      <c r="I61" s="70">
        <f t="shared" si="11"/>
        <v>143961.31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29080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-29080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-29080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563222.05070000049</v>
      </c>
      <c r="F70" s="60">
        <f>'EAST-EGM-GL'!D70</f>
        <v>0</v>
      </c>
      <c r="G70" s="38">
        <f>'EAST-EGM-GL'!E70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-12755359.895</v>
      </c>
      <c r="F71" s="60">
        <f>'EAST-EGM-GL'!D71</f>
        <v>0</v>
      </c>
      <c r="G71" s="38">
        <f>'EAST-EGM-GL'!E71</f>
        <v>-13133657.73</v>
      </c>
      <c r="H71" s="60">
        <f>F71-D71</f>
        <v>0</v>
      </c>
      <c r="I71" s="38">
        <f>G71-E71</f>
        <v>-378297.83500000089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4006930.7836999996</v>
      </c>
      <c r="F74" s="60">
        <f>'EAST-EGM-GL'!D74</f>
        <v>0</v>
      </c>
      <c r="G74" s="38">
        <f>'EAST-EGM-GL'!E74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9351</v>
      </c>
      <c r="F75" s="60">
        <f>'EAST-EGM-GL'!D75</f>
        <v>0</v>
      </c>
      <c r="G75" s="38">
        <f>'EAST-EGM-GL'!E75</f>
        <v>9400</v>
      </c>
      <c r="H75" s="60">
        <f t="shared" si="14"/>
        <v>0</v>
      </c>
      <c r="I75" s="38">
        <f t="shared" si="14"/>
        <v>49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-16608</v>
      </c>
      <c r="F76" s="60">
        <f>'EAST-EGM-GL'!D76</f>
        <v>0</v>
      </c>
      <c r="G76" s="38">
        <f>'EAST-EGM-GL'!E76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-16809</v>
      </c>
      <c r="F77" s="60">
        <f>'EAST-EGM-GL'!D77</f>
        <v>0</v>
      </c>
      <c r="G77" s="38">
        <f>'EAST-EGM-GL'!E77</f>
        <v>-2906000</v>
      </c>
      <c r="H77" s="60">
        <f t="shared" si="14"/>
        <v>0</v>
      </c>
      <c r="I77" s="38">
        <f t="shared" si="14"/>
        <v>-2889191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307947</v>
      </c>
      <c r="F81" s="60">
        <f>'EAST-EGM-GL'!D81</f>
        <v>0</v>
      </c>
      <c r="G81" s="38">
        <f>'EAST-EGM-GL'!E81</f>
        <v>0.39000000001396984</v>
      </c>
      <c r="H81" s="60">
        <f>F81-D81</f>
        <v>0</v>
      </c>
      <c r="I81" s="38">
        <f>G81-E81</f>
        <v>-307946.61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-6360427.24889981</v>
      </c>
      <c r="F82" s="71">
        <f>F16+F24+F29+F36+F43+F45+F47+F49</f>
        <v>0</v>
      </c>
      <c r="G82" s="72">
        <f>SUM(G72:G81)+G16+G24+G29+G36+G43+G45+G47+G49+G51+G56+G61+G66</f>
        <v>-11499874.480000023</v>
      </c>
      <c r="H82" s="71">
        <f>H16+H24+H29+H36+H43+H45+H47+H49</f>
        <v>-60000</v>
      </c>
      <c r="I82" s="72">
        <f>SUM(I72:I81)+I16+I24+I29+I36+I43+I45+I47+I49+I51+I56+I61+I66</f>
        <v>-5139447.2311003022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344137</v>
      </c>
      <c r="H89" s="160">
        <f t="shared" si="16"/>
        <v>0</v>
      </c>
      <c r="I89" s="160">
        <f t="shared" si="16"/>
        <v>0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60000</v>
      </c>
      <c r="E91" s="160">
        <f t="shared" si="17"/>
        <v>-6016290.24889981</v>
      </c>
      <c r="F91" s="160">
        <f t="shared" si="17"/>
        <v>0</v>
      </c>
      <c r="G91" s="160">
        <f t="shared" si="17"/>
        <v>-11155737.480000023</v>
      </c>
      <c r="H91" s="160">
        <f t="shared" si="17"/>
        <v>-60000</v>
      </c>
      <c r="I91" s="160">
        <f t="shared" si="17"/>
        <v>-5139447.2311003022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16180985</v>
      </c>
      <c r="E11" s="66">
        <f>'EAST-LRC-FLSH'!M11</f>
        <v>42909911.636905923</v>
      </c>
      <c r="F11" s="60">
        <f>'EAST-LRC-GL'!D11</f>
        <v>8356050</v>
      </c>
      <c r="G11" s="38">
        <f>'EAST-LRC-GL'!E11</f>
        <v>21985735.009999998</v>
      </c>
      <c r="H11" s="60">
        <f>F11-D11</f>
        <v>-7824935</v>
      </c>
      <c r="I11" s="38">
        <f>G11-E11</f>
        <v>-20924176.626905926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-63207.21</v>
      </c>
      <c r="H12" s="60">
        <f>F12-D12</f>
        <v>0</v>
      </c>
      <c r="I12" s="38">
        <f>G12-E12</f>
        <v>-63207.21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16180985</v>
      </c>
      <c r="E16" s="39">
        <f t="shared" si="1"/>
        <v>42909911.636905923</v>
      </c>
      <c r="F16" s="61">
        <f t="shared" si="1"/>
        <v>8356050</v>
      </c>
      <c r="G16" s="39">
        <f t="shared" si="1"/>
        <v>21922527.799999997</v>
      </c>
      <c r="H16" s="61">
        <f t="shared" si="1"/>
        <v>-7824935</v>
      </c>
      <c r="I16" s="39">
        <f t="shared" si="1"/>
        <v>-20987383.836905926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-15423881</v>
      </c>
      <c r="E19" s="66">
        <f>'EAST-LRC-FLSH'!M19</f>
        <v>-40633352</v>
      </c>
      <c r="F19" s="60">
        <f>'EAST-LRC-GL'!D19</f>
        <v>-2665068</v>
      </c>
      <c r="G19" s="38">
        <f>'EAST-LRC-GL'!E19</f>
        <v>-6900732</v>
      </c>
      <c r="H19" s="60">
        <f>F19-D19</f>
        <v>12758813</v>
      </c>
      <c r="I19" s="38">
        <f>G19-E19</f>
        <v>33732620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47672</v>
      </c>
      <c r="G23" s="38">
        <f>'EAST-LRC-GL'!E23</f>
        <v>126658.91</v>
      </c>
      <c r="H23" s="60">
        <f t="shared" si="2"/>
        <v>47672</v>
      </c>
      <c r="I23" s="38">
        <f t="shared" si="2"/>
        <v>126658.91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-15423881</v>
      </c>
      <c r="E24" s="39">
        <f t="shared" si="3"/>
        <v>-40633352</v>
      </c>
      <c r="F24" s="61">
        <f t="shared" si="3"/>
        <v>-2617396</v>
      </c>
      <c r="G24" s="39">
        <f t="shared" si="3"/>
        <v>-6774073.0899999999</v>
      </c>
      <c r="H24" s="61">
        <f t="shared" si="3"/>
        <v>12806485</v>
      </c>
      <c r="I24" s="39">
        <f t="shared" si="3"/>
        <v>33859278.909999996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6232972</v>
      </c>
      <c r="G27" s="38">
        <f>'EAST-LRC-GL'!E27</f>
        <v>16496752.609999998</v>
      </c>
      <c r="H27" s="60">
        <f>F27-D27</f>
        <v>6232972</v>
      </c>
      <c r="I27" s="38">
        <f>G27-E27</f>
        <v>16496752.609999998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-13751018</v>
      </c>
      <c r="G28" s="38">
        <f>'EAST-LRC-GL'!E28</f>
        <v>-36603329.050000004</v>
      </c>
      <c r="H28" s="60">
        <f>F28-D28</f>
        <v>-13751018</v>
      </c>
      <c r="I28" s="38">
        <f>G28-E28</f>
        <v>-36603329.050000004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-7518046</v>
      </c>
      <c r="G29" s="70">
        <f t="shared" si="4"/>
        <v>-20106576.440000005</v>
      </c>
      <c r="H29" s="69">
        <f t="shared" si="4"/>
        <v>-7518046</v>
      </c>
      <c r="I29" s="70">
        <f t="shared" si="4"/>
        <v>-20106576.440000005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561145</v>
      </c>
      <c r="G32" s="38">
        <f>'EAST-LRC-GL'!E32</f>
        <v>1506674.325</v>
      </c>
      <c r="H32" s="60">
        <f>F32-D32</f>
        <v>561145</v>
      </c>
      <c r="I32" s="38">
        <f>G32-E32</f>
        <v>1506674.325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561145</v>
      </c>
      <c r="G36" s="39">
        <f t="shared" si="6"/>
        <v>1506674.325</v>
      </c>
      <c r="H36" s="61">
        <f t="shared" si="6"/>
        <v>561145</v>
      </c>
      <c r="I36" s="39">
        <f t="shared" si="6"/>
        <v>1506674.325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1524299</v>
      </c>
      <c r="E39" s="66">
        <f>'EAST-LRC-FLSH'!M39</f>
        <v>3978419</v>
      </c>
      <c r="F39" s="60">
        <f>'EAST-LRC-GL'!D39</f>
        <v>1865312</v>
      </c>
      <c r="G39" s="38">
        <f>'EAST-LRC-GL'!E39</f>
        <v>4868464.32</v>
      </c>
      <c r="H39" s="60">
        <f t="shared" ref="H39:I41" si="7">F39-D39</f>
        <v>341013</v>
      </c>
      <c r="I39" s="38">
        <f t="shared" si="7"/>
        <v>890045.3200000003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-309033</v>
      </c>
      <c r="E40" s="66">
        <f>'EAST-LRC-FLSH'!M40</f>
        <v>-806575</v>
      </c>
      <c r="F40" s="60">
        <f>'EAST-LRC-GL'!D40</f>
        <v>-729073</v>
      </c>
      <c r="G40" s="38">
        <f>'EAST-LRC-GL'!E40</f>
        <v>-1902880.53</v>
      </c>
      <c r="H40" s="60">
        <f t="shared" si="7"/>
        <v>-420040</v>
      </c>
      <c r="I40" s="38">
        <f t="shared" si="7"/>
        <v>-1096305.53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-309033</v>
      </c>
      <c r="E42" s="70">
        <f t="shared" si="8"/>
        <v>-806575</v>
      </c>
      <c r="F42" s="69">
        <f t="shared" si="8"/>
        <v>-729073</v>
      </c>
      <c r="G42" s="70">
        <f t="shared" si="8"/>
        <v>-1902880.53</v>
      </c>
      <c r="H42" s="69">
        <f t="shared" si="8"/>
        <v>-420040</v>
      </c>
      <c r="I42" s="70">
        <f t="shared" si="8"/>
        <v>-1096305.53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1215266</v>
      </c>
      <c r="E43" s="39">
        <f t="shared" si="9"/>
        <v>3171844</v>
      </c>
      <c r="F43" s="61">
        <f t="shared" si="9"/>
        <v>1136239</v>
      </c>
      <c r="G43" s="39">
        <f t="shared" si="9"/>
        <v>2965583.79</v>
      </c>
      <c r="H43" s="61">
        <f t="shared" si="9"/>
        <v>-79027</v>
      </c>
      <c r="I43" s="39">
        <f t="shared" si="9"/>
        <v>-206260.20999999973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-12629</v>
      </c>
      <c r="G45" s="38">
        <f>'EAST-LRC-GL'!E45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-2032370</v>
      </c>
      <c r="E49" s="66">
        <f>'EAST-LRC-FLSH'!M49</f>
        <v>-5270414.598606145</v>
      </c>
      <c r="F49" s="60">
        <f>'EAST-LRC-GL'!D49</f>
        <v>94637</v>
      </c>
      <c r="G49" s="38">
        <f>'EAST-LRC-GL'!E49</f>
        <v>254100.34499999994</v>
      </c>
      <c r="H49" s="60">
        <f>F49-D49</f>
        <v>2127007</v>
      </c>
      <c r="I49" s="38">
        <f>G49-E49</f>
        <v>5524514.9436061447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-5444</v>
      </c>
      <c r="G51" s="38">
        <f>'EAST-LRC-GL'!E51</f>
        <v>-141388.91</v>
      </c>
      <c r="H51" s="60">
        <f>F51-D51</f>
        <v>-5444</v>
      </c>
      <c r="I51" s="38">
        <f>G51-E51</f>
        <v>-141388.91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430510</v>
      </c>
      <c r="G55" s="38">
        <f>'EAST-LRC-GL'!E55</f>
        <v>170000</v>
      </c>
      <c r="H55" s="60">
        <f>F55-D55</f>
        <v>430510</v>
      </c>
      <c r="I55" s="38">
        <f>G55-E55</f>
        <v>170000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430510</v>
      </c>
      <c r="G56" s="39">
        <f t="shared" si="10"/>
        <v>170000</v>
      </c>
      <c r="H56" s="61">
        <f t="shared" si="10"/>
        <v>430510</v>
      </c>
      <c r="I56" s="39">
        <f t="shared" si="10"/>
        <v>170000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4088787</v>
      </c>
      <c r="G59" s="38">
        <f>'EAST-LRC-GL'!E59</f>
        <v>36712.050000000003</v>
      </c>
      <c r="H59" s="60">
        <f>F59-D59</f>
        <v>4088787</v>
      </c>
      <c r="I59" s="38">
        <f>G59-E59</f>
        <v>36712.050000000003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-82527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4088787</v>
      </c>
      <c r="G61" s="70">
        <f t="shared" si="11"/>
        <v>36712.050000000003</v>
      </c>
      <c r="H61" s="69">
        <f t="shared" si="11"/>
        <v>4088787</v>
      </c>
      <c r="I61" s="70">
        <f t="shared" si="11"/>
        <v>-45814.95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-24721057</v>
      </c>
      <c r="G64" s="38">
        <f>'EAST-LRC-GL'!E64</f>
        <v>-2900191.0199999996</v>
      </c>
      <c r="H64" s="60">
        <f>F64-D64</f>
        <v>-24721057</v>
      </c>
      <c r="I64" s="38">
        <f>G64-E64</f>
        <v>-2900191.0199999996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24545093</v>
      </c>
      <c r="G65" s="38">
        <f>'EAST-LRC-GL'!E65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-316.06999999983236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-3636483.9617002215</v>
      </c>
      <c r="F82" s="71">
        <f>F16+F24+F29+F36+F43+F45+F47+F49</f>
        <v>0</v>
      </c>
      <c r="G82" s="72">
        <f>SUM(G72:G81)+G16+G24+G29+G36+G43+G45+G47+G49+G51+G56+G61+G66</f>
        <v>-188344.48000000761</v>
      </c>
      <c r="H82" s="71">
        <f>H16+H24+H29+H36+H43+H45+H47+H49</f>
        <v>60000</v>
      </c>
      <c r="I82" s="72">
        <f>SUM(I72:I81)+I16+I24+I29+I36+I43+I45+I47+I49+I51+I56+I61+I66</f>
        <v>3448139.4817002094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196147778</v>
      </c>
      <c r="E11" s="66">
        <f>'EAST-CON-FLSH'!M11</f>
        <v>554942430</v>
      </c>
      <c r="F11" s="60">
        <f>'EAST-CON-GL '!D11</f>
        <v>180683737</v>
      </c>
      <c r="G11" s="38">
        <f>'EAST-CON-GL '!E11</f>
        <v>511169657.91999996</v>
      </c>
      <c r="H11" s="60">
        <f>F11-D11</f>
        <v>-15464041</v>
      </c>
      <c r="I11" s="38">
        <f>G11-E11</f>
        <v>-43772772.080000043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10241933.67</v>
      </c>
      <c r="H12" s="60">
        <f>F12-D12</f>
        <v>0</v>
      </c>
      <c r="I12" s="38">
        <f>G12-E12</f>
        <v>10241933.67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59448522</v>
      </c>
      <c r="E13" s="66">
        <f>'EAST-CON-FLSH'!M13</f>
        <v>164486618</v>
      </c>
      <c r="F13" s="60">
        <f>'EAST-CON-GL '!D13</f>
        <v>9980860</v>
      </c>
      <c r="G13" s="38">
        <f>'EAST-CON-GL 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-464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255596300</v>
      </c>
      <c r="E16" s="39">
        <f t="shared" si="1"/>
        <v>719428584</v>
      </c>
      <c r="F16" s="61">
        <f t="shared" si="1"/>
        <v>190664597</v>
      </c>
      <c r="G16" s="39">
        <f t="shared" si="1"/>
        <v>554391413.95999992</v>
      </c>
      <c r="H16" s="61">
        <f t="shared" si="1"/>
        <v>-64931703</v>
      </c>
      <c r="I16" s="39">
        <f t="shared" si="1"/>
        <v>-165037170.04000002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-191239926</v>
      </c>
      <c r="E19" s="66">
        <f>'EAST-CON-FLSH'!M19</f>
        <v>-530545759</v>
      </c>
      <c r="F19" s="60">
        <f>'EAST-CON-GL '!D19</f>
        <v>-173796435</v>
      </c>
      <c r="G19" s="38">
        <f>'EAST-CON-GL '!E19</f>
        <v>-474076095.65999997</v>
      </c>
      <c r="H19" s="60">
        <f>F19-D19</f>
        <v>17443491</v>
      </c>
      <c r="I19" s="38">
        <f>G19-E19</f>
        <v>56469663.340000033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-17309576.34</v>
      </c>
      <c r="H20" s="60">
        <f>F20-D20</f>
        <v>0</v>
      </c>
      <c r="I20" s="38">
        <f>G20-E20</f>
        <v>-17309576.34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-65865685</v>
      </c>
      <c r="E21" s="66">
        <f>'EAST-CON-FLSH'!M21</f>
        <v>-186824785</v>
      </c>
      <c r="F21" s="60">
        <f>'EAST-CON-GL '!D21</f>
        <v>-13998960</v>
      </c>
      <c r="G21" s="38">
        <f>'EAST-CON-GL 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699964</v>
      </c>
      <c r="E23" s="66">
        <f>'EAST-CON-FLSH'!M23</f>
        <v>1882599</v>
      </c>
      <c r="F23" s="60">
        <f>'EAST-CON-GL '!D23</f>
        <v>1394632</v>
      </c>
      <c r="G23" s="38">
        <f>'EAST-CON-GL '!E23</f>
        <v>3743246.51</v>
      </c>
      <c r="H23" s="60">
        <f t="shared" si="2"/>
        <v>694668</v>
      </c>
      <c r="I23" s="38">
        <f t="shared" si="2"/>
        <v>1860647.5099999998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-256405647</v>
      </c>
      <c r="E24" s="39">
        <f t="shared" si="3"/>
        <v>-715487945</v>
      </c>
      <c r="F24" s="61">
        <f t="shared" si="3"/>
        <v>-186400763</v>
      </c>
      <c r="G24" s="39">
        <f t="shared" si="3"/>
        <v>-531134167.48999995</v>
      </c>
      <c r="H24" s="61">
        <f t="shared" si="3"/>
        <v>70004884</v>
      </c>
      <c r="I24" s="39">
        <f t="shared" si="3"/>
        <v>184353777.51000002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19198169</v>
      </c>
      <c r="G27" s="38">
        <f>'EAST-CON-GL '!E27</f>
        <v>51039874.600000001</v>
      </c>
      <c r="H27" s="60">
        <f>F27-D27</f>
        <v>19198169</v>
      </c>
      <c r="I27" s="38">
        <f>G27-E27</f>
        <v>51039874.600000001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-22159000</v>
      </c>
      <c r="G28" s="38">
        <f>'EAST-CON-GL '!E28</f>
        <v>-58701516.760000005</v>
      </c>
      <c r="H28" s="60">
        <f>F28-D28</f>
        <v>-22159000</v>
      </c>
      <c r="I28" s="38">
        <f>G28-E28</f>
        <v>-58701516.760000005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-2960831</v>
      </c>
      <c r="G29" s="70">
        <f t="shared" si="4"/>
        <v>-7661642.1600000039</v>
      </c>
      <c r="H29" s="69">
        <f t="shared" si="4"/>
        <v>-2960831</v>
      </c>
      <c r="I29" s="70">
        <f t="shared" si="4"/>
        <v>-7661642.1600000039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7715</v>
      </c>
      <c r="E32" s="66">
        <f>'EAST-CON-FLSH'!M32</f>
        <v>21673</v>
      </c>
      <c r="F32" s="60">
        <f>'EAST-CON-GL '!D32</f>
        <v>-1394143</v>
      </c>
      <c r="G32" s="38">
        <f>'EAST-CON-GL '!E32</f>
        <v>-3743273.955000001</v>
      </c>
      <c r="H32" s="60">
        <f>F32-D32</f>
        <v>-1401858</v>
      </c>
      <c r="I32" s="38">
        <f>G32-E32</f>
        <v>-3764946.955000001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1074878</v>
      </c>
      <c r="E33" s="66">
        <f>'EAST-CON-FLSH'!M33</f>
        <v>2684870</v>
      </c>
      <c r="F33" s="60">
        <f>'EAST-CON-GL '!D33</f>
        <v>-2924642</v>
      </c>
      <c r="G33" s="38">
        <f>'EAST-CON-GL 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-715382</v>
      </c>
      <c r="E34" s="66">
        <f>'EAST-CON-FLSH'!M34</f>
        <v>-1813230</v>
      </c>
      <c r="F34" s="60">
        <f>'EAST-CON-GL '!D34</f>
        <v>3260404</v>
      </c>
      <c r="G34" s="38">
        <f>'EAST-CON-GL 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-673965</v>
      </c>
      <c r="E35" s="66">
        <f>'EAST-CON-FLSH'!M35</f>
        <v>-1072809</v>
      </c>
      <c r="F35" s="60">
        <f>'EAST-CON-GL '!D35</f>
        <v>0</v>
      </c>
      <c r="G35" s="38">
        <f>'EAST-CON-GL 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-1058381</v>
      </c>
      <c r="G36" s="39">
        <f t="shared" si="6"/>
        <v>-2889496.7950000013</v>
      </c>
      <c r="H36" s="61">
        <f t="shared" si="6"/>
        <v>-751627</v>
      </c>
      <c r="I36" s="39">
        <f t="shared" si="6"/>
        <v>-2710000.7950000009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2279977</v>
      </c>
      <c r="E39" s="66">
        <f>'EAST-CON-FLSH'!M39</f>
        <v>5950175</v>
      </c>
      <c r="F39" s="60">
        <f>'EAST-CON-GL '!D39</f>
        <v>1867826</v>
      </c>
      <c r="G39" s="38">
        <f>'EAST-CON-GL '!E39</f>
        <v>4875214.41</v>
      </c>
      <c r="H39" s="60">
        <f t="shared" ref="H39:I41" si="7">F39-D39</f>
        <v>-412151</v>
      </c>
      <c r="I39" s="38">
        <f t="shared" si="7"/>
        <v>-1074960.5899999999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-2192863</v>
      </c>
      <c r="E40" s="66">
        <f>'EAST-CON-FLSH'!M40</f>
        <v>-5963225</v>
      </c>
      <c r="F40" s="60">
        <f>'EAST-CON-GL '!D40</f>
        <v>-1279420</v>
      </c>
      <c r="G40" s="38">
        <f>'EAST-CON-GL '!E40</f>
        <v>-2791677.57</v>
      </c>
      <c r="H40" s="60">
        <f t="shared" si="7"/>
        <v>913443</v>
      </c>
      <c r="I40" s="38">
        <f t="shared" si="7"/>
        <v>3171547.43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-2192863</v>
      </c>
      <c r="E42" s="70">
        <f t="shared" si="8"/>
        <v>-5963225</v>
      </c>
      <c r="F42" s="69">
        <f t="shared" si="8"/>
        <v>-1279420</v>
      </c>
      <c r="G42" s="70">
        <f t="shared" si="8"/>
        <v>-2791677.57</v>
      </c>
      <c r="H42" s="69">
        <f t="shared" si="8"/>
        <v>913443</v>
      </c>
      <c r="I42" s="70">
        <f t="shared" si="8"/>
        <v>3171547.43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87114</v>
      </c>
      <c r="E43" s="39">
        <f t="shared" si="9"/>
        <v>-13050</v>
      </c>
      <c r="F43" s="61">
        <f t="shared" si="9"/>
        <v>588406</v>
      </c>
      <c r="G43" s="39">
        <f t="shared" si="9"/>
        <v>2083536.8400000003</v>
      </c>
      <c r="H43" s="61">
        <f t="shared" si="9"/>
        <v>501292</v>
      </c>
      <c r="I43" s="39">
        <f t="shared" si="9"/>
        <v>2096586.8400000003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-12629</v>
      </c>
      <c r="G45" s="38">
        <f>'EAST-CON-GL '!E45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1028987</v>
      </c>
      <c r="E49" s="66">
        <f>'EAST-CON-FLSH'!M49</f>
        <v>2762830.0950000007</v>
      </c>
      <c r="F49" s="60">
        <f>'EAST-CON-GL '!D49</f>
        <v>-820399</v>
      </c>
      <c r="G49" s="38">
        <f>'EAST-CON-GL '!E49</f>
        <v>-2202771.3149999995</v>
      </c>
      <c r="H49" s="60">
        <f>F49-D49</f>
        <v>-1849386</v>
      </c>
      <c r="I49" s="38">
        <f>G49-E49</f>
        <v>-4965601.41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-699964</v>
      </c>
      <c r="E51" s="66">
        <f>'EAST-CON-FLSH'!M51</f>
        <v>-1882599</v>
      </c>
      <c r="F51" s="60">
        <f>'EAST-CON-GL '!D51</f>
        <v>-1352404</v>
      </c>
      <c r="G51" s="38">
        <f>'EAST-CON-GL '!E51</f>
        <v>-3757976.51</v>
      </c>
      <c r="H51" s="60">
        <f>F51-D51</f>
        <v>-652440</v>
      </c>
      <c r="I51" s="38">
        <f>G51-E51</f>
        <v>-1875377.5099999998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-1589098</v>
      </c>
      <c r="F54" s="60">
        <f>'EAST-CON-GL '!D54</f>
        <v>-124389104</v>
      </c>
      <c r="G54" s="38">
        <f>'EAST-CON-GL 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-1289833</v>
      </c>
      <c r="F55" s="60">
        <f>'EAST-CON-GL '!D55</f>
        <v>430510</v>
      </c>
      <c r="G55" s="38">
        <f>'EAST-CON-GL '!E55</f>
        <v>-7547241.7199999997</v>
      </c>
      <c r="H55" s="60">
        <f>F55-D55</f>
        <v>430510</v>
      </c>
      <c r="I55" s="38">
        <f>G55-E55</f>
        <v>-6257408.7199999997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-123958594</v>
      </c>
      <c r="G56" s="39">
        <f t="shared" si="10"/>
        <v>-9413465.3900000006</v>
      </c>
      <c r="H56" s="61">
        <f t="shared" si="10"/>
        <v>-123958594</v>
      </c>
      <c r="I56" s="39">
        <f t="shared" si="10"/>
        <v>-6534534.3899999997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4088787</v>
      </c>
      <c r="G59" s="38">
        <f>'EAST-CON-GL '!E59</f>
        <v>98146.360000000015</v>
      </c>
      <c r="H59" s="60">
        <f>F59-D59</f>
        <v>4088787</v>
      </c>
      <c r="I59" s="38">
        <f>G59-E59</f>
        <v>98146.360000000015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4088787</v>
      </c>
      <c r="G61" s="70">
        <f t="shared" si="11"/>
        <v>98146.360000000015</v>
      </c>
      <c r="H61" s="69">
        <f t="shared" si="11"/>
        <v>4088787</v>
      </c>
      <c r="I61" s="70">
        <f t="shared" si="11"/>
        <v>98146.360000000015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29080</v>
      </c>
      <c r="F64" s="60">
        <f>'EAST-CON-GL '!D64</f>
        <v>-24721057</v>
      </c>
      <c r="G64" s="38">
        <f>'EAST-CON-GL '!E64</f>
        <v>-2900191.0199999996</v>
      </c>
      <c r="H64" s="60">
        <f>F64-D64</f>
        <v>-24721057</v>
      </c>
      <c r="I64" s="38">
        <f>G64-E64</f>
        <v>-2929271.0199999996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24545093</v>
      </c>
      <c r="G65" s="38">
        <f>'EAST-CON-GL 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-29396.069999999832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563222.05070000049</v>
      </c>
      <c r="F70" s="60">
        <f>'EAST-CON-GL '!D70</f>
        <v>0</v>
      </c>
      <c r="G70" s="38">
        <f>'EAST-CON-GL 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-12755359.895</v>
      </c>
      <c r="F71" s="60">
        <f>'EAST-CON-GL '!D71</f>
        <v>0</v>
      </c>
      <c r="G71" s="38">
        <f>'EAST-CON-GL '!E71</f>
        <v>-13133657.73</v>
      </c>
      <c r="H71" s="60">
        <f>F71-D71</f>
        <v>0</v>
      </c>
      <c r="I71" s="38">
        <f>G71-E71</f>
        <v>-378297.83500000089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4006930.7836999996</v>
      </c>
      <c r="F74" s="60">
        <f>'EAST-CON-GL '!D74</f>
        <v>0</v>
      </c>
      <c r="G74" s="38">
        <f>'EAST-CON-GL 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9351</v>
      </c>
      <c r="F75" s="60">
        <f>'EAST-CON-GL '!D75</f>
        <v>0</v>
      </c>
      <c r="G75" s="38">
        <f>'EAST-CON-GL '!E75</f>
        <v>9400</v>
      </c>
      <c r="H75" s="60">
        <f t="shared" si="14"/>
        <v>0</v>
      </c>
      <c r="I75" s="38">
        <f t="shared" si="14"/>
        <v>49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-16608</v>
      </c>
      <c r="F76" s="60">
        <f>'EAST-CON-GL '!D76</f>
        <v>0</v>
      </c>
      <c r="G76" s="38">
        <f>'EAST-CON-GL 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-3913809</v>
      </c>
      <c r="F77" s="60">
        <f>'EAST-CON-GL '!D77</f>
        <v>0</v>
      </c>
      <c r="G77" s="38">
        <f>'EAST-CON-GL '!E77</f>
        <v>-2906000</v>
      </c>
      <c r="H77" s="60">
        <f t="shared" si="14"/>
        <v>0</v>
      </c>
      <c r="I77" s="38">
        <f t="shared" si="14"/>
        <v>1007809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307947</v>
      </c>
      <c r="F81" s="60">
        <f>'EAST-CON-GL '!D81</f>
        <v>0</v>
      </c>
      <c r="G81" s="38">
        <f>'EAST-CON-GL '!E81</f>
        <v>0.39000000001396984</v>
      </c>
      <c r="H81" s="60">
        <f>F81-D81</f>
        <v>0</v>
      </c>
      <c r="I81" s="38">
        <f>G81-E81</f>
        <v>-307946.61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-9996911.2106000464</v>
      </c>
      <c r="F82" s="109">
        <f>F16+F24+F29+F36+F43+F45+F47+F49</f>
        <v>0</v>
      </c>
      <c r="G82" s="110">
        <f>SUM(G72:G81)+G16+G24+G29+G36+G43+G45+G47+G49+G51+G56+G61+G66</f>
        <v>-11688218.960000051</v>
      </c>
      <c r="H82" s="109">
        <f>H16+H24+H29+H36+H43+H45+H47+H49</f>
        <v>0</v>
      </c>
      <c r="I82" s="110">
        <f>SUM(I72:I81)+I16+I24+I29+I36+I43+I45+I47+I49+I51+I56+I61+I66</f>
        <v>-1691307.7494000026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-9652774.2106000464</v>
      </c>
      <c r="F91" s="160">
        <f t="shared" si="17"/>
        <v>0</v>
      </c>
      <c r="G91" s="160">
        <f t="shared" si="17"/>
        <v>-11344081.960000051</v>
      </c>
      <c r="H91" s="160">
        <f t="shared" si="17"/>
        <v>0</v>
      </c>
      <c r="I91" s="160">
        <f t="shared" si="17"/>
        <v>-1691307.7494000026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-9652774.2106000315</v>
      </c>
      <c r="G94" s="14">
        <f>+'EAST-EGM-VAR'!G91+'EAST-LRC-VAR'!G82</f>
        <v>-11344081.960000031</v>
      </c>
      <c r="I94" s="14">
        <f>+'EAST-EGM-VAR'!I91+'EAST-LRC-VAR'!I82</f>
        <v>-1691307.7494000928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14875827</v>
      </c>
      <c r="E11" s="66">
        <f>'TX-EGM-FLSH'!M11</f>
        <v>38681757.205999993</v>
      </c>
      <c r="F11" s="60">
        <f>'TX-EGM-GL'!D11</f>
        <v>14778972</v>
      </c>
      <c r="G11" s="38">
        <f>'TX-EGM-GL'!E11</f>
        <v>40523363.210000008</v>
      </c>
      <c r="H11" s="60">
        <f>F11-D11</f>
        <v>-96855</v>
      </c>
      <c r="I11" s="38">
        <f>G11-E11</f>
        <v>1841606.0040000156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-3624181.05</v>
      </c>
      <c r="H12" s="60">
        <f>F12-D12</f>
        <v>0</v>
      </c>
      <c r="I12" s="38">
        <f>G12-E12</f>
        <v>-3624181.05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953548</v>
      </c>
      <c r="E13" s="66">
        <f>'TX-EGM-FLSH'!M13</f>
        <v>2424892.9139999999</v>
      </c>
      <c r="F13" s="60">
        <f>'TX-EGM-GL'!D13</f>
        <v>953548</v>
      </c>
      <c r="G13" s="38">
        <f>'TX-EGM-GL'!E13</f>
        <v>2424893</v>
      </c>
      <c r="H13" s="60">
        <f t="shared" ref="H13:I15" si="0">F13-D13</f>
        <v>0</v>
      </c>
      <c r="I13" s="38">
        <f t="shared" si="0"/>
        <v>8.600000012665987E-2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2040850</v>
      </c>
      <c r="H15" s="60">
        <f t="shared" si="0"/>
        <v>0</v>
      </c>
      <c r="I15" s="38">
        <f t="shared" si="0"/>
        <v>1920850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15829375</v>
      </c>
      <c r="E16" s="39">
        <f t="shared" si="1"/>
        <v>41226650.11999999</v>
      </c>
      <c r="F16" s="61">
        <f t="shared" si="1"/>
        <v>15732520</v>
      </c>
      <c r="G16" s="39">
        <f t="shared" si="1"/>
        <v>41364925.160000011</v>
      </c>
      <c r="H16" s="61">
        <f t="shared" si="1"/>
        <v>-96855</v>
      </c>
      <c r="I16" s="39">
        <f t="shared" si="1"/>
        <v>138275.04000001587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-10699052</v>
      </c>
      <c r="E19" s="66">
        <f>'TX-EGM-FLSH'!M19</f>
        <v>-27529445.000000004</v>
      </c>
      <c r="F19" s="60">
        <f>'TX-EGM-GL'!D19</f>
        <v>-3737598</v>
      </c>
      <c r="G19" s="38">
        <f>'TX-EGM-GL'!E19</f>
        <v>-9363022.2699999996</v>
      </c>
      <c r="H19" s="60">
        <f>F19-D19</f>
        <v>6961454</v>
      </c>
      <c r="I19" s="38">
        <f>G19-E19</f>
        <v>18166422.730000004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1966219.69</v>
      </c>
      <c r="H20" s="60">
        <f>F20-D20</f>
        <v>0</v>
      </c>
      <c r="I20" s="38">
        <f>G20-E20</f>
        <v>1966219.69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-12800</v>
      </c>
      <c r="E21" s="66">
        <f>'TX-EGM-FLSH'!M21</f>
        <v>-32759</v>
      </c>
      <c r="F21" s="60">
        <f>'TX-EGM-GL'!D21</f>
        <v>0</v>
      </c>
      <c r="G21" s="38">
        <f>'TX-EGM-GL'!E21</f>
        <v>0</v>
      </c>
      <c r="H21" s="60">
        <f t="shared" ref="H21:I23" si="2">F21-D21</f>
        <v>12800</v>
      </c>
      <c r="I21" s="38">
        <f t="shared" si="2"/>
        <v>32759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11</v>
      </c>
      <c r="E23" s="66">
        <f>'TX-EGM-FLSH'!M23</f>
        <v>27.77</v>
      </c>
      <c r="F23" s="60">
        <f>'TX-EGM-GL'!D23</f>
        <v>10283</v>
      </c>
      <c r="G23" s="38">
        <f>'TX-EGM-GL'!E23</f>
        <v>25872.027999999998</v>
      </c>
      <c r="H23" s="60">
        <f t="shared" si="2"/>
        <v>10272</v>
      </c>
      <c r="I23" s="38">
        <f t="shared" si="2"/>
        <v>25844.257999999998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-10711841</v>
      </c>
      <c r="E24" s="39">
        <f t="shared" si="3"/>
        <v>-27562176.230000004</v>
      </c>
      <c r="F24" s="61">
        <f t="shared" si="3"/>
        <v>-3727315</v>
      </c>
      <c r="G24" s="39">
        <f t="shared" si="3"/>
        <v>-7370930.5520000001</v>
      </c>
      <c r="H24" s="61">
        <f t="shared" si="3"/>
        <v>6984526</v>
      </c>
      <c r="I24" s="39">
        <f t="shared" si="3"/>
        <v>20191245.678000007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14391092</v>
      </c>
      <c r="E27" s="66">
        <f>'TX-EGM-FLSH'!M27</f>
        <v>37280042.109999999</v>
      </c>
      <c r="F27" s="60">
        <f>'TX-EGM-GL'!D27</f>
        <v>7969701</v>
      </c>
      <c r="G27" s="38">
        <f>'TX-EGM-GL'!E27</f>
        <v>20748621.130000003</v>
      </c>
      <c r="H27" s="60">
        <f>F27-D27</f>
        <v>-6421391</v>
      </c>
      <c r="I27" s="38">
        <f>G27-E27</f>
        <v>-16531420.979999997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-10560362</v>
      </c>
      <c r="E28" s="66">
        <f>'TX-EGM-FLSH'!M28</f>
        <v>-27360712.23</v>
      </c>
      <c r="F28" s="60">
        <f>'TX-EGM-GL'!D28</f>
        <v>-19589394</v>
      </c>
      <c r="G28" s="38">
        <f>'TX-EGM-GL'!E28</f>
        <v>-51067549.180000007</v>
      </c>
      <c r="H28" s="60">
        <f>F28-D28</f>
        <v>-9029032</v>
      </c>
      <c r="I28" s="38">
        <f>G28-E28</f>
        <v>-23706836.950000007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3830730</v>
      </c>
      <c r="E29" s="70">
        <f t="shared" si="4"/>
        <v>9919329.879999999</v>
      </c>
      <c r="F29" s="69">
        <f t="shared" si="4"/>
        <v>-11619693</v>
      </c>
      <c r="G29" s="70">
        <f t="shared" si="4"/>
        <v>-30318928.050000004</v>
      </c>
      <c r="H29" s="69">
        <f t="shared" si="4"/>
        <v>-15450423</v>
      </c>
      <c r="I29" s="70">
        <f t="shared" si="4"/>
        <v>-40238257.930000007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631</v>
      </c>
      <c r="G32" s="38">
        <f>'TX-EGM-GL'!E32</f>
        <v>1587.5959999982406</v>
      </c>
      <c r="H32" s="60">
        <f>F32-D32</f>
        <v>631</v>
      </c>
      <c r="I32" s="38">
        <f>G32-E32</f>
        <v>1587.5959999982406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631</v>
      </c>
      <c r="G36" s="39">
        <f t="shared" si="6"/>
        <v>1587.5959999982406</v>
      </c>
      <c r="H36" s="61">
        <f t="shared" si="6"/>
        <v>631</v>
      </c>
      <c r="I36" s="39">
        <f t="shared" si="6"/>
        <v>1587.5959999982406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-409770</v>
      </c>
      <c r="G39" s="38">
        <f>'TX-EGM-GL'!E39</f>
        <v>-927925.31</v>
      </c>
      <c r="H39" s="60">
        <f t="shared" ref="H39:I41" si="7">F39-D39</f>
        <v>-409770</v>
      </c>
      <c r="I39" s="38">
        <f t="shared" si="7"/>
        <v>-927925.31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-409770</v>
      </c>
      <c r="E40" s="66">
        <f>'TX-EGM-FLSH'!M40</f>
        <v>-1032055.33</v>
      </c>
      <c r="F40" s="60">
        <f>'TX-EGM-GL'!D40</f>
        <v>0</v>
      </c>
      <c r="G40" s="38">
        <f>'TX-EGM-GL'!E40</f>
        <v>0</v>
      </c>
      <c r="H40" s="60">
        <f t="shared" si="7"/>
        <v>409770</v>
      </c>
      <c r="I40" s="38">
        <f t="shared" si="7"/>
        <v>1032055.33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-409770</v>
      </c>
      <c r="E42" s="70">
        <f t="shared" si="8"/>
        <v>-1032055.33</v>
      </c>
      <c r="F42" s="69">
        <f t="shared" si="8"/>
        <v>0</v>
      </c>
      <c r="G42" s="70">
        <f t="shared" si="8"/>
        <v>0</v>
      </c>
      <c r="H42" s="69">
        <f t="shared" si="8"/>
        <v>409770</v>
      </c>
      <c r="I42" s="70">
        <f t="shared" si="8"/>
        <v>1032055.33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-409770</v>
      </c>
      <c r="E43" s="39">
        <f t="shared" si="9"/>
        <v>-1032055.33</v>
      </c>
      <c r="F43" s="61">
        <f t="shared" si="9"/>
        <v>-409770</v>
      </c>
      <c r="G43" s="39">
        <f t="shared" si="9"/>
        <v>-927925.31</v>
      </c>
      <c r="H43" s="61">
        <f t="shared" si="9"/>
        <v>0</v>
      </c>
      <c r="I43" s="39">
        <f t="shared" si="9"/>
        <v>104130.0199999999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-8538494</v>
      </c>
      <c r="E49" s="66">
        <f>'TX-EGM-FLSH'!M49</f>
        <v>-21479830.469812423</v>
      </c>
      <c r="F49" s="60">
        <f>'TX-EGM-GL'!D49</f>
        <v>23627</v>
      </c>
      <c r="G49" s="38">
        <f>'TX-EGM-GL'!E49</f>
        <v>59445.532000000414</v>
      </c>
      <c r="H49" s="60">
        <f>F49-D49</f>
        <v>8562121</v>
      </c>
      <c r="I49" s="38">
        <f>G49-E49</f>
        <v>21539276.001812425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-11</v>
      </c>
      <c r="E51" s="66">
        <f>'TX-EGM-FLSH'!M51</f>
        <v>0</v>
      </c>
      <c r="F51" s="60">
        <f>'TX-EGM-GL'!D51</f>
        <v>-10283</v>
      </c>
      <c r="G51" s="38">
        <f>'TX-EGM-GL'!E51</f>
        <v>-25872.027999999998</v>
      </c>
      <c r="H51" s="60">
        <f>F51-D51</f>
        <v>-10272</v>
      </c>
      <c r="I51" s="38">
        <f>G51-E51</f>
        <v>-25872.027999999998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-502030</v>
      </c>
      <c r="F54" s="60">
        <f>'TX-EGM-GL'!D54</f>
        <v>-16617018</v>
      </c>
      <c r="G54" s="38">
        <f>'TX-EGM-GL'!E54</f>
        <v>-341626.02999999997</v>
      </c>
      <c r="H54" s="60">
        <f>F54-D54</f>
        <v>-16617018</v>
      </c>
      <c r="I54" s="38">
        <f>G54-E54</f>
        <v>160403.97000000003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-157745.18</v>
      </c>
      <c r="H55" s="60">
        <f>F55-D55</f>
        <v>0</v>
      </c>
      <c r="I55" s="38">
        <f>G55-E55</f>
        <v>-157745.18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-502030</v>
      </c>
      <c r="F56" s="61">
        <f t="shared" si="10"/>
        <v>-16617018</v>
      </c>
      <c r="G56" s="39">
        <f t="shared" si="10"/>
        <v>-499371.20999999996</v>
      </c>
      <c r="H56" s="61">
        <f t="shared" si="10"/>
        <v>-16617018</v>
      </c>
      <c r="I56" s="39">
        <f t="shared" si="10"/>
        <v>2658.7900000000373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-799.86</v>
      </c>
      <c r="H64" s="60">
        <f>F64-D64</f>
        <v>0</v>
      </c>
      <c r="I64" s="38">
        <f>G64-E64</f>
        <v>-799.86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-799.86</v>
      </c>
      <c r="H66" s="61">
        <f t="shared" si="12"/>
        <v>0</v>
      </c>
      <c r="I66" s="39">
        <f t="shared" si="12"/>
        <v>-799.86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-7489614.6200000001</v>
      </c>
      <c r="F70" s="60">
        <f>'TX-EGM-GL'!D70</f>
        <v>0</v>
      </c>
      <c r="G70" s="38">
        <f>'TX-EGM-GL'!E70</f>
        <v>-7489614.6200000001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2639306</v>
      </c>
      <c r="F71" s="60">
        <f>'TX-EGM-GL'!D71</f>
        <v>0</v>
      </c>
      <c r="G71" s="38">
        <f>'TX-EGM-GL'!E71</f>
        <v>2639306.77</v>
      </c>
      <c r="H71" s="60">
        <f>F71-D71</f>
        <v>0</v>
      </c>
      <c r="I71" s="38">
        <f>G71-E71</f>
        <v>0.77000000001862645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5499578.5</v>
      </c>
      <c r="F74" s="60">
        <f>'TX-EGM-GL'!D74</f>
        <v>0</v>
      </c>
      <c r="G74" s="38">
        <f>'TX-EGM-GL'!E74</f>
        <v>-107244.44</v>
      </c>
      <c r="H74" s="60">
        <f t="shared" ref="H74:I79" si="14">F74-D74</f>
        <v>0</v>
      </c>
      <c r="I74" s="38">
        <f t="shared" si="14"/>
        <v>-5606822.9400000004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15012</v>
      </c>
      <c r="F75" s="60">
        <f>'TX-EGM-GL'!D75</f>
        <v>0</v>
      </c>
      <c r="G75" s="38">
        <f>'TX-EGM-GL'!E75</f>
        <v>15000</v>
      </c>
      <c r="H75" s="60">
        <f t="shared" si="14"/>
        <v>0</v>
      </c>
      <c r="I75" s="38">
        <f t="shared" si="14"/>
        <v>-12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-4049</v>
      </c>
      <c r="F76" s="60">
        <f>'TX-EGM-GL'!D76</f>
        <v>0</v>
      </c>
      <c r="G76" s="38">
        <f>'TX-EGM-GL'!E76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222403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1452523.8501875661</v>
      </c>
      <c r="F82" s="109">
        <f>F16+F24+F29+F36+F43+F45+F47+F49</f>
        <v>0</v>
      </c>
      <c r="G82" s="110">
        <f>SUM(G72:G81)+G16+G24+G29+G36+G43+G45+G47+G49+G51+G56+G61+G66</f>
        <v>-2686134.7619999941</v>
      </c>
      <c r="H82" s="109">
        <f>H16+H24+H29+H36+H43+H45+H47+H49</f>
        <v>0</v>
      </c>
      <c r="I82" s="110">
        <f>SUM(I72:I81)+I16+I24+I29+I36+I43+I45+I47+I49+I51+I56+I61+I66</f>
        <v>-4138658.612187563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1522595.8501875661</v>
      </c>
      <c r="F91" s="160">
        <f t="shared" si="17"/>
        <v>0</v>
      </c>
      <c r="G91" s="160">
        <f t="shared" si="17"/>
        <v>-2686134.7619999941</v>
      </c>
      <c r="H91" s="160">
        <f t="shared" si="17"/>
        <v>0</v>
      </c>
      <c r="I91" s="160">
        <f t="shared" si="17"/>
        <v>-4208730.6121875625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129167</v>
      </c>
      <c r="E11" s="66">
        <f>'TX-HPLR-FLSH'!M11</f>
        <v>332493.79399999976</v>
      </c>
      <c r="F11" s="60">
        <f>'TX-HPLR-GL '!D11</f>
        <v>129677</v>
      </c>
      <c r="G11" s="38">
        <f>'TX-HPLR-GL '!E11</f>
        <v>337289.88</v>
      </c>
      <c r="H11" s="60">
        <f>F11-D11</f>
        <v>510</v>
      </c>
      <c r="I11" s="38">
        <f>G11-E11</f>
        <v>4796.0860000002431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-3497.4</v>
      </c>
      <c r="H12" s="60">
        <f>F12-D12</f>
        <v>0</v>
      </c>
      <c r="I12" s="38">
        <f>G12-E12</f>
        <v>-3497.4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8.600000012665987E-2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-8.600000012665987E-2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129167</v>
      </c>
      <c r="E16" s="39">
        <f t="shared" si="1"/>
        <v>332493.87999999989</v>
      </c>
      <c r="F16" s="61">
        <f t="shared" si="1"/>
        <v>129677</v>
      </c>
      <c r="G16" s="39">
        <f t="shared" si="1"/>
        <v>333792.48</v>
      </c>
      <c r="H16" s="61">
        <f t="shared" si="1"/>
        <v>510</v>
      </c>
      <c r="I16" s="39">
        <f t="shared" si="1"/>
        <v>1298.6000000001163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7125923</v>
      </c>
      <c r="E19" s="66">
        <f>'TX-HPLR-FLSH'!M19</f>
        <v>18581006</v>
      </c>
      <c r="F19" s="60">
        <f>'TX-HPLR-GL '!D19</f>
        <v>0</v>
      </c>
      <c r="G19" s="38">
        <f>'TX-HPLR-GL '!E19</f>
        <v>-12259</v>
      </c>
      <c r="H19" s="60">
        <f>F19-D19</f>
        <v>-7125923</v>
      </c>
      <c r="I19" s="38">
        <f>G19-E19</f>
        <v>-18593265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2.2299999999995634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-2.2299999999995634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7125923</v>
      </c>
      <c r="E24" s="39">
        <f t="shared" si="3"/>
        <v>18581008.23</v>
      </c>
      <c r="F24" s="61">
        <f t="shared" si="3"/>
        <v>0</v>
      </c>
      <c r="G24" s="39">
        <f t="shared" si="3"/>
        <v>-12259</v>
      </c>
      <c r="H24" s="61">
        <f t="shared" si="3"/>
        <v>-7125923</v>
      </c>
      <c r="I24" s="39">
        <f t="shared" si="3"/>
        <v>-18593267.23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2.8899999856948853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-2.8899999856948853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-7255090</v>
      </c>
      <c r="E28" s="66">
        <f>'TX-HPLR-FLSH'!M28</f>
        <v>-18914264.770000011</v>
      </c>
      <c r="F28" s="60">
        <f>'TX-HPLR-GL '!D28</f>
        <v>-129677</v>
      </c>
      <c r="G28" s="38">
        <f>'TX-HPLR-GL '!E28</f>
        <v>-334566.65999999997</v>
      </c>
      <c r="H28" s="60">
        <f>F28-D28</f>
        <v>7125413</v>
      </c>
      <c r="I28" s="38">
        <f>G28-E28</f>
        <v>18579698.110000011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-7255090</v>
      </c>
      <c r="E29" s="70">
        <f t="shared" si="4"/>
        <v>-18914261.880000025</v>
      </c>
      <c r="F29" s="69">
        <f t="shared" si="4"/>
        <v>-129677</v>
      </c>
      <c r="G29" s="70">
        <f t="shared" si="4"/>
        <v>-334566.65999999997</v>
      </c>
      <c r="H29" s="69">
        <f t="shared" si="4"/>
        <v>7125413</v>
      </c>
      <c r="I29" s="70">
        <f t="shared" si="4"/>
        <v>18579695.220000025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0.32999999821186066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-0.32999999821186066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0.32999999821186066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-0.32999999821186066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0.32999999821186066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-0.32999999821186066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11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-11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-759.44000002741814</v>
      </c>
      <c r="F82" s="109">
        <f>F16+F24+F29+F36+F43+F45+F47+F49</f>
        <v>0</v>
      </c>
      <c r="G82" s="110">
        <f>SUM(G72:G81)+G16+G24+G29+G36+G43+G45+G47+G49+G51+G56+G61+G66</f>
        <v>83810.560000000012</v>
      </c>
      <c r="H82" s="109">
        <f>H16+H24+H29+H36+H43+H45+H47+H49</f>
        <v>0</v>
      </c>
      <c r="I82" s="110">
        <f>SUM(I72:I81)+I16+I24+I29+I36+I43+I45+I47+I49+I51+I56+I61+I66</f>
        <v>84570.000000027721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36900025</v>
      </c>
      <c r="E11" s="66">
        <f>'TX-HPLC-FLSH'!M11</f>
        <v>94911803</v>
      </c>
      <c r="F11" s="60">
        <f>'TX-HPLC-GL'!D11</f>
        <v>36990197</v>
      </c>
      <c r="G11" s="38">
        <f>'TX-HPLC-GL'!E11</f>
        <v>93494101</v>
      </c>
      <c r="H11" s="60">
        <f>F11-D11</f>
        <v>90172</v>
      </c>
      <c r="I11" s="38">
        <f>G11-E11</f>
        <v>-1417702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-2127969.5499999998</v>
      </c>
      <c r="H12" s="60">
        <f>F12-D12</f>
        <v>0</v>
      </c>
      <c r="I12" s="38">
        <f>G12-E12</f>
        <v>-2127969.5499999998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2977937</v>
      </c>
      <c r="E13" s="66">
        <f>'TX-HPLC-FLSH'!M13</f>
        <v>7717976</v>
      </c>
      <c r="F13" s="60">
        <f>'TX-HPLC-GL'!D13</f>
        <v>0</v>
      </c>
      <c r="G13" s="38">
        <f>'TX-HPLC-GL'!E13</f>
        <v>0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39877962</v>
      </c>
      <c r="E16" s="39">
        <f t="shared" si="1"/>
        <v>102629779</v>
      </c>
      <c r="F16" s="61">
        <f t="shared" si="1"/>
        <v>36990197</v>
      </c>
      <c r="G16" s="39">
        <f t="shared" si="1"/>
        <v>91486131.450000003</v>
      </c>
      <c r="H16" s="61">
        <f t="shared" si="1"/>
        <v>-2887765</v>
      </c>
      <c r="I16" s="39">
        <f t="shared" si="1"/>
        <v>-11143647.550000001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-49170850</v>
      </c>
      <c r="E19" s="66">
        <f>'TX-HPLC-FLSH'!M19</f>
        <v>-123832756</v>
      </c>
      <c r="F19" s="60">
        <f>'TX-HPLC-GL'!D19</f>
        <v>-47962174</v>
      </c>
      <c r="G19" s="38">
        <f>'TX-HPLC-GL'!E19</f>
        <v>-118296396</v>
      </c>
      <c r="H19" s="60">
        <f>F19-D19</f>
        <v>1208676</v>
      </c>
      <c r="I19" s="38">
        <f>G19-E19</f>
        <v>5536360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-1531952</v>
      </c>
      <c r="H20" s="60">
        <f>F20-D20</f>
        <v>0</v>
      </c>
      <c r="I20" s="38">
        <f>G20-E20</f>
        <v>-1531952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-1026352</v>
      </c>
      <c r="E21" s="66">
        <f>'TX-HPLC-FLSH'!M21</f>
        <v>-2529624</v>
      </c>
      <c r="F21" s="60">
        <f>'TX-HPLC-GL'!D21</f>
        <v>0</v>
      </c>
      <c r="G21" s="38">
        <f>'TX-HPLC-GL'!E21</f>
        <v>0</v>
      </c>
      <c r="H21" s="60">
        <f t="shared" ref="H21:I23" si="2">F21-D21</f>
        <v>1026352</v>
      </c>
      <c r="I21" s="38">
        <f t="shared" si="2"/>
        <v>2529624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10222</v>
      </c>
      <c r="E23" s="66">
        <f>'TX-HPLC-FLSH'!M23</f>
        <v>25174</v>
      </c>
      <c r="F23" s="60">
        <f>'TX-HPLC-GL'!D23</f>
        <v>0</v>
      </c>
      <c r="G23" s="38">
        <f>'TX-HPLC-GL'!E23</f>
        <v>0</v>
      </c>
      <c r="H23" s="60">
        <f t="shared" si="2"/>
        <v>-10222</v>
      </c>
      <c r="I23" s="38">
        <f t="shared" si="2"/>
        <v>-25174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-50186980</v>
      </c>
      <c r="E24" s="39">
        <f t="shared" si="3"/>
        <v>-126337206</v>
      </c>
      <c r="F24" s="61">
        <f t="shared" si="3"/>
        <v>-47962174</v>
      </c>
      <c r="G24" s="39">
        <f t="shared" si="3"/>
        <v>-119828348</v>
      </c>
      <c r="H24" s="61">
        <f t="shared" si="3"/>
        <v>2224806</v>
      </c>
      <c r="I24" s="39">
        <f t="shared" si="3"/>
        <v>6508858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71769462</v>
      </c>
      <c r="E27" s="66">
        <f>'TX-HPLC-FLSH'!M27</f>
        <v>185679535</v>
      </c>
      <c r="F27" s="60">
        <f>'TX-HPLC-GL'!D27</f>
        <v>22739257</v>
      </c>
      <c r="G27" s="38">
        <f>'TX-HPLC-GL'!E27</f>
        <v>59230432</v>
      </c>
      <c r="H27" s="60">
        <f>F27-D27</f>
        <v>-49030205</v>
      </c>
      <c r="I27" s="38">
        <f>G27-E27</f>
        <v>-126449103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-68413427</v>
      </c>
      <c r="E28" s="66">
        <f>'TX-HPLC-FLSH'!M28</f>
        <v>-176861650</v>
      </c>
      <c r="F28" s="60">
        <f>'TX-HPLC-GL'!D28</f>
        <v>-8996310</v>
      </c>
      <c r="G28" s="38">
        <f>'TX-HPLC-GL'!E28</f>
        <v>-23278869</v>
      </c>
      <c r="H28" s="60">
        <f>F28-D28</f>
        <v>59417117</v>
      </c>
      <c r="I28" s="38">
        <f>G28-E28</f>
        <v>153582781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3356035</v>
      </c>
      <c r="E29" s="70">
        <f t="shared" si="4"/>
        <v>8817885</v>
      </c>
      <c r="F29" s="69">
        <f t="shared" si="4"/>
        <v>13742947</v>
      </c>
      <c r="G29" s="70">
        <f t="shared" si="4"/>
        <v>35951563</v>
      </c>
      <c r="H29" s="69">
        <f t="shared" si="4"/>
        <v>10386912</v>
      </c>
      <c r="I29" s="70">
        <f t="shared" si="4"/>
        <v>27133678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-167237</v>
      </c>
      <c r="G32" s="38">
        <f>'TX-HPLC-GL'!E32</f>
        <v>-420768</v>
      </c>
      <c r="H32" s="60">
        <f>F32-D32</f>
        <v>-167237</v>
      </c>
      <c r="I32" s="38">
        <f>G32-E32</f>
        <v>-420768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-167237</v>
      </c>
      <c r="G36" s="39">
        <f t="shared" si="6"/>
        <v>-420768</v>
      </c>
      <c r="H36" s="61">
        <f t="shared" si="6"/>
        <v>-167237</v>
      </c>
      <c r="I36" s="39">
        <f t="shared" si="6"/>
        <v>-420768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9366761</v>
      </c>
      <c r="E39" s="66">
        <f>'TX-HPLC-FLSH'!M39</f>
        <v>23686243</v>
      </c>
      <c r="F39" s="60">
        <f>'TX-HPLC-GL'!D39</f>
        <v>0</v>
      </c>
      <c r="G39" s="38">
        <f>'TX-HPLC-GL'!E39</f>
        <v>-95808</v>
      </c>
      <c r="H39" s="60">
        <f t="shared" ref="H39:I41" si="7">F39-D39</f>
        <v>-9366761</v>
      </c>
      <c r="I39" s="38">
        <f t="shared" si="7"/>
        <v>-23782051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-11877403</v>
      </c>
      <c r="E40" s="66">
        <f>'TX-HPLC-FLSH'!M40</f>
        <v>-30653457</v>
      </c>
      <c r="F40" s="60">
        <f>'TX-HPLC-GL'!D40</f>
        <v>-2573760</v>
      </c>
      <c r="G40" s="38">
        <f>'TX-HPLC-GL'!E40</f>
        <v>-5814716</v>
      </c>
      <c r="H40" s="60">
        <f t="shared" si="7"/>
        <v>9303643</v>
      </c>
      <c r="I40" s="38">
        <f t="shared" si="7"/>
        <v>24838741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-447550</v>
      </c>
      <c r="H41" s="60">
        <f t="shared" si="7"/>
        <v>0</v>
      </c>
      <c r="I41" s="38">
        <f t="shared" si="7"/>
        <v>-447550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-11877403</v>
      </c>
      <c r="E42" s="70">
        <f t="shared" si="8"/>
        <v>-30653457</v>
      </c>
      <c r="F42" s="69">
        <f t="shared" si="8"/>
        <v>-2573760</v>
      </c>
      <c r="G42" s="70">
        <f t="shared" si="8"/>
        <v>-6262266</v>
      </c>
      <c r="H42" s="69">
        <f t="shared" si="8"/>
        <v>9303643</v>
      </c>
      <c r="I42" s="70">
        <f t="shared" si="8"/>
        <v>24391191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-2510642</v>
      </c>
      <c r="E43" s="39">
        <f t="shared" si="9"/>
        <v>-6967214</v>
      </c>
      <c r="F43" s="61">
        <f t="shared" si="9"/>
        <v>-2573760</v>
      </c>
      <c r="G43" s="39">
        <f t="shared" si="9"/>
        <v>-6358074</v>
      </c>
      <c r="H43" s="61">
        <f t="shared" si="9"/>
        <v>-63118</v>
      </c>
      <c r="I43" s="39">
        <f t="shared" si="9"/>
        <v>609140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9463625</v>
      </c>
      <c r="E49" s="66">
        <f>'TX-HPLC-FLSH'!M49</f>
        <v>23807132.807012405</v>
      </c>
      <c r="F49" s="60">
        <f>'TX-HPLC-GL'!D49</f>
        <v>-29973</v>
      </c>
      <c r="G49" s="38">
        <f>'TX-HPLC-GL'!E49</f>
        <v>-75412</v>
      </c>
      <c r="H49" s="60">
        <f>F49-D49</f>
        <v>-9493598</v>
      </c>
      <c r="I49" s="38">
        <f>G49-E49</f>
        <v>-23882544.807012405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-1384131</v>
      </c>
      <c r="F54" s="60">
        <f>'TX-HPLC-GL'!D54</f>
        <v>0</v>
      </c>
      <c r="G54" s="38">
        <f>'TX-HPLC-GL'!E54</f>
        <v>-1024412</v>
      </c>
      <c r="H54" s="60">
        <f>F54-D54</f>
        <v>0</v>
      </c>
      <c r="I54" s="38">
        <f>G54-E54</f>
        <v>359719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-1384131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39">
        <f t="shared" si="10"/>
        <v>503019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-50000</v>
      </c>
      <c r="H59" s="60">
        <f>F59-D59</f>
        <v>0</v>
      </c>
      <c r="I59" s="38">
        <f>G59-E59</f>
        <v>-50000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-245958</v>
      </c>
      <c r="H60" s="60">
        <f>F60-D60</f>
        <v>0</v>
      </c>
      <c r="I60" s="38">
        <f>G60-E60</f>
        <v>-245958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50000</v>
      </c>
      <c r="H65" s="60">
        <f>F65-D65</f>
        <v>0</v>
      </c>
      <c r="I65" s="38">
        <f>G65-E65</f>
        <v>50000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4804061.22</v>
      </c>
      <c r="H74" s="60">
        <f t="shared" ref="H74:I79" si="14">F74-D74</f>
        <v>0</v>
      </c>
      <c r="I74" s="38">
        <f t="shared" si="14"/>
        <v>4804061.22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467945.80701240525</v>
      </c>
      <c r="F82" s="109">
        <f>F16+F24+F29+F36+F43+F45+F47+F49</f>
        <v>0</v>
      </c>
      <c r="G82" s="110">
        <f>SUM(G72:G81)+G16+G24+G29+G36+G43+G45+G47+G49+G51+G56+G61+G66</f>
        <v>4333783.6700000018</v>
      </c>
      <c r="H82" s="109">
        <f>H16+H24+H29+H36+H43+H45+H47+H49</f>
        <v>0</v>
      </c>
      <c r="I82" s="110">
        <f>SUM(I72:I81)+I16+I24+I29+I36+I43+I45+I47+I49+I51+I56+I61+I66</f>
        <v>3865837.8629875928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1995000</v>
      </c>
      <c r="H86" s="145">
        <f t="shared" ref="H86:I88" si="15">F86-D86</f>
        <v>0</v>
      </c>
      <c r="I86" s="145">
        <f t="shared" si="15"/>
        <v>1995000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-1925000</v>
      </c>
      <c r="H88" s="147">
        <f t="shared" si="15"/>
        <v>0</v>
      </c>
      <c r="I88" s="147">
        <f t="shared" si="15"/>
        <v>-1925000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70000</v>
      </c>
      <c r="H89" s="160">
        <f t="shared" si="16"/>
        <v>0</v>
      </c>
      <c r="I89" s="160">
        <f t="shared" si="16"/>
        <v>70000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467945.80701240525</v>
      </c>
      <c r="F91" s="160">
        <f t="shared" si="17"/>
        <v>0</v>
      </c>
      <c r="G91" s="160">
        <f t="shared" si="17"/>
        <v>4403783.6700000018</v>
      </c>
      <c r="H91" s="160">
        <f t="shared" si="17"/>
        <v>0</v>
      </c>
      <c r="I91" s="160">
        <f t="shared" si="17"/>
        <v>3935837.8629875928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51905019</v>
      </c>
      <c r="E11" s="66">
        <f>'TX-CON-FLSH'!M11</f>
        <v>133926054</v>
      </c>
      <c r="F11" s="60">
        <f>'TX-CON-GL '!D11</f>
        <v>51898846</v>
      </c>
      <c r="G11" s="38">
        <f>'TX-CON-GL '!E11</f>
        <v>134354754.09</v>
      </c>
      <c r="H11" s="60">
        <f>F11-D11</f>
        <v>-6173</v>
      </c>
      <c r="I11" s="38">
        <f>G11-E11</f>
        <v>428700.09000000358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-5755648</v>
      </c>
      <c r="H12" s="60">
        <f>F12-D12</f>
        <v>0</v>
      </c>
      <c r="I12" s="38">
        <f>G12-E12</f>
        <v>-5755648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3931485</v>
      </c>
      <c r="E13" s="66">
        <f>'TX-CON-FLSH'!M13</f>
        <v>10142869</v>
      </c>
      <c r="F13" s="60">
        <f>'TX-CON-GL '!D13</f>
        <v>953548</v>
      </c>
      <c r="G13" s="38">
        <f>'TX-CON-GL '!E13</f>
        <v>2424893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2160850</v>
      </c>
      <c r="H15" s="60">
        <f t="shared" si="0"/>
        <v>0</v>
      </c>
      <c r="I15" s="38">
        <f t="shared" si="0"/>
        <v>2040850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55836504</v>
      </c>
      <c r="E16" s="39">
        <f t="shared" si="1"/>
        <v>144188923</v>
      </c>
      <c r="F16" s="61">
        <f t="shared" si="1"/>
        <v>52852394</v>
      </c>
      <c r="G16" s="39">
        <f t="shared" si="1"/>
        <v>133184849.09</v>
      </c>
      <c r="H16" s="61">
        <f t="shared" si="1"/>
        <v>-2984110</v>
      </c>
      <c r="I16" s="39">
        <f t="shared" si="1"/>
        <v>-11004073.909999996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-52743979</v>
      </c>
      <c r="E19" s="66">
        <f>'TX-CON-FLSH'!M19</f>
        <v>-132781195</v>
      </c>
      <c r="F19" s="60">
        <f>'TX-CON-GL '!D19</f>
        <v>-51699772</v>
      </c>
      <c r="G19" s="38">
        <f>'TX-CON-GL '!E19</f>
        <v>-127671677.27000001</v>
      </c>
      <c r="H19" s="60">
        <f>F19-D19</f>
        <v>1044207</v>
      </c>
      <c r="I19" s="38">
        <f>G19-E19</f>
        <v>5109517.7299999893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434267.68999999994</v>
      </c>
      <c r="H20" s="60">
        <f>F20-D20</f>
        <v>0</v>
      </c>
      <c r="I20" s="38">
        <f>G20-E20</f>
        <v>434267.68999999994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-1039152</v>
      </c>
      <c r="E21" s="66">
        <f>'TX-CON-FLSH'!M21</f>
        <v>-2562383</v>
      </c>
      <c r="F21" s="60">
        <f>'TX-CON-GL '!D21</f>
        <v>0</v>
      </c>
      <c r="G21" s="38">
        <f>'TX-CON-GL '!E21</f>
        <v>0</v>
      </c>
      <c r="H21" s="60">
        <f t="shared" ref="H21:I23" si="2">F21-D21</f>
        <v>1039152</v>
      </c>
      <c r="I21" s="38">
        <f t="shared" si="2"/>
        <v>2562383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10233</v>
      </c>
      <c r="E23" s="66">
        <f>'TX-CON-FLSH'!M23</f>
        <v>25204</v>
      </c>
      <c r="F23" s="60">
        <f>'TX-CON-GL '!D23</f>
        <v>10283</v>
      </c>
      <c r="G23" s="38">
        <f>'TX-CON-GL '!E23</f>
        <v>25872.027999999998</v>
      </c>
      <c r="H23" s="60">
        <f t="shared" si="2"/>
        <v>50</v>
      </c>
      <c r="I23" s="38">
        <f t="shared" si="2"/>
        <v>668.02799999999843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-53772898</v>
      </c>
      <c r="E24" s="39">
        <f t="shared" si="3"/>
        <v>-135318374</v>
      </c>
      <c r="F24" s="61">
        <f t="shared" si="3"/>
        <v>-51689489</v>
      </c>
      <c r="G24" s="39">
        <f t="shared" si="3"/>
        <v>-127211537.55200002</v>
      </c>
      <c r="H24" s="61">
        <f t="shared" si="3"/>
        <v>2083409</v>
      </c>
      <c r="I24" s="39">
        <f t="shared" si="3"/>
        <v>8106836.4479999887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86160554</v>
      </c>
      <c r="E27" s="66">
        <f>'TX-CON-FLSH'!M27</f>
        <v>222959580</v>
      </c>
      <c r="F27" s="60">
        <f>'TX-CON-GL '!D27</f>
        <v>30708958</v>
      </c>
      <c r="G27" s="38">
        <f>'TX-CON-GL '!E27</f>
        <v>79979053.13000001</v>
      </c>
      <c r="H27" s="60">
        <f>F27-D27</f>
        <v>-55451596</v>
      </c>
      <c r="I27" s="38">
        <f>G27-E27</f>
        <v>-142980526.87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-86228879</v>
      </c>
      <c r="E28" s="66">
        <f>'TX-CON-FLSH'!M28</f>
        <v>-223136627</v>
      </c>
      <c r="F28" s="60">
        <f>'TX-CON-GL '!D28</f>
        <v>-28715381</v>
      </c>
      <c r="G28" s="38">
        <f>'TX-CON-GL '!E28</f>
        <v>-74680984.840000004</v>
      </c>
      <c r="H28" s="60">
        <f>F28-D28</f>
        <v>57513498</v>
      </c>
      <c r="I28" s="38">
        <f>G28-E28</f>
        <v>148455642.16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1993577</v>
      </c>
      <c r="G29" s="70">
        <f t="shared" si="4"/>
        <v>5298068.2900000066</v>
      </c>
      <c r="H29" s="69">
        <f t="shared" si="4"/>
        <v>2061902</v>
      </c>
      <c r="I29" s="70">
        <f t="shared" si="4"/>
        <v>5475115.2899999917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-166606</v>
      </c>
      <c r="G32" s="38">
        <f>'TX-CON-GL '!E32</f>
        <v>-419180.40400000178</v>
      </c>
      <c r="H32" s="60">
        <f>F32-D32</f>
        <v>-166606</v>
      </c>
      <c r="I32" s="38">
        <f>G32-E32</f>
        <v>-419180.40400000178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-166606</v>
      </c>
      <c r="G36" s="39">
        <f t="shared" si="6"/>
        <v>-419180.40400000178</v>
      </c>
      <c r="H36" s="61">
        <f t="shared" si="6"/>
        <v>-166606</v>
      </c>
      <c r="I36" s="39">
        <f t="shared" si="6"/>
        <v>-419180.40400000178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9366761</v>
      </c>
      <c r="E39" s="66">
        <f>'TX-CON-FLSH'!M39</f>
        <v>23686243</v>
      </c>
      <c r="F39" s="60">
        <f>'TX-CON-GL '!D39</f>
        <v>-409770</v>
      </c>
      <c r="G39" s="38">
        <f>'TX-CON-GL '!E39</f>
        <v>-1023733.31</v>
      </c>
      <c r="H39" s="60">
        <f t="shared" ref="H39:I41" si="7">F39-D39</f>
        <v>-9776531</v>
      </c>
      <c r="I39" s="38">
        <f t="shared" si="7"/>
        <v>-24709976.309999999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-12287173</v>
      </c>
      <c r="E40" s="66">
        <f>'TX-CON-FLSH'!M40</f>
        <v>-31685512</v>
      </c>
      <c r="F40" s="60">
        <f>'TX-CON-GL '!D40</f>
        <v>-2573760</v>
      </c>
      <c r="G40" s="38">
        <f>'TX-CON-GL '!E40</f>
        <v>-5814716</v>
      </c>
      <c r="H40" s="60">
        <f t="shared" si="7"/>
        <v>9713413</v>
      </c>
      <c r="I40" s="38">
        <f t="shared" si="7"/>
        <v>25870796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-447550</v>
      </c>
      <c r="H41" s="60">
        <f t="shared" si="7"/>
        <v>0</v>
      </c>
      <c r="I41" s="38">
        <f t="shared" si="7"/>
        <v>-447550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-12287173</v>
      </c>
      <c r="E42" s="70">
        <f t="shared" si="8"/>
        <v>-31685512</v>
      </c>
      <c r="F42" s="69">
        <f t="shared" si="8"/>
        <v>-2573760</v>
      </c>
      <c r="G42" s="70">
        <f t="shared" si="8"/>
        <v>-6262266</v>
      </c>
      <c r="H42" s="69">
        <f t="shared" si="8"/>
        <v>9713413</v>
      </c>
      <c r="I42" s="70">
        <f t="shared" si="8"/>
        <v>25423246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-2920412</v>
      </c>
      <c r="E43" s="39">
        <f t="shared" si="9"/>
        <v>-7999269</v>
      </c>
      <c r="F43" s="61">
        <f t="shared" si="9"/>
        <v>-2983530</v>
      </c>
      <c r="G43" s="39">
        <f t="shared" si="9"/>
        <v>-7285999.3100000005</v>
      </c>
      <c r="H43" s="61">
        <f t="shared" si="9"/>
        <v>-63118</v>
      </c>
      <c r="I43" s="39">
        <f t="shared" si="9"/>
        <v>713269.69000000134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925131</v>
      </c>
      <c r="E49" s="66">
        <f>'TX-CON-FLSH'!M49</f>
        <v>2327302.3371999823</v>
      </c>
      <c r="F49" s="60">
        <f>'TX-CON-GL '!D49</f>
        <v>-6346</v>
      </c>
      <c r="G49" s="38">
        <f>'TX-CON-GL '!E49</f>
        <v>-15966.468000006978</v>
      </c>
      <c r="H49" s="60">
        <f>F49-D49</f>
        <v>-931477</v>
      </c>
      <c r="I49" s="38">
        <f>G49-E49</f>
        <v>-2343268.8051999891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-10283</v>
      </c>
      <c r="G51" s="38">
        <f>'TX-CON-GL '!E51</f>
        <v>-25872.027999999998</v>
      </c>
      <c r="H51" s="60">
        <f>F51-D51</f>
        <v>-10283</v>
      </c>
      <c r="I51" s="38">
        <f>G51-E51</f>
        <v>-25872.027999999998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-1886161</v>
      </c>
      <c r="F54" s="60">
        <f>'TX-CON-GL '!D54</f>
        <v>-16617018</v>
      </c>
      <c r="G54" s="38">
        <f>'TX-CON-GL '!E54</f>
        <v>-1366038.0299999998</v>
      </c>
      <c r="H54" s="60">
        <f>F54-D54</f>
        <v>-16617018</v>
      </c>
      <c r="I54" s="38">
        <f>G54-E54</f>
        <v>520122.9700000002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-14445.180000000006</v>
      </c>
      <c r="H55" s="60">
        <f>F55-D55</f>
        <v>0</v>
      </c>
      <c r="I55" s="38">
        <f>G55-E55</f>
        <v>-14445.180000000006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-1886161</v>
      </c>
      <c r="F56" s="61">
        <f t="shared" si="10"/>
        <v>-16617018</v>
      </c>
      <c r="G56" s="39">
        <f t="shared" si="10"/>
        <v>-1380483.2099999997</v>
      </c>
      <c r="H56" s="61">
        <f t="shared" si="10"/>
        <v>-16617018</v>
      </c>
      <c r="I56" s="39">
        <f t="shared" si="10"/>
        <v>505677.79000000021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-50000</v>
      </c>
      <c r="H59" s="60">
        <f>F59-D59</f>
        <v>0</v>
      </c>
      <c r="I59" s="38">
        <f>G59-E59</f>
        <v>-50000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-245958</v>
      </c>
      <c r="H60" s="60">
        <f>F60-D60</f>
        <v>0</v>
      </c>
      <c r="I60" s="38">
        <f>G60-E60</f>
        <v>-245958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-799.86</v>
      </c>
      <c r="H64" s="60">
        <f>F64-D64</f>
        <v>0</v>
      </c>
      <c r="I64" s="38">
        <f>G64-E64</f>
        <v>-799.86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50000</v>
      </c>
      <c r="H65" s="60">
        <f>F65-D65</f>
        <v>0</v>
      </c>
      <c r="I65" s="38">
        <f>G65-E65</f>
        <v>50000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49200.14</v>
      </c>
      <c r="H66" s="61">
        <f t="shared" si="12"/>
        <v>0</v>
      </c>
      <c r="I66" s="39">
        <f t="shared" si="12"/>
        <v>49200.14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-7489614.6200000001</v>
      </c>
      <c r="F70" s="60">
        <f>'TX-CON-GL '!D70</f>
        <v>0</v>
      </c>
      <c r="G70" s="38">
        <f>'TX-CON-GL '!E70</f>
        <v>-7489614.6200000001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2639306</v>
      </c>
      <c r="F71" s="60">
        <f>'TX-CON-GL '!D71</f>
        <v>0</v>
      </c>
      <c r="G71" s="38">
        <f>'TX-CON-GL '!E71</f>
        <v>2639306.77</v>
      </c>
      <c r="H71" s="60">
        <f>F71-D71</f>
        <v>0</v>
      </c>
      <c r="I71" s="38">
        <f>G71-E71</f>
        <v>0.77000000001862645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5499578.5</v>
      </c>
      <c r="F74" s="60">
        <f>'TX-CON-GL '!D74</f>
        <v>0</v>
      </c>
      <c r="G74" s="38">
        <f>'TX-CON-GL '!E74</f>
        <v>4696816.78</v>
      </c>
      <c r="H74" s="60">
        <f t="shared" ref="H74:I79" si="14">F74-D74</f>
        <v>0</v>
      </c>
      <c r="I74" s="38">
        <f t="shared" si="14"/>
        <v>-802761.71999999974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15012</v>
      </c>
      <c r="F75" s="60">
        <f>'TX-CON-GL '!D75</f>
        <v>0</v>
      </c>
      <c r="G75" s="38">
        <f>'TX-CON-GL '!E75</f>
        <v>15000</v>
      </c>
      <c r="H75" s="60">
        <f t="shared" si="14"/>
        <v>0</v>
      </c>
      <c r="I75" s="38">
        <f t="shared" si="14"/>
        <v>-12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-4049</v>
      </c>
      <c r="F76" s="60">
        <f>'TX-CON-GL '!D76</f>
        <v>0</v>
      </c>
      <c r="G76" s="38">
        <f>'TX-CON-GL 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222403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1919710.2171999775</v>
      </c>
      <c r="F82" s="109">
        <f>F16+F24+F29+F36+F43+F45+F47+F49</f>
        <v>0</v>
      </c>
      <c r="G82" s="110">
        <f>SUM(G72:G81)+G16+G24+G29+G36+G43+G45+G47+G49+G51+G56+G61+G66</f>
        <v>1731459.4679999934</v>
      </c>
      <c r="H82" s="109">
        <f>H16+H24+H29+H36+H43+H45+H47+H49</f>
        <v>0</v>
      </c>
      <c r="I82" s="110">
        <f>SUM(I72:I81)+I16+I24+I29+I36+I43+I45+I47+I49+I51+I56+I61+I66</f>
        <v>-188250.74920000462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2301485</v>
      </c>
      <c r="H86" s="145">
        <f t="shared" ref="H86:I88" si="15">F86-D86</f>
        <v>0</v>
      </c>
      <c r="I86" s="145">
        <f t="shared" si="15"/>
        <v>2231413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-1925000</v>
      </c>
      <c r="H88" s="147">
        <f t="shared" si="15"/>
        <v>0</v>
      </c>
      <c r="I88" s="147">
        <f t="shared" si="15"/>
        <v>-1925000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306413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1989782.2171999775</v>
      </c>
      <c r="F91" s="155">
        <f t="shared" si="17"/>
        <v>0</v>
      </c>
      <c r="G91" s="155">
        <f t="shared" si="17"/>
        <v>2107944.4679999934</v>
      </c>
      <c r="H91" s="155">
        <f t="shared" si="17"/>
        <v>0</v>
      </c>
      <c r="I91" s="155">
        <f t="shared" si="17"/>
        <v>118162.25079999538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40114955</v>
      </c>
      <c r="E11" s="66">
        <f>'WE-FLSH'!M11</f>
        <v>99077880</v>
      </c>
      <c r="F11" s="60">
        <f>'WE-GL '!D11</f>
        <v>39330953</v>
      </c>
      <c r="G11" s="38">
        <f>'WE-GL '!E11</f>
        <v>92733394.799999997</v>
      </c>
      <c r="H11" s="60">
        <f>F11-D11</f>
        <v>-784002</v>
      </c>
      <c r="I11" s="38">
        <f>G11-E11</f>
        <v>-6344485.200000003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6017954.2699999996</v>
      </c>
      <c r="H12" s="60">
        <f>F12-D12</f>
        <v>0</v>
      </c>
      <c r="I12" s="38">
        <f>G12-E12</f>
        <v>6017954.2699999996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12496421</v>
      </c>
      <c r="E13" s="66">
        <f>'WE-FLSH'!M13</f>
        <v>31446645</v>
      </c>
      <c r="F13" s="60">
        <f>'WE-GL '!D13</f>
        <v>30000</v>
      </c>
      <c r="G13" s="38">
        <f>'WE-GL '!E13</f>
        <v>79500</v>
      </c>
      <c r="H13" s="60">
        <f t="shared" ref="H13:I15" si="0">F13-D13</f>
        <v>-12466421</v>
      </c>
      <c r="I13" s="38">
        <f t="shared" si="0"/>
        <v>-31367145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1139491.1299999999</v>
      </c>
      <c r="H15" s="60">
        <f t="shared" si="0"/>
        <v>0</v>
      </c>
      <c r="I15" s="38">
        <f t="shared" si="0"/>
        <v>1139491.1299999999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52611376</v>
      </c>
      <c r="E16" s="39">
        <f t="shared" si="1"/>
        <v>130524525</v>
      </c>
      <c r="F16" s="61">
        <f t="shared" si="1"/>
        <v>39360953</v>
      </c>
      <c r="G16" s="39">
        <f t="shared" si="1"/>
        <v>99970340.199999988</v>
      </c>
      <c r="H16" s="61">
        <f t="shared" si="1"/>
        <v>-13250423</v>
      </c>
      <c r="I16" s="39">
        <f t="shared" si="1"/>
        <v>-30554184.800000004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-40238851</v>
      </c>
      <c r="E19" s="66">
        <f>'WE-FLSH'!M19</f>
        <v>-98448147</v>
      </c>
      <c r="F19" s="60">
        <f>'WE-GL '!D19</f>
        <v>-40229358</v>
      </c>
      <c r="G19" s="38">
        <f>'WE-GL '!E19</f>
        <v>-97830857.479999989</v>
      </c>
      <c r="H19" s="60">
        <f>F19-D19</f>
        <v>9493</v>
      </c>
      <c r="I19" s="38">
        <f>G19-E19</f>
        <v>617289.52000001073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-2476854.09</v>
      </c>
      <c r="H20" s="60">
        <f>F20-D20</f>
        <v>0</v>
      </c>
      <c r="I20" s="38">
        <f>G20-E20</f>
        <v>-2476854.09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-12490224</v>
      </c>
      <c r="E21" s="66">
        <f>'WE-FLSH'!M21</f>
        <v>-31431478</v>
      </c>
      <c r="F21" s="60">
        <f>'WE-GL '!D21</f>
        <v>-30000</v>
      </c>
      <c r="G21" s="38">
        <f>'WE-GL '!E21</f>
        <v>-79800</v>
      </c>
      <c r="H21" s="60">
        <f t="shared" ref="H21:I23" si="2">F21-D21</f>
        <v>12460224</v>
      </c>
      <c r="I21" s="38">
        <f t="shared" si="2"/>
        <v>31351678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262303</v>
      </c>
      <c r="E23" s="66">
        <f>'WE-FLSH'!M23</f>
        <v>640136</v>
      </c>
      <c r="F23" s="60">
        <f>'WE-GL '!D23</f>
        <v>330069</v>
      </c>
      <c r="G23" s="38">
        <f>'WE-GL '!E23</f>
        <v>793155.80700000003</v>
      </c>
      <c r="H23" s="60">
        <f t="shared" si="2"/>
        <v>67766</v>
      </c>
      <c r="I23" s="38">
        <f t="shared" si="2"/>
        <v>153019.80700000003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-52466772</v>
      </c>
      <c r="E24" s="39">
        <f t="shared" si="3"/>
        <v>-129239489</v>
      </c>
      <c r="F24" s="61">
        <f t="shared" si="3"/>
        <v>-39929289</v>
      </c>
      <c r="G24" s="39">
        <f t="shared" si="3"/>
        <v>-99594355.762999997</v>
      </c>
      <c r="H24" s="61">
        <f t="shared" si="3"/>
        <v>12537483</v>
      </c>
      <c r="I24" s="39">
        <f t="shared" si="3"/>
        <v>29645133.237000011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710110</v>
      </c>
      <c r="G27" s="38">
        <f>'WE-GL '!E27</f>
        <v>1751374.36</v>
      </c>
      <c r="H27" s="60">
        <f>F27-D27</f>
        <v>710110</v>
      </c>
      <c r="I27" s="38">
        <f>G27-E27</f>
        <v>1751374.36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710110</v>
      </c>
      <c r="G29" s="70">
        <f t="shared" si="4"/>
        <v>1751374.36</v>
      </c>
      <c r="H29" s="69">
        <f t="shared" si="4"/>
        <v>710110</v>
      </c>
      <c r="I29" s="70">
        <f t="shared" si="4"/>
        <v>1751374.36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-11664</v>
      </c>
      <c r="E32" s="66">
        <f>'WE-FLSH'!M32</f>
        <v>-27603</v>
      </c>
      <c r="F32" s="60">
        <f>'WE-GL '!D32</f>
        <v>22063</v>
      </c>
      <c r="G32" s="38">
        <f>'WE-GL '!E32</f>
        <v>53017.388999999966</v>
      </c>
      <c r="H32" s="60">
        <f>F32-D32</f>
        <v>33727</v>
      </c>
      <c r="I32" s="38">
        <f>G32-E32</f>
        <v>80620.388999999966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0</v>
      </c>
      <c r="G33" s="38">
        <f>'WE-GL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4525</v>
      </c>
      <c r="G34" s="38">
        <f>'WE-GL '!E34</f>
        <v>10833.05</v>
      </c>
      <c r="H34" s="60">
        <f t="shared" si="5"/>
        <v>4525</v>
      </c>
      <c r="I34" s="38">
        <f t="shared" si="5"/>
        <v>10833.05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-9751</v>
      </c>
      <c r="E35" s="66">
        <f>'WE-FLSH'!M35</f>
        <v>-17021</v>
      </c>
      <c r="F35" s="60">
        <f>'WE-GL '!D35</f>
        <v>0</v>
      </c>
      <c r="G35" s="38">
        <f>'WE-GL '!E35</f>
        <v>0</v>
      </c>
      <c r="H35" s="60">
        <f t="shared" si="5"/>
        <v>9751</v>
      </c>
      <c r="I35" s="38">
        <f t="shared" si="5"/>
        <v>17021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-21415</v>
      </c>
      <c r="E36" s="39">
        <f t="shared" si="6"/>
        <v>-44624</v>
      </c>
      <c r="F36" s="61">
        <f t="shared" si="6"/>
        <v>26588</v>
      </c>
      <c r="G36" s="39">
        <f t="shared" si="6"/>
        <v>63850.438999999969</v>
      </c>
      <c r="H36" s="61">
        <f t="shared" si="6"/>
        <v>48003</v>
      </c>
      <c r="I36" s="39">
        <f t="shared" si="6"/>
        <v>108474.43899999997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29363</v>
      </c>
      <c r="E39" s="66">
        <f>'WE-FLSH'!M39</f>
        <v>69225</v>
      </c>
      <c r="F39" s="60">
        <f>'WE-GL '!D39</f>
        <v>42625</v>
      </c>
      <c r="G39" s="38">
        <f>'WE-GL '!E39</f>
        <v>104155.11</v>
      </c>
      <c r="H39" s="60">
        <f t="shared" ref="H39:I41" si="7">F39-D39</f>
        <v>13262</v>
      </c>
      <c r="I39" s="38">
        <f t="shared" si="7"/>
        <v>34930.11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-470</v>
      </c>
      <c r="E40" s="66">
        <f>'WE-FLSH'!M40</f>
        <v>-1069</v>
      </c>
      <c r="F40" s="60">
        <f>'WE-GL '!D40</f>
        <v>20247</v>
      </c>
      <c r="G40" s="38">
        <f>'WE-GL '!E40</f>
        <v>47285.43</v>
      </c>
      <c r="H40" s="60">
        <f t="shared" si="7"/>
        <v>20717</v>
      </c>
      <c r="I40" s="38">
        <f t="shared" si="7"/>
        <v>48354.43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-470</v>
      </c>
      <c r="E42" s="39">
        <f t="shared" si="8"/>
        <v>-1069</v>
      </c>
      <c r="F42" s="61">
        <f t="shared" si="8"/>
        <v>20247</v>
      </c>
      <c r="G42" s="39">
        <f t="shared" si="8"/>
        <v>47285.43</v>
      </c>
      <c r="H42" s="61">
        <f t="shared" si="8"/>
        <v>20717</v>
      </c>
      <c r="I42" s="39">
        <f t="shared" si="8"/>
        <v>48354.43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28893</v>
      </c>
      <c r="E43" s="39">
        <f t="shared" si="9"/>
        <v>68156</v>
      </c>
      <c r="F43" s="61">
        <f t="shared" si="9"/>
        <v>62872</v>
      </c>
      <c r="G43" s="39">
        <f t="shared" si="9"/>
        <v>151440.54</v>
      </c>
      <c r="H43" s="61">
        <f t="shared" si="9"/>
        <v>33979</v>
      </c>
      <c r="I43" s="39">
        <f t="shared" si="9"/>
        <v>83284.540000000008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-152082</v>
      </c>
      <c r="E49" s="66">
        <f>'WE-FLSH'!M49</f>
        <v>-365450.84604970174</v>
      </c>
      <c r="F49" s="60">
        <f>'WE-GL '!D49</f>
        <v>-231234</v>
      </c>
      <c r="G49" s="38">
        <f>'WE-GL '!E49</f>
        <v>-555655.30199999991</v>
      </c>
      <c r="H49" s="60">
        <f>F49-D49</f>
        <v>-79152</v>
      </c>
      <c r="I49" s="38">
        <f>G49-E49</f>
        <v>-190204.45595029817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-262303</v>
      </c>
      <c r="E51" s="66">
        <f>'WE-FLSH'!M51</f>
        <v>-640136</v>
      </c>
      <c r="F51" s="60">
        <f>'WE-GL '!D51</f>
        <v>-330069</v>
      </c>
      <c r="G51" s="38">
        <f>'WE-GL '!E51</f>
        <v>-793155.80700000003</v>
      </c>
      <c r="H51" s="60">
        <f>F51-D51</f>
        <v>-67766</v>
      </c>
      <c r="I51" s="38">
        <f>G51-E51</f>
        <v>-153019.80700000003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-167389</v>
      </c>
      <c r="F54" s="60">
        <f>'WE-GL '!D54</f>
        <v>-19121210</v>
      </c>
      <c r="G54" s="38">
        <f>'WE-GL '!E54</f>
        <v>-709992.95000000007</v>
      </c>
      <c r="H54" s="60">
        <f>F54-D54</f>
        <v>-19121210</v>
      </c>
      <c r="I54" s="38">
        <f>G54-E54</f>
        <v>-542603.95000000007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-802458.92</v>
      </c>
      <c r="F55" s="60">
        <f>'WE-GL '!D55</f>
        <v>0</v>
      </c>
      <c r="G55" s="38">
        <f>'WE-GL '!E55</f>
        <v>-2279474.4900000002</v>
      </c>
      <c r="H55" s="60">
        <f>F55-D55</f>
        <v>0</v>
      </c>
      <c r="I55" s="38">
        <f>G55-E55</f>
        <v>-1477015.5700000003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-969847.92</v>
      </c>
      <c r="F56" s="61">
        <f t="shared" si="10"/>
        <v>-19121210</v>
      </c>
      <c r="G56" s="39">
        <f t="shared" si="10"/>
        <v>-2989467.4400000004</v>
      </c>
      <c r="H56" s="61">
        <f t="shared" si="10"/>
        <v>-19121210</v>
      </c>
      <c r="I56" s="39">
        <f t="shared" si="10"/>
        <v>-2019619.5200000005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2516504.2799999998</v>
      </c>
      <c r="F70" s="60">
        <f>'WE-GL '!D70</f>
        <v>0</v>
      </c>
      <c r="G70" s="38">
        <f>'WE-GL '!E70</f>
        <v>2516504.2799999998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-6953222</v>
      </c>
      <c r="F71" s="60">
        <f>'WE-GL '!D71</f>
        <v>0</v>
      </c>
      <c r="G71" s="38">
        <f>'WE-GL '!E71</f>
        <v>-6953222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-4436717.7200000007</v>
      </c>
      <c r="F72" s="61">
        <f t="shared" si="13"/>
        <v>0</v>
      </c>
      <c r="G72" s="39">
        <f t="shared" si="13"/>
        <v>-4436717.7200000007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4906529</v>
      </c>
      <c r="F74" s="60">
        <f>'WE-GL '!D74</f>
        <v>0</v>
      </c>
      <c r="G74" s="38">
        <f>'WE-GL '!E74</f>
        <v>5170442.1100000003</v>
      </c>
      <c r="H74" s="60">
        <f t="shared" ref="H74:I79" si="14">F74-D74</f>
        <v>0</v>
      </c>
      <c r="I74" s="38">
        <f t="shared" si="14"/>
        <v>263913.11000000034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-19005</v>
      </c>
      <c r="F76" s="60">
        <f>'WE-GL '!D76</f>
        <v>0</v>
      </c>
      <c r="G76" s="38">
        <f>'WE-GL '!E76</f>
        <v>-20492.550000000003</v>
      </c>
      <c r="H76" s="60">
        <f t="shared" si="14"/>
        <v>0</v>
      </c>
      <c r="I76" s="38">
        <f t="shared" si="14"/>
        <v>-1487.5500000000029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1656734.75</v>
      </c>
      <c r="F81" s="60">
        <f>'WE-GL '!D81</f>
        <v>0</v>
      </c>
      <c r="G81" s="38">
        <f>'WE-GL '!E81</f>
        <v>4881.84</v>
      </c>
      <c r="H81" s="60">
        <f>F81-D81</f>
        <v>0</v>
      </c>
      <c r="I81" s="38">
        <f>G81-E81</f>
        <v>-1651852.91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1440674.2639502995</v>
      </c>
      <c r="F82" s="109">
        <f>F16+F24+F29+F36+F43+F45+F47+F49</f>
        <v>0</v>
      </c>
      <c r="G82" s="110">
        <f>SUM(G72:G81)+G16+G24+G29+G36+G43+G45+G47+G49+G51+G56+G61+G66</f>
        <v>-1277515.0930000162</v>
      </c>
      <c r="H82" s="109">
        <f>H16+H24+H29+H36+H43+H45+H47+H49</f>
        <v>0</v>
      </c>
      <c r="I82" s="110">
        <f>SUM(I72:I81)+I16+I24+I29+I36+I43+I45+I47+I49+I51+I56+I61+I66</f>
        <v>-2718189.3569502938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4188330</v>
      </c>
      <c r="E11" s="66">
        <f>'DEN-FLSH'!M11</f>
        <v>9835988</v>
      </c>
      <c r="F11" s="60">
        <f>'DEN-GL'!D11</f>
        <v>4211571</v>
      </c>
      <c r="G11" s="38">
        <f>'DEN-GL'!E11</f>
        <v>9791395.7899999991</v>
      </c>
      <c r="H11" s="60">
        <f>F11-D11</f>
        <v>23241</v>
      </c>
      <c r="I11" s="38">
        <f>G11-E11</f>
        <v>-44592.210000000894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-480009.7</v>
      </c>
      <c r="H12" s="60">
        <f>F12-D12</f>
        <v>0</v>
      </c>
      <c r="I12" s="38">
        <f>G12-E12</f>
        <v>-480009.7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4793099</v>
      </c>
      <c r="E13" s="66">
        <f>'DEN-FLSH'!M13</f>
        <v>11586227</v>
      </c>
      <c r="F13" s="60">
        <f>'DEN-GL'!D13</f>
        <v>345314</v>
      </c>
      <c r="G13" s="38">
        <f>'DEN-GL'!E13</f>
        <v>875803</v>
      </c>
      <c r="H13" s="60">
        <f t="shared" ref="H13:I15" si="0">F13-D13</f>
        <v>-4447785</v>
      </c>
      <c r="I13" s="38">
        <f t="shared" si="0"/>
        <v>-10710424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5736.78</v>
      </c>
      <c r="H15" s="60">
        <f t="shared" si="0"/>
        <v>0</v>
      </c>
      <c r="I15" s="38">
        <f t="shared" si="0"/>
        <v>5736.78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8981429</v>
      </c>
      <c r="E16" s="39">
        <f t="shared" si="1"/>
        <v>21422215</v>
      </c>
      <c r="F16" s="61">
        <f t="shared" si="1"/>
        <v>4556885</v>
      </c>
      <c r="G16" s="39">
        <f t="shared" si="1"/>
        <v>10192925.869999999</v>
      </c>
      <c r="H16" s="61">
        <f t="shared" si="1"/>
        <v>-4424544</v>
      </c>
      <c r="I16" s="39">
        <f t="shared" si="1"/>
        <v>-11229289.130000001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-5337442</v>
      </c>
      <c r="E19" s="66">
        <f>'DEN-FLSH'!M19</f>
        <v>-11954334</v>
      </c>
      <c r="F19" s="60">
        <f>'DEN-GL'!D19</f>
        <v>-5298343</v>
      </c>
      <c r="G19" s="38">
        <f>'DEN-GL'!E19</f>
        <v>-11883829.48</v>
      </c>
      <c r="H19" s="60">
        <f>F19-D19</f>
        <v>39099</v>
      </c>
      <c r="I19" s="38">
        <f>G19-E19</f>
        <v>70504.519999999553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394265.22</v>
      </c>
      <c r="H20" s="60">
        <f>F20-D20</f>
        <v>0</v>
      </c>
      <c r="I20" s="38">
        <f>G20-E20</f>
        <v>394265.22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-3870800</v>
      </c>
      <c r="E21" s="66">
        <f>'DEN-FLSH'!M21</f>
        <v>-9286254</v>
      </c>
      <c r="F21" s="60">
        <f>'DEN-GL'!D21</f>
        <v>-87</v>
      </c>
      <c r="G21" s="38">
        <f>'DEN-GL'!E21</f>
        <v>-227</v>
      </c>
      <c r="H21" s="60">
        <f t="shared" ref="H21:I23" si="2">F21-D21</f>
        <v>3870713</v>
      </c>
      <c r="I21" s="38">
        <f t="shared" si="2"/>
        <v>9286027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15734</v>
      </c>
      <c r="E23" s="66">
        <f>'DEN-FLSH'!M23</f>
        <v>36373</v>
      </c>
      <c r="F23" s="60">
        <f>'DEN-GL'!D23</f>
        <v>3335</v>
      </c>
      <c r="G23" s="38">
        <f>'DEN-GL'!E23</f>
        <v>7790.56</v>
      </c>
      <c r="H23" s="60">
        <f t="shared" si="2"/>
        <v>-12399</v>
      </c>
      <c r="I23" s="38">
        <f t="shared" si="2"/>
        <v>-28582.44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-9192508</v>
      </c>
      <c r="E24" s="39">
        <f t="shared" si="3"/>
        <v>-21204215</v>
      </c>
      <c r="F24" s="61">
        <f t="shared" si="3"/>
        <v>-5295095</v>
      </c>
      <c r="G24" s="39">
        <f t="shared" si="3"/>
        <v>-11482000.699999999</v>
      </c>
      <c r="H24" s="61">
        <f t="shared" si="3"/>
        <v>3897413</v>
      </c>
      <c r="I24" s="39">
        <f t="shared" si="3"/>
        <v>9722214.3000000007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4148</v>
      </c>
      <c r="E32" s="66">
        <f>'DEN-FLSH'!M32</f>
        <v>8691</v>
      </c>
      <c r="F32" s="60">
        <f>'DEN-GL'!D32</f>
        <v>27983</v>
      </c>
      <c r="G32" s="38">
        <f>'DEN-GL'!E32</f>
        <v>65368.288000000008</v>
      </c>
      <c r="H32" s="60">
        <f>F32-D32</f>
        <v>23835</v>
      </c>
      <c r="I32" s="38">
        <f>G32-E32</f>
        <v>56677.288000000008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4148</v>
      </c>
      <c r="E36" s="39">
        <f t="shared" si="6"/>
        <v>8691</v>
      </c>
      <c r="F36" s="61">
        <f t="shared" si="6"/>
        <v>27983</v>
      </c>
      <c r="G36" s="39">
        <f t="shared" si="6"/>
        <v>65368.288000000008</v>
      </c>
      <c r="H36" s="61">
        <f t="shared" si="6"/>
        <v>23835</v>
      </c>
      <c r="I36" s="39">
        <f t="shared" si="6"/>
        <v>56677.288000000008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206931</v>
      </c>
      <c r="E49" s="66">
        <f>'DEN-FLSH'!M49</f>
        <v>483447.79135326593</v>
      </c>
      <c r="F49" s="60">
        <f>'DEN-GL'!D49</f>
        <v>710227</v>
      </c>
      <c r="G49" s="38">
        <f>'DEN-GL'!E49</f>
        <v>1659090.2719999996</v>
      </c>
      <c r="H49" s="60">
        <f>F49-D49</f>
        <v>503296</v>
      </c>
      <c r="I49" s="38">
        <f>G49-E49</f>
        <v>1175642.4806467337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-15734</v>
      </c>
      <c r="E51" s="66">
        <f>'DEN-FLSH'!M51</f>
        <v>-36373</v>
      </c>
      <c r="F51" s="60">
        <f>'DEN-GL'!D51</f>
        <v>-3335</v>
      </c>
      <c r="G51" s="38">
        <f>'DEN-GL'!E51</f>
        <v>-7790.56</v>
      </c>
      <c r="H51" s="60">
        <f>F51-D51</f>
        <v>12399</v>
      </c>
      <c r="I51" s="38">
        <f>G51-E51</f>
        <v>28582.44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-141551.28</v>
      </c>
      <c r="F54" s="60">
        <f>'DEN-GL'!D54</f>
        <v>-8211647</v>
      </c>
      <c r="G54" s="38">
        <f>'DEN-GL'!E54</f>
        <v>-151392.33000000002</v>
      </c>
      <c r="H54" s="60">
        <f>F54-D54</f>
        <v>-8211647</v>
      </c>
      <c r="I54" s="38">
        <f>G54-E54</f>
        <v>-9841.0500000000175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-371579.5</v>
      </c>
      <c r="F55" s="60">
        <f>'DEN-GL'!D55</f>
        <v>0</v>
      </c>
      <c r="G55" s="38">
        <f>'DEN-GL'!E55</f>
        <v>-382664.12</v>
      </c>
      <c r="H55" s="60">
        <f>F55-D55</f>
        <v>0</v>
      </c>
      <c r="I55" s="38">
        <f>G55-E55</f>
        <v>-11084.619999999995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-513130.78</v>
      </c>
      <c r="F56" s="61">
        <f t="shared" si="10"/>
        <v>-8211647</v>
      </c>
      <c r="G56" s="39">
        <f t="shared" si="10"/>
        <v>-534056.44999999995</v>
      </c>
      <c r="H56" s="61">
        <f t="shared" si="10"/>
        <v>-8211647</v>
      </c>
      <c r="I56" s="39">
        <f t="shared" si="10"/>
        <v>-20925.670000000013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-9098.9600000001956</v>
      </c>
      <c r="F70" s="60">
        <f>'DEN-GL'!D70</f>
        <v>0</v>
      </c>
      <c r="G70" s="38">
        <f>'DEN-GL'!E70</f>
        <v>-9099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-9098.9600000001956</v>
      </c>
      <c r="F72" s="61">
        <f t="shared" si="13"/>
        <v>0</v>
      </c>
      <c r="G72" s="39">
        <f t="shared" si="13"/>
        <v>-9099</v>
      </c>
      <c r="H72" s="61">
        <f t="shared" si="13"/>
        <v>0</v>
      </c>
      <c r="I72" s="39">
        <f t="shared" si="13"/>
        <v>-3.9999999804422259E-2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25575</v>
      </c>
      <c r="F74" s="60">
        <f>'DEN-GL'!D74</f>
        <v>0</v>
      </c>
      <c r="G74" s="38">
        <f>'DEN-GL'!E74</f>
        <v>22124</v>
      </c>
      <c r="H74" s="60">
        <f t="shared" ref="H74:I79" si="14">F74-D74</f>
        <v>0</v>
      </c>
      <c r="I74" s="38">
        <f t="shared" si="14"/>
        <v>-3451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-187291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187291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-10179.948646734934</v>
      </c>
      <c r="F82" s="109">
        <f>F16+F24+F29+F36+F43+F45+F47+F49</f>
        <v>0</v>
      </c>
      <c r="G82" s="110">
        <f>SUM(G72:G81)+G16+G24+G29+G36+G43+G45+G47+G49+G51+G56+G61+G66</f>
        <v>-93438.280000000435</v>
      </c>
      <c r="H82" s="109">
        <f>H16+H24+H29+H36+H43+H45+H47+H49</f>
        <v>0</v>
      </c>
      <c r="I82" s="110">
        <f>SUM(I72:I81)+I16+I24+I29+I36+I43+I45+I47+I49+I51+I56+I61+I66</f>
        <v>-83258.331353265588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19">
        <f>+'DEN-FLSH'!M86</f>
        <v>405697</v>
      </c>
      <c r="F86" s="67">
        <f>'DEN-GL'!D86</f>
        <v>0</v>
      </c>
      <c r="G86" s="216">
        <f>'DEN-GL'!E86</f>
        <v>472991</v>
      </c>
      <c r="H86" s="216">
        <f t="shared" ref="H86:I88" si="15">F86-D86</f>
        <v>0</v>
      </c>
      <c r="I86" s="145">
        <f t="shared" si="15"/>
        <v>67294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5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0</v>
      </c>
      <c r="H88" s="218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1">
        <f t="shared" ref="D89:I89" si="16">SUM(D86:D88)</f>
        <v>0</v>
      </c>
      <c r="E89" s="221">
        <f t="shared" si="16"/>
        <v>405697</v>
      </c>
      <c r="F89" s="221">
        <f t="shared" si="16"/>
        <v>0</v>
      </c>
      <c r="G89" s="221">
        <f t="shared" si="16"/>
        <v>472723</v>
      </c>
      <c r="H89" s="160">
        <f t="shared" si="16"/>
        <v>0</v>
      </c>
      <c r="I89" s="160">
        <f t="shared" si="16"/>
        <v>67026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8752473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-8752473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5850792</v>
      </c>
      <c r="H13" s="60">
        <f t="shared" ref="H13:I15" si="0">F13-D13</f>
        <v>0</v>
      </c>
      <c r="I13" s="38">
        <f t="shared" si="0"/>
        <v>5850792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8752473</v>
      </c>
      <c r="F16" s="61">
        <f t="shared" si="1"/>
        <v>0</v>
      </c>
      <c r="G16" s="39">
        <f t="shared" si="1"/>
        <v>5850792</v>
      </c>
      <c r="H16" s="61">
        <f t="shared" si="1"/>
        <v>0</v>
      </c>
      <c r="I16" s="39">
        <f t="shared" si="1"/>
        <v>-2901681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1428901</v>
      </c>
      <c r="H41" s="60">
        <f t="shared" si="7"/>
        <v>0</v>
      </c>
      <c r="I41" s="38">
        <f t="shared" si="7"/>
        <v>1428901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1428901</v>
      </c>
      <c r="H42" s="69">
        <f t="shared" si="8"/>
        <v>0</v>
      </c>
      <c r="I42" s="70">
        <f t="shared" si="8"/>
        <v>1428901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1428901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-15092193.5</v>
      </c>
      <c r="F70" s="60">
        <f>STG_GL!D70</f>
        <v>0</v>
      </c>
      <c r="G70" s="38">
        <f>STG_GL!E70</f>
        <v>-15092154</v>
      </c>
      <c r="H70" s="60">
        <f>F70-D70</f>
        <v>0</v>
      </c>
      <c r="I70" s="38">
        <f>G70-E70</f>
        <v>39.5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-15092193.5</v>
      </c>
      <c r="F72" s="69">
        <f t="shared" si="13"/>
        <v>0</v>
      </c>
      <c r="G72" s="70">
        <f t="shared" si="13"/>
        <v>-15092154</v>
      </c>
      <c r="H72" s="69">
        <f t="shared" si="13"/>
        <v>0</v>
      </c>
      <c r="I72" s="70">
        <f t="shared" si="13"/>
        <v>39.5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-3</v>
      </c>
      <c r="H73" s="60">
        <f>F73-D73</f>
        <v>0</v>
      </c>
      <c r="I73" s="38">
        <f>G73-E73</f>
        <v>-3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9582508</v>
      </c>
      <c r="F74" s="60">
        <f>STG_GL!D74</f>
        <v>0</v>
      </c>
      <c r="G74" s="38">
        <f>STG_GL!E74</f>
        <v>10419340.220000001</v>
      </c>
      <c r="H74" s="60">
        <f t="shared" ref="H74:I79" si="14">F74-D74</f>
        <v>0</v>
      </c>
      <c r="I74" s="38">
        <f t="shared" si="14"/>
        <v>836832.22000000067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-18007.5</v>
      </c>
      <c r="F76" s="60">
        <f>STG_GL!D76</f>
        <v>0</v>
      </c>
      <c r="G76" s="38">
        <f>STG_GL!E76</f>
        <v>-18007.5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5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-820129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730134</v>
      </c>
    </row>
    <row r="80" spans="1:9" x14ac:dyDescent="0.25">
      <c r="A80" s="9">
        <v>39</v>
      </c>
      <c r="B80" s="3"/>
      <c r="C80" s="10" t="s">
        <v>217</v>
      </c>
      <c r="D80" s="65">
        <f>STG_FLSH!L80</f>
        <v>0</v>
      </c>
      <c r="E80" s="66">
        <f>STG_FLSH!M80</f>
        <v>-187922</v>
      </c>
      <c r="F80" s="60">
        <f>STG_GL!D80</f>
        <v>0</v>
      </c>
      <c r="G80" s="38">
        <f>STG_GL!E80</f>
        <v>-89144</v>
      </c>
      <c r="H80" s="60">
        <f>F80-D80</f>
        <v>0</v>
      </c>
      <c r="I80" s="38">
        <f>G80-E80</f>
        <v>98778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2704302</v>
      </c>
      <c r="F82" s="109">
        <f>F16+F24+F29+F36+F43+F45+F47+F49</f>
        <v>0</v>
      </c>
      <c r="G82" s="110">
        <f>SUM(G72:G81)+G16+G24+G29+G36+G43+G45+G47+G49+G51+G56+G61+G66</f>
        <v>2129979.7200000007</v>
      </c>
      <c r="H82" s="109">
        <f>H16+H24+H29+H36+H43+H45+H47+H49</f>
        <v>0</v>
      </c>
      <c r="I82" s="110">
        <f>SUM(I72:I81)+I16+I24+I29+I36+I43+I45+I47+I49+I51+I56+I61+I66</f>
        <v>-574322.27999999933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40570776</v>
      </c>
      <c r="E11" s="66">
        <f>ONT_FLSH!M11</f>
        <v>107384109</v>
      </c>
      <c r="F11" s="60">
        <f>'ONT_GL '!D11</f>
        <v>41267440</v>
      </c>
      <c r="G11" s="38">
        <f>'ONT_GL '!E11</f>
        <v>95366307.109999999</v>
      </c>
      <c r="H11" s="60">
        <f>F11-D11</f>
        <v>696664</v>
      </c>
      <c r="I11" s="38">
        <f>G11-E11</f>
        <v>-12017801.890000001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14461558.24</v>
      </c>
      <c r="H12" s="60">
        <f>F12-D12</f>
        <v>0</v>
      </c>
      <c r="I12" s="38">
        <f>G12-E12</f>
        <v>14461558.24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2609695</v>
      </c>
      <c r="E13" s="66">
        <f>ONT_FLSH!M13</f>
        <v>7032887</v>
      </c>
      <c r="F13" s="60">
        <f>'ONT_GL '!D13</f>
        <v>800196</v>
      </c>
      <c r="G13" s="38">
        <f>'ONT_GL '!E13</f>
        <v>2219141</v>
      </c>
      <c r="H13" s="60">
        <f t="shared" ref="H13:I15" si="0">F13-D13</f>
        <v>-1809499</v>
      </c>
      <c r="I13" s="38">
        <f t="shared" si="0"/>
        <v>-4813746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-4500</v>
      </c>
      <c r="H15" s="60">
        <f t="shared" si="0"/>
        <v>0</v>
      </c>
      <c r="I15" s="38">
        <f t="shared" si="0"/>
        <v>-4500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43180471</v>
      </c>
      <c r="E16" s="39">
        <f t="shared" si="1"/>
        <v>114416996</v>
      </c>
      <c r="F16" s="61">
        <f t="shared" si="1"/>
        <v>42067636</v>
      </c>
      <c r="G16" s="39">
        <f t="shared" si="1"/>
        <v>112042506.34999999</v>
      </c>
      <c r="H16" s="61">
        <f t="shared" si="1"/>
        <v>-1112835</v>
      </c>
      <c r="I16" s="39">
        <f t="shared" si="1"/>
        <v>-2374489.6500000004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-42745216</v>
      </c>
      <c r="E19" s="66">
        <f>ONT_FLSH!M19</f>
        <v>-112922463</v>
      </c>
      <c r="F19" s="60">
        <f>'ONT_GL '!D19</f>
        <v>-43254176</v>
      </c>
      <c r="G19" s="38">
        <f>'ONT_GL '!E19</f>
        <v>-107626829.68000001</v>
      </c>
      <c r="H19" s="60">
        <f>F19-D19</f>
        <v>-508960</v>
      </c>
      <c r="I19" s="38">
        <f>G19-E19</f>
        <v>5295633.3199999928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-8304668.7000000002</v>
      </c>
      <c r="H20" s="60">
        <f>F20-D20</f>
        <v>0</v>
      </c>
      <c r="I20" s="38">
        <f>G20-E20</f>
        <v>-8304668.7000000002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-646403</v>
      </c>
      <c r="E21" s="66">
        <f>ONT_FLSH!M21</f>
        <v>-1785006</v>
      </c>
      <c r="F21" s="60">
        <f>'ONT_GL '!D21</f>
        <v>-356402</v>
      </c>
      <c r="G21" s="38">
        <f>'ONT_GL '!E21</f>
        <v>-1013197</v>
      </c>
      <c r="H21" s="60">
        <f t="shared" ref="H21:I23" si="2">F21-D21</f>
        <v>290001</v>
      </c>
      <c r="I21" s="38">
        <f t="shared" si="2"/>
        <v>771809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60754</v>
      </c>
      <c r="G23" s="38">
        <f>'ONT_GL '!E23</f>
        <v>166465.96</v>
      </c>
      <c r="H23" s="60">
        <f t="shared" si="2"/>
        <v>60754</v>
      </c>
      <c r="I23" s="38">
        <f t="shared" si="2"/>
        <v>166465.96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-43391619</v>
      </c>
      <c r="E24" s="39">
        <f t="shared" si="3"/>
        <v>-114707469</v>
      </c>
      <c r="F24" s="61">
        <f t="shared" si="3"/>
        <v>-43549824</v>
      </c>
      <c r="G24" s="39">
        <f t="shared" si="3"/>
        <v>-116778229.42000002</v>
      </c>
      <c r="H24" s="61">
        <f t="shared" si="3"/>
        <v>-158205</v>
      </c>
      <c r="I24" s="39">
        <f t="shared" si="3"/>
        <v>-2070760.4200000074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824246</v>
      </c>
      <c r="G32" s="38">
        <f>'ONT_GL '!E32</f>
        <v>2258434.04</v>
      </c>
      <c r="H32" s="60">
        <f>F32-D32</f>
        <v>824246</v>
      </c>
      <c r="I32" s="38">
        <f>G32-E32</f>
        <v>2258434.04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824246</v>
      </c>
      <c r="G36" s="39">
        <f t="shared" si="6"/>
        <v>2258434.04</v>
      </c>
      <c r="H36" s="61">
        <f t="shared" si="6"/>
        <v>824246</v>
      </c>
      <c r="I36" s="39">
        <f t="shared" si="6"/>
        <v>2258434.04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211148</v>
      </c>
      <c r="E49" s="66">
        <f>ONT_FLSH!M49</f>
        <v>578545.52</v>
      </c>
      <c r="F49" s="60">
        <f>'ONT_GL '!D49</f>
        <v>657942</v>
      </c>
      <c r="G49" s="38">
        <f>'ONT_GL '!E49</f>
        <v>1802761.08</v>
      </c>
      <c r="H49" s="60">
        <f>F49-D49</f>
        <v>446794</v>
      </c>
      <c r="I49" s="38">
        <f>G49-E49</f>
        <v>1224215.56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-60754</v>
      </c>
      <c r="G51" s="38">
        <f>'ONT_GL '!E51</f>
        <v>-166465.96</v>
      </c>
      <c r="H51" s="60">
        <f>F51-D51</f>
        <v>-60754</v>
      </c>
      <c r="I51" s="38">
        <f>G51-E51</f>
        <v>-166465.96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-63713</v>
      </c>
      <c r="F54" s="60">
        <f>'ONT_GL '!D54</f>
        <v>0</v>
      </c>
      <c r="G54" s="38">
        <f>'ONT_GL '!E54</f>
        <v>-150988.93</v>
      </c>
      <c r="H54" s="60">
        <f>F54-D54</f>
        <v>0</v>
      </c>
      <c r="I54" s="38">
        <f>G54-E54</f>
        <v>-87275.93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-63713</v>
      </c>
      <c r="F56" s="61">
        <f t="shared" si="10"/>
        <v>0</v>
      </c>
      <c r="G56" s="39">
        <f t="shared" si="10"/>
        <v>-150988.93</v>
      </c>
      <c r="H56" s="61">
        <f t="shared" si="10"/>
        <v>0</v>
      </c>
      <c r="I56" s="39">
        <f t="shared" si="10"/>
        <v>-87275.93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1556139.5228982903</v>
      </c>
      <c r="F70" s="60">
        <f>'ONT_GL '!D70</f>
        <v>0</v>
      </c>
      <c r="G70" s="38">
        <f>'ONT_GL '!E70</f>
        <v>1556139.52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-1508209</v>
      </c>
      <c r="F71" s="60">
        <f>'ONT_GL '!D71</f>
        <v>0</v>
      </c>
      <c r="G71" s="38">
        <f>'ONT_GL '!E71</f>
        <v>-1508208.52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47930.522898290306</v>
      </c>
      <c r="F72" s="69">
        <f t="shared" si="13"/>
        <v>0</v>
      </c>
      <c r="G72" s="70">
        <f t="shared" si="13"/>
        <v>47931</v>
      </c>
      <c r="H72" s="69">
        <f t="shared" si="13"/>
        <v>0</v>
      </c>
      <c r="I72" s="70">
        <f t="shared" si="13"/>
        <v>0.47710170969367027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-27057</v>
      </c>
      <c r="F74" s="60">
        <f>'ONT_GL '!D74</f>
        <v>0</v>
      </c>
      <c r="G74" s="38">
        <f>'ONT_GL '!E74</f>
        <v>1217650.69</v>
      </c>
      <c r="H74" s="60">
        <f t="shared" ref="H74:I79" si="14">F74-D74</f>
        <v>0</v>
      </c>
      <c r="I74" s="38">
        <f t="shared" si="14"/>
        <v>1244707.69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-977</v>
      </c>
      <c r="F76" s="60">
        <f>'ONT_GL '!D76</f>
        <v>0</v>
      </c>
      <c r="G76" s="38">
        <f>'ONT_GL '!E76</f>
        <v>-1049.25</v>
      </c>
      <c r="H76" s="60">
        <f t="shared" si="14"/>
        <v>0</v>
      </c>
      <c r="I76" s="38">
        <f t="shared" si="14"/>
        <v>-72.25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45401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-45401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289657.0428982866</v>
      </c>
      <c r="F82" s="109">
        <f>F16+F24+F29+F36+F43+F45+F47+F49</f>
        <v>0</v>
      </c>
      <c r="G82" s="110">
        <f>SUM(G72:G81)+G16+G24+G29+G36+G43+G45+G47+G49+G51+G56+G61+G66</f>
        <v>272549.59999997512</v>
      </c>
      <c r="H82" s="109">
        <f>H16+H24+H29+H36+H43+H45+H47+H49</f>
        <v>0</v>
      </c>
      <c r="I82" s="110">
        <f>SUM(I72:I81)+I16+I24+I29+I36+I43+I45+I47+I49+I51+I56+I61+I66</f>
        <v>-17107.442898298003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441819</v>
      </c>
      <c r="H86" s="145">
        <f t="shared" ref="H86:I88" si="15">F86-D86</f>
        <v>0</v>
      </c>
      <c r="I86" s="145">
        <f t="shared" si="15"/>
        <v>18179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-17818.68</v>
      </c>
      <c r="H87" s="146">
        <f t="shared" si="15"/>
        <v>0</v>
      </c>
      <c r="I87" s="146">
        <f t="shared" si="15"/>
        <v>-17818.68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424000.32</v>
      </c>
      <c r="H89" s="160">
        <f t="shared" si="16"/>
        <v>0</v>
      </c>
      <c r="I89" s="160">
        <f t="shared" si="16"/>
        <v>360.31999999999971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713297.0428982866</v>
      </c>
      <c r="F91" s="160">
        <f t="shared" si="17"/>
        <v>0</v>
      </c>
      <c r="G91" s="160">
        <f t="shared" si="17"/>
        <v>696549.91999997513</v>
      </c>
      <c r="H91" s="160">
        <f t="shared" si="17"/>
        <v>0</v>
      </c>
      <c r="I91" s="160">
        <f t="shared" si="17"/>
        <v>-16747.122898298003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19414957</v>
      </c>
      <c r="E11" s="66">
        <f>BUG_FLSH!E11</f>
        <v>35215549</v>
      </c>
      <c r="F11" s="60">
        <f>BUG_GL!D11</f>
        <v>19412793</v>
      </c>
      <c r="G11" s="38">
        <f>BUG_GL!E11</f>
        <v>40383597.469999999</v>
      </c>
      <c r="H11" s="60">
        <f>F11-D11</f>
        <v>-2164</v>
      </c>
      <c r="I11" s="38">
        <f>G11-E11</f>
        <v>5168048.4699999988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40256482</v>
      </c>
      <c r="E13" s="66">
        <f>BUG_FLSH!E13</f>
        <v>149667712</v>
      </c>
      <c r="F13" s="60">
        <f>BUG_GL!D13</f>
        <v>10586122</v>
      </c>
      <c r="G13" s="38">
        <f>BUG_GL!E13</f>
        <v>34451104</v>
      </c>
      <c r="H13" s="60">
        <f t="shared" ref="H13:I15" si="0">F13-D13</f>
        <v>-29670360</v>
      </c>
      <c r="I13" s="38">
        <f t="shared" si="0"/>
        <v>-115216608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10512425.220000001</v>
      </c>
      <c r="F15" s="60">
        <f>BUG_GL!D15</f>
        <v>0</v>
      </c>
      <c r="G15" s="38">
        <f>BUG_GL!E15</f>
        <v>10491758.290000001</v>
      </c>
      <c r="H15" s="60">
        <f t="shared" si="0"/>
        <v>0</v>
      </c>
      <c r="I15" s="38">
        <f t="shared" si="0"/>
        <v>-20666.929999999702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59671439</v>
      </c>
      <c r="E16" s="39">
        <f t="shared" si="1"/>
        <v>195395686.22</v>
      </c>
      <c r="F16" s="61">
        <f t="shared" si="1"/>
        <v>29998915</v>
      </c>
      <c r="G16" s="39">
        <f t="shared" si="1"/>
        <v>85326459.760000005</v>
      </c>
      <c r="H16" s="61">
        <f t="shared" si="1"/>
        <v>-29672524</v>
      </c>
      <c r="I16" s="39">
        <f t="shared" si="1"/>
        <v>-110069226.46000001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-7535915</v>
      </c>
      <c r="E19" s="66">
        <f>BUG_FLSH!E19</f>
        <v>-18315516</v>
      </c>
      <c r="F19" s="60">
        <f>BUG_GL!D19</f>
        <v>-7528728</v>
      </c>
      <c r="G19" s="38">
        <f>BUG_GL!E19</f>
        <v>-22330312.530000001</v>
      </c>
      <c r="H19" s="60">
        <f>F19-D19</f>
        <v>7187</v>
      </c>
      <c r="I19" s="38">
        <f>G19-E19</f>
        <v>-4014796.5300000012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-320740</v>
      </c>
      <c r="H20" s="60">
        <f>F20-D20</f>
        <v>0</v>
      </c>
      <c r="I20" s="38">
        <f>G20-E20</f>
        <v>-320740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-39772236</v>
      </c>
      <c r="E21" s="66">
        <f>BUG_FLSH!E21</f>
        <v>-142874735</v>
      </c>
      <c r="F21" s="60">
        <f>BUG_GL!D21</f>
        <v>-9914444</v>
      </c>
      <c r="G21" s="38">
        <f>BUG_GL!E21</f>
        <v>-26686161</v>
      </c>
      <c r="H21" s="60">
        <f t="shared" ref="H21:I23" si="2">F21-D21</f>
        <v>29857792</v>
      </c>
      <c r="I21" s="38">
        <f t="shared" si="2"/>
        <v>116188574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747549</v>
      </c>
      <c r="E23" s="66">
        <f>BUG_FLSH!E23</f>
        <v>2185244</v>
      </c>
      <c r="F23" s="60">
        <f>BUG_GL!D23</f>
        <v>0</v>
      </c>
      <c r="G23" s="38">
        <f>BUG_GL!E23</f>
        <v>0</v>
      </c>
      <c r="H23" s="60">
        <f t="shared" si="2"/>
        <v>-747549</v>
      </c>
      <c r="I23" s="38">
        <f t="shared" si="2"/>
        <v>-2185244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-46560602</v>
      </c>
      <c r="E24" s="39">
        <f t="shared" si="3"/>
        <v>-159005007</v>
      </c>
      <c r="F24" s="61">
        <f t="shared" si="3"/>
        <v>-17443172</v>
      </c>
      <c r="G24" s="39">
        <f t="shared" si="3"/>
        <v>-49337213.530000001</v>
      </c>
      <c r="H24" s="61">
        <f t="shared" si="3"/>
        <v>29117430</v>
      </c>
      <c r="I24" s="39">
        <f t="shared" si="3"/>
        <v>109667793.47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1488</v>
      </c>
      <c r="E35" s="66">
        <f>BUG_FLSH!E35</f>
        <v>-1520</v>
      </c>
      <c r="F35" s="60">
        <f>BUG_GL!D35</f>
        <v>0</v>
      </c>
      <c r="G35" s="38">
        <f>BUG_GL!E35</f>
        <v>0</v>
      </c>
      <c r="H35" s="60">
        <f t="shared" si="5"/>
        <v>-1488</v>
      </c>
      <c r="I35" s="38">
        <f t="shared" si="5"/>
        <v>1520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1488</v>
      </c>
      <c r="E36" s="39">
        <f t="shared" si="6"/>
        <v>-1520</v>
      </c>
      <c r="F36" s="61">
        <f t="shared" si="6"/>
        <v>0</v>
      </c>
      <c r="G36" s="39">
        <f t="shared" si="6"/>
        <v>0</v>
      </c>
      <c r="H36" s="61">
        <f t="shared" si="6"/>
        <v>-1488</v>
      </c>
      <c r="I36" s="39">
        <f t="shared" si="6"/>
        <v>1520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23051</v>
      </c>
      <c r="E39" s="66">
        <f>BUG_FLSH!E39</f>
        <v>67068</v>
      </c>
      <c r="F39" s="60">
        <f>BUG_GL!D39</f>
        <v>0</v>
      </c>
      <c r="G39" s="38">
        <f>BUG_GL!E39</f>
        <v>0</v>
      </c>
      <c r="H39" s="60">
        <f t="shared" ref="H39:I41" si="7">F39-D39</f>
        <v>-23051</v>
      </c>
      <c r="I39" s="38">
        <f t="shared" si="7"/>
        <v>-67068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-13224004</v>
      </c>
      <c r="E40" s="66">
        <f>BUG_FLSH!E40</f>
        <v>-22987000</v>
      </c>
      <c r="F40" s="60">
        <f>BUG_GL!D40</f>
        <v>-13469292</v>
      </c>
      <c r="G40" s="38">
        <f>BUG_GL!E40</f>
        <v>-22594320.890000001</v>
      </c>
      <c r="H40" s="60">
        <f t="shared" si="7"/>
        <v>-245288</v>
      </c>
      <c r="I40" s="38">
        <f t="shared" si="7"/>
        <v>392679.1099999994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-13224004</v>
      </c>
      <c r="E42" s="70">
        <f t="shared" si="8"/>
        <v>-22987000</v>
      </c>
      <c r="F42" s="69">
        <f t="shared" si="8"/>
        <v>-13469292</v>
      </c>
      <c r="G42" s="70">
        <f t="shared" si="8"/>
        <v>-22594320.890000001</v>
      </c>
      <c r="H42" s="69">
        <f t="shared" si="8"/>
        <v>-245288</v>
      </c>
      <c r="I42" s="70">
        <f t="shared" si="8"/>
        <v>392679.1099999994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-13200953</v>
      </c>
      <c r="E43" s="39">
        <f t="shared" si="9"/>
        <v>-22919932</v>
      </c>
      <c r="F43" s="61">
        <f t="shared" si="9"/>
        <v>-13469292</v>
      </c>
      <c r="G43" s="39">
        <f t="shared" si="9"/>
        <v>-22594320.890000001</v>
      </c>
      <c r="H43" s="61">
        <f t="shared" si="9"/>
        <v>-268339</v>
      </c>
      <c r="I43" s="39">
        <f t="shared" si="9"/>
        <v>325611.1099999994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88628</v>
      </c>
      <c r="E49" s="66">
        <f>BUG_FLSH!E49</f>
        <v>237966.18</v>
      </c>
      <c r="F49" s="60">
        <f>BUG_GL!D49</f>
        <v>913549</v>
      </c>
      <c r="G49" s="38">
        <f>BUG_GL!E49</f>
        <v>2452879.0650000004</v>
      </c>
      <c r="H49" s="60">
        <f>F49-D49</f>
        <v>824921</v>
      </c>
      <c r="I49" s="38">
        <f>G49-E49</f>
        <v>2214912.8850000002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-747549</v>
      </c>
      <c r="E51" s="66">
        <f>BUG_FLSH!E51</f>
        <v>-2185244</v>
      </c>
      <c r="F51" s="60">
        <f>BUG_GL!D51</f>
        <v>0</v>
      </c>
      <c r="G51" s="38">
        <f>BUG_GL!E51</f>
        <v>0</v>
      </c>
      <c r="H51" s="60">
        <f>F51-D51</f>
        <v>747549</v>
      </c>
      <c r="I51" s="38">
        <f>G51-E51</f>
        <v>2185244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-709607</v>
      </c>
      <c r="F54" s="60">
        <f>BUG_GL!D54</f>
        <v>-28626145</v>
      </c>
      <c r="G54" s="38">
        <f>BUG_GL!E54</f>
        <v>-1163381.0900000001</v>
      </c>
      <c r="H54" s="60">
        <f>F54-D54</f>
        <v>-28626145</v>
      </c>
      <c r="I54" s="38">
        <f>G54-E54</f>
        <v>-453774.09000000008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-10512425.220000001</v>
      </c>
      <c r="F55" s="60">
        <f>BUG_GL!D55</f>
        <v>0</v>
      </c>
      <c r="G55" s="38">
        <f>BUG_GL!E55</f>
        <v>-10485686.359999999</v>
      </c>
      <c r="H55" s="60">
        <f>F55-D55</f>
        <v>0</v>
      </c>
      <c r="I55" s="38">
        <f>G55-E55</f>
        <v>26738.860000001267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-11222032.220000001</v>
      </c>
      <c r="F56" s="61">
        <f t="shared" si="10"/>
        <v>-28626145</v>
      </c>
      <c r="G56" s="39">
        <f t="shared" si="10"/>
        <v>-11649067.449999999</v>
      </c>
      <c r="H56" s="61">
        <f t="shared" si="10"/>
        <v>-28626145</v>
      </c>
      <c r="I56" s="39">
        <f t="shared" si="10"/>
        <v>-427035.22999999882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-2467844.7902992023</v>
      </c>
      <c r="F70" s="60">
        <f>BUG_GL!D70</f>
        <v>0</v>
      </c>
      <c r="G70" s="38">
        <f>BUG_GL!E70</f>
        <v>-2467844.79</v>
      </c>
      <c r="H70" s="60">
        <f>F70-D70</f>
        <v>0</v>
      </c>
      <c r="I70" s="38">
        <f>G70-E70</f>
        <v>2.9920227825641632E-4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-5937114</v>
      </c>
      <c r="F71" s="60">
        <f>BUG_GL!D71</f>
        <v>0</v>
      </c>
      <c r="G71" s="38">
        <f>BUG_GL!E71</f>
        <v>-5937115.1600000001</v>
      </c>
      <c r="H71" s="60">
        <f>F71-D71</f>
        <v>0</v>
      </c>
      <c r="I71" s="38">
        <f>G71-E71</f>
        <v>-1.1600000001490116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-8404958.7902992032</v>
      </c>
      <c r="F72" s="69">
        <f t="shared" si="13"/>
        <v>0</v>
      </c>
      <c r="G72" s="70">
        <f t="shared" si="13"/>
        <v>-8404959.9499999993</v>
      </c>
      <c r="H72" s="69">
        <f t="shared" si="13"/>
        <v>0</v>
      </c>
      <c r="I72" s="70">
        <f t="shared" si="13"/>
        <v>-1.1597007978707552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6927911.3600000003</v>
      </c>
      <c r="F74" s="60">
        <f>BUG_GL!D74</f>
        <v>0</v>
      </c>
      <c r="G74" s="38">
        <f>BUG_GL!E74</f>
        <v>-4622369.46</v>
      </c>
      <c r="H74" s="60">
        <f t="shared" ref="H74:I79" si="14">F74-D74</f>
        <v>0</v>
      </c>
      <c r="I74" s="38">
        <f t="shared" si="14"/>
        <v>-11550280.82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509600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-509600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-667530.25029919483</v>
      </c>
      <c r="F82" s="109">
        <f>F16+F24+F29+F36+F43+F45+F47+F49</f>
        <v>0</v>
      </c>
      <c r="G82" s="110">
        <f>SUM(G72:G81)+G16+G24+G29+G36+G43+G45+G47+G49+G51+G56+G61+G66</f>
        <v>-8828592.4549999908</v>
      </c>
      <c r="H82" s="109">
        <f>H16+H24+H29+H36+H43+H45+H47+H49</f>
        <v>0</v>
      </c>
      <c r="I82" s="110">
        <f>SUM(I72:I81)+I16+I24+I29+I36+I43+I45+I47+I49+I51+I56+I61+I66</f>
        <v>-8161062.2047008127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C624" workbookViewId="0">
      <selection activeCell="K650" activeCellId="4" sqref="K638:K641 K644:K646 K648:K649 K651:K653 K650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0" customWidth="1"/>
    <col min="7" max="7" width="12" style="197" customWidth="1"/>
    <col min="8" max="8" width="12.33203125" style="33" customWidth="1"/>
    <col min="9" max="9" width="12.44140625" style="197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1">
        <v>36557</v>
      </c>
      <c r="F1" s="191"/>
      <c r="G1" s="192">
        <f>+E1+31</f>
        <v>36588</v>
      </c>
      <c r="H1" s="192"/>
      <c r="I1" s="192">
        <f>+G1+30</f>
        <v>36618</v>
      </c>
      <c r="J1" s="192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197" t="s">
        <v>120</v>
      </c>
    </row>
    <row r="3" spans="1:118" s="193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4" t="s">
        <v>218</v>
      </c>
      <c r="F3" s="193" t="s">
        <v>219</v>
      </c>
      <c r="G3" s="199" t="s">
        <v>218</v>
      </c>
      <c r="H3" s="193" t="s">
        <v>219</v>
      </c>
      <c r="I3" s="199" t="s">
        <v>218</v>
      </c>
      <c r="J3" s="193" t="s">
        <v>219</v>
      </c>
      <c r="K3" s="194" t="s">
        <v>122</v>
      </c>
      <c r="M3" s="194" t="s">
        <v>213</v>
      </c>
      <c r="N3" s="193" t="s">
        <v>214</v>
      </c>
      <c r="O3" s="194" t="s">
        <v>122</v>
      </c>
      <c r="Q3" s="194" t="s">
        <v>122</v>
      </c>
      <c r="S3" s="194" t="s">
        <v>122</v>
      </c>
      <c r="U3" s="194" t="s">
        <v>122</v>
      </c>
      <c r="W3" s="194" t="s">
        <v>122</v>
      </c>
      <c r="Y3" s="194" t="s">
        <v>122</v>
      </c>
      <c r="AA3" s="194" t="s">
        <v>122</v>
      </c>
      <c r="AC3" s="194" t="s">
        <v>122</v>
      </c>
      <c r="AE3" s="194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196">
        <v>129167</v>
      </c>
      <c r="F4" s="195">
        <v>335963.37</v>
      </c>
      <c r="G4" s="196">
        <v>510</v>
      </c>
      <c r="H4" s="195">
        <v>1326.51</v>
      </c>
      <c r="I4" s="196">
        <v>0</v>
      </c>
      <c r="J4" s="195">
        <v>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196">
        <v>0</v>
      </c>
      <c r="F5" s="195">
        <v>0</v>
      </c>
      <c r="G5" s="196">
        <v>0</v>
      </c>
      <c r="H5" s="195">
        <v>0</v>
      </c>
      <c r="I5" s="196">
        <v>0</v>
      </c>
      <c r="J5" s="195">
        <v>0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196">
        <v>0</v>
      </c>
      <c r="F6" s="195">
        <v>0</v>
      </c>
      <c r="G6" s="196">
        <v>0</v>
      </c>
      <c r="H6" s="195">
        <v>0</v>
      </c>
      <c r="I6" s="196">
        <v>0</v>
      </c>
      <c r="J6" s="195">
        <v>0</v>
      </c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  <c r="BP6" s="195"/>
      <c r="BQ6" s="195"/>
      <c r="BR6" s="195"/>
      <c r="BS6" s="195"/>
      <c r="BT6" s="195"/>
      <c r="BU6" s="195"/>
      <c r="BV6" s="195"/>
      <c r="BW6" s="195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95"/>
      <c r="CW6" s="195"/>
      <c r="CX6" s="195"/>
      <c r="CY6" s="195"/>
      <c r="CZ6" s="195"/>
      <c r="DA6" s="195"/>
      <c r="DB6" s="195"/>
      <c r="DC6" s="195"/>
      <c r="DD6" s="195"/>
      <c r="DE6" s="195"/>
      <c r="DF6" s="195"/>
      <c r="DG6" s="195"/>
      <c r="DH6" s="195"/>
      <c r="DI6" s="195"/>
      <c r="DJ6" s="195"/>
      <c r="DK6" s="195"/>
      <c r="DL6" s="195"/>
      <c r="DM6" s="195"/>
      <c r="DN6" s="195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196">
        <v>0</v>
      </c>
      <c r="F7" s="195">
        <v>0</v>
      </c>
      <c r="G7" s="196">
        <v>0</v>
      </c>
      <c r="H7" s="195">
        <v>0</v>
      </c>
      <c r="I7" s="196">
        <v>0</v>
      </c>
      <c r="J7" s="195">
        <v>0</v>
      </c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  <c r="BP7" s="195"/>
      <c r="BQ7" s="195"/>
      <c r="BR7" s="195"/>
      <c r="BS7" s="195"/>
      <c r="BT7" s="195"/>
      <c r="BU7" s="195"/>
      <c r="BV7" s="195"/>
      <c r="BW7" s="195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95"/>
      <c r="CW7" s="195"/>
      <c r="CX7" s="195"/>
      <c r="CY7" s="195"/>
      <c r="CZ7" s="195"/>
      <c r="DA7" s="195"/>
      <c r="DB7" s="195"/>
      <c r="DC7" s="195"/>
      <c r="DD7" s="195"/>
      <c r="DE7" s="195"/>
      <c r="DF7" s="195"/>
      <c r="DG7" s="195"/>
      <c r="DH7" s="195"/>
      <c r="DI7" s="195"/>
      <c r="DJ7" s="195"/>
      <c r="DK7" s="195"/>
      <c r="DL7" s="195"/>
      <c r="DM7" s="195"/>
      <c r="DN7" s="195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196">
        <v>0</v>
      </c>
      <c r="F8" s="195">
        <v>0</v>
      </c>
      <c r="G8" s="196">
        <v>0</v>
      </c>
      <c r="H8" s="195">
        <v>0</v>
      </c>
      <c r="I8" s="196">
        <v>0</v>
      </c>
      <c r="J8" s="195">
        <v>0</v>
      </c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196">
        <v>0</v>
      </c>
      <c r="F9" s="195">
        <v>0</v>
      </c>
      <c r="G9" s="196">
        <v>0</v>
      </c>
      <c r="H9" s="195">
        <v>0</v>
      </c>
      <c r="I9" s="196">
        <v>0</v>
      </c>
      <c r="J9" s="195">
        <v>0</v>
      </c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  <c r="BV9" s="195"/>
      <c r="BW9" s="195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196">
        <v>0</v>
      </c>
      <c r="F10" s="195">
        <v>0</v>
      </c>
      <c r="G10" s="196">
        <v>0</v>
      </c>
      <c r="H10" s="195">
        <v>0</v>
      </c>
      <c r="I10" s="196">
        <v>0</v>
      </c>
      <c r="J10" s="195">
        <v>0</v>
      </c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196">
        <v>0</v>
      </c>
      <c r="F11" s="195">
        <v>0</v>
      </c>
      <c r="G11" s="196">
        <v>0</v>
      </c>
      <c r="H11" s="195">
        <v>0</v>
      </c>
      <c r="I11" s="196">
        <v>0</v>
      </c>
      <c r="J11" s="195">
        <v>0</v>
      </c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5"/>
      <c r="CJ11" s="195"/>
      <c r="CK11" s="195"/>
      <c r="CL11" s="195"/>
      <c r="CM11" s="195"/>
      <c r="CN11" s="195"/>
      <c r="CO11" s="195"/>
      <c r="CP11" s="195"/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196">
        <v>0</v>
      </c>
      <c r="F12" s="195">
        <v>0</v>
      </c>
      <c r="G12" s="196">
        <v>0</v>
      </c>
      <c r="H12" s="195">
        <v>0</v>
      </c>
      <c r="I12" s="196">
        <v>0</v>
      </c>
      <c r="J12" s="195">
        <v>0</v>
      </c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  <c r="BV12" s="195"/>
      <c r="BW12" s="195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  <c r="CI12" s="195"/>
      <c r="CJ12" s="195"/>
      <c r="CK12" s="195"/>
      <c r="CL12" s="195"/>
      <c r="CM12" s="195"/>
      <c r="CN12" s="195"/>
      <c r="CO12" s="195"/>
      <c r="CP12" s="195"/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196">
        <v>0</v>
      </c>
      <c r="F13" s="195">
        <v>0</v>
      </c>
      <c r="G13" s="196">
        <v>0</v>
      </c>
      <c r="H13" s="195">
        <v>0</v>
      </c>
      <c r="I13" s="196">
        <v>0</v>
      </c>
      <c r="J13" s="195">
        <v>0</v>
      </c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  <c r="BV13" s="195"/>
      <c r="BW13" s="195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  <c r="CI13" s="195"/>
      <c r="CJ13" s="195"/>
      <c r="CK13" s="195"/>
      <c r="CL13" s="195"/>
      <c r="CM13" s="195"/>
      <c r="CN13" s="195"/>
      <c r="CO13" s="195"/>
      <c r="CP13" s="195"/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196">
        <v>0</v>
      </c>
      <c r="F14" s="195">
        <v>0</v>
      </c>
      <c r="G14" s="196">
        <v>0</v>
      </c>
      <c r="H14" s="195">
        <v>0</v>
      </c>
      <c r="I14" s="196">
        <v>0</v>
      </c>
      <c r="J14" s="195">
        <v>0</v>
      </c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5"/>
      <c r="CJ14" s="195"/>
      <c r="CK14" s="195"/>
      <c r="CL14" s="195"/>
      <c r="CM14" s="195"/>
      <c r="CN14" s="195"/>
      <c r="CO14" s="195"/>
      <c r="CP14" s="195"/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196">
        <v>-129167</v>
      </c>
      <c r="F15" s="195">
        <v>-333250.86</v>
      </c>
      <c r="G15" s="196">
        <v>-510</v>
      </c>
      <c r="H15" s="195">
        <v>-1315.8</v>
      </c>
      <c r="I15" s="196">
        <v>0</v>
      </c>
      <c r="J15" s="195">
        <v>0</v>
      </c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  <c r="BV15" s="195"/>
      <c r="BW15" s="195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  <c r="CI15" s="195"/>
      <c r="CJ15" s="195"/>
      <c r="CK15" s="195"/>
      <c r="CL15" s="195"/>
      <c r="CM15" s="195"/>
      <c r="CN15" s="195"/>
      <c r="CO15" s="195"/>
      <c r="CP15" s="195"/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196">
        <v>0</v>
      </c>
      <c r="F16" s="195">
        <v>0</v>
      </c>
      <c r="G16" s="196">
        <v>0</v>
      </c>
      <c r="H16" s="195">
        <v>0</v>
      </c>
      <c r="I16" s="196">
        <v>0</v>
      </c>
      <c r="J16" s="195">
        <v>0</v>
      </c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  <c r="BV16" s="195"/>
      <c r="BW16" s="195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  <c r="CI16" s="195"/>
      <c r="CJ16" s="195"/>
      <c r="CK16" s="195"/>
      <c r="CL16" s="195"/>
      <c r="CM16" s="195"/>
      <c r="CN16" s="195"/>
      <c r="CO16" s="195"/>
      <c r="CP16" s="195"/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196">
        <v>0</v>
      </c>
      <c r="F17" s="195">
        <v>0</v>
      </c>
      <c r="G17" s="196">
        <v>0</v>
      </c>
      <c r="H17" s="195">
        <v>0</v>
      </c>
      <c r="I17" s="196">
        <v>0</v>
      </c>
      <c r="J17" s="195">
        <v>0</v>
      </c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  <c r="CI17" s="195"/>
      <c r="CJ17" s="195"/>
      <c r="CK17" s="195"/>
      <c r="CL17" s="195"/>
      <c r="CM17" s="195"/>
      <c r="CN17" s="195"/>
      <c r="CO17" s="195"/>
      <c r="CP17" s="195"/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196">
        <v>0</v>
      </c>
      <c r="F18" s="195">
        <v>0</v>
      </c>
      <c r="G18" s="196">
        <v>0</v>
      </c>
      <c r="H18" s="195">
        <v>0</v>
      </c>
      <c r="I18" s="196">
        <v>0</v>
      </c>
      <c r="J18" s="195">
        <v>0</v>
      </c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5"/>
      <c r="CJ18" s="195"/>
      <c r="CK18" s="195"/>
      <c r="CL18" s="195"/>
      <c r="CM18" s="195"/>
      <c r="CN18" s="195"/>
      <c r="CO18" s="195"/>
      <c r="CP18" s="195"/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196">
        <v>0</v>
      </c>
      <c r="F19" s="195">
        <v>0</v>
      </c>
      <c r="G19" s="196">
        <v>0</v>
      </c>
      <c r="H19" s="195">
        <v>0</v>
      </c>
      <c r="I19" s="196">
        <v>0</v>
      </c>
      <c r="J19" s="195">
        <v>0</v>
      </c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196">
        <v>0</v>
      </c>
      <c r="F20" s="195">
        <v>0</v>
      </c>
      <c r="G20" s="196">
        <v>0</v>
      </c>
      <c r="H20" s="195">
        <v>0</v>
      </c>
      <c r="I20" s="196">
        <v>0</v>
      </c>
      <c r="J20" s="195">
        <v>0</v>
      </c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  <c r="BV20" s="195"/>
      <c r="BW20" s="195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196">
        <v>0</v>
      </c>
      <c r="F21" s="195">
        <v>0</v>
      </c>
      <c r="G21" s="196">
        <v>0</v>
      </c>
      <c r="H21" s="195">
        <v>0</v>
      </c>
      <c r="I21" s="196">
        <v>0</v>
      </c>
      <c r="J21" s="195">
        <v>0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196">
        <v>0</v>
      </c>
      <c r="F22" s="195">
        <v>0</v>
      </c>
      <c r="G22" s="196">
        <v>0</v>
      </c>
      <c r="H22" s="195">
        <v>0</v>
      </c>
      <c r="I22" s="196">
        <v>0</v>
      </c>
      <c r="J22" s="195">
        <v>0</v>
      </c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196">
        <v>0</v>
      </c>
      <c r="F23" s="195">
        <v>0</v>
      </c>
      <c r="G23" s="196">
        <v>0</v>
      </c>
      <c r="H23" s="195">
        <v>0</v>
      </c>
      <c r="I23" s="196">
        <v>0</v>
      </c>
      <c r="J23" s="195">
        <v>0</v>
      </c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196">
        <v>0</v>
      </c>
      <c r="F24" s="195">
        <v>0</v>
      </c>
      <c r="G24" s="196">
        <v>0</v>
      </c>
      <c r="H24" s="195">
        <v>0</v>
      </c>
      <c r="I24" s="196">
        <v>0</v>
      </c>
      <c r="J24" s="195">
        <v>96843.74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195"/>
      <c r="BS24" s="195"/>
      <c r="BT24" s="195"/>
      <c r="BU24" s="195"/>
      <c r="BV24" s="195"/>
      <c r="BW24" s="195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196">
        <v>0</v>
      </c>
      <c r="F25" s="195">
        <v>0</v>
      </c>
      <c r="G25" s="196">
        <v>0</v>
      </c>
      <c r="H25" s="195">
        <v>0</v>
      </c>
      <c r="I25" s="196">
        <v>0</v>
      </c>
      <c r="J25" s="195">
        <v>0</v>
      </c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196">
        <v>0</v>
      </c>
      <c r="F26" s="195">
        <v>0</v>
      </c>
      <c r="G26" s="196">
        <v>0</v>
      </c>
      <c r="H26" s="195">
        <v>0</v>
      </c>
      <c r="I26" s="196">
        <v>0</v>
      </c>
      <c r="J26" s="195">
        <v>0</v>
      </c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5"/>
      <c r="BS26" s="195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196">
        <v>0</v>
      </c>
      <c r="F27" s="195">
        <v>0</v>
      </c>
      <c r="G27" s="196">
        <v>0</v>
      </c>
      <c r="H27" s="195">
        <v>0</v>
      </c>
      <c r="I27" s="196">
        <v>0</v>
      </c>
      <c r="J27" s="195">
        <v>0</v>
      </c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195"/>
      <c r="BS27" s="195"/>
      <c r="BT27" s="195"/>
      <c r="BU27" s="195"/>
      <c r="BV27" s="195"/>
      <c r="BW27" s="195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  <c r="CI27" s="195"/>
      <c r="CJ27" s="195"/>
      <c r="CK27" s="195"/>
      <c r="CL27" s="195"/>
      <c r="CM27" s="195"/>
      <c r="CN27" s="195"/>
      <c r="CO27" s="195"/>
      <c r="CP27" s="195"/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196">
        <v>0</v>
      </c>
      <c r="F28" s="195">
        <v>0</v>
      </c>
      <c r="G28" s="196">
        <v>0</v>
      </c>
      <c r="H28" s="195">
        <v>0</v>
      </c>
      <c r="I28" s="196">
        <v>0</v>
      </c>
      <c r="J28" s="195">
        <v>0</v>
      </c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196">
        <v>0</v>
      </c>
      <c r="F29" s="195">
        <v>0</v>
      </c>
      <c r="G29" s="196">
        <v>0</v>
      </c>
      <c r="H29" s="195">
        <v>0</v>
      </c>
      <c r="I29" s="196">
        <v>0</v>
      </c>
      <c r="J29" s="195">
        <v>0</v>
      </c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  <c r="CJ29" s="195"/>
      <c r="CK29" s="195"/>
      <c r="CL29" s="195"/>
      <c r="CM29" s="195"/>
      <c r="CN29" s="195"/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196">
        <v>0</v>
      </c>
      <c r="F30" s="195">
        <v>0</v>
      </c>
      <c r="G30" s="196">
        <v>0</v>
      </c>
      <c r="H30" s="195">
        <v>0</v>
      </c>
      <c r="I30" s="196">
        <v>0</v>
      </c>
      <c r="J30" s="195">
        <v>0</v>
      </c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196">
        <v>0</v>
      </c>
      <c r="F31" s="195">
        <v>0</v>
      </c>
      <c r="G31" s="196">
        <v>0</v>
      </c>
      <c r="H31" s="195">
        <v>0</v>
      </c>
      <c r="I31" s="196">
        <v>0</v>
      </c>
      <c r="J31" s="195">
        <v>0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196">
        <v>0</v>
      </c>
      <c r="F32" s="195">
        <v>0</v>
      </c>
      <c r="G32" s="196">
        <v>0</v>
      </c>
      <c r="H32" s="195">
        <v>0</v>
      </c>
      <c r="I32" s="196">
        <v>0</v>
      </c>
      <c r="J32" s="195">
        <v>0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196">
        <v>0</v>
      </c>
      <c r="F33" s="195">
        <v>0</v>
      </c>
      <c r="G33" s="196">
        <v>0</v>
      </c>
      <c r="H33" s="195">
        <v>0</v>
      </c>
      <c r="I33" s="196">
        <v>0</v>
      </c>
      <c r="J33" s="195">
        <v>0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196">
        <v>0</v>
      </c>
      <c r="F34" s="195">
        <v>0</v>
      </c>
      <c r="G34" s="196">
        <v>0</v>
      </c>
      <c r="H34" s="195">
        <v>0</v>
      </c>
      <c r="I34" s="196">
        <v>0</v>
      </c>
      <c r="J34" s="195">
        <v>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196">
        <v>0</v>
      </c>
      <c r="F35" s="195">
        <v>0</v>
      </c>
      <c r="G35" s="196">
        <v>0</v>
      </c>
      <c r="H35" s="195">
        <v>0</v>
      </c>
      <c r="I35" s="196">
        <v>0</v>
      </c>
      <c r="J35" s="195">
        <v>0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196">
        <v>0</v>
      </c>
      <c r="F36" s="195">
        <v>0</v>
      </c>
      <c r="G36" s="196">
        <v>0</v>
      </c>
      <c r="H36" s="195">
        <v>0</v>
      </c>
      <c r="I36" s="196">
        <v>0</v>
      </c>
      <c r="J36" s="195">
        <v>0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196">
        <v>0</v>
      </c>
      <c r="F37" s="195">
        <v>0</v>
      </c>
      <c r="G37" s="196">
        <v>0</v>
      </c>
      <c r="H37" s="195">
        <v>0</v>
      </c>
      <c r="I37" s="196">
        <v>0</v>
      </c>
      <c r="J37" s="195">
        <v>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196">
        <v>0</v>
      </c>
      <c r="F38" s="195">
        <v>0</v>
      </c>
      <c r="G38" s="196">
        <v>0</v>
      </c>
      <c r="H38" s="195">
        <v>0</v>
      </c>
      <c r="I38" s="196">
        <v>0</v>
      </c>
      <c r="J38" s="195">
        <v>0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196">
        <v>0</v>
      </c>
      <c r="F39" s="195">
        <v>0</v>
      </c>
      <c r="G39" s="196">
        <v>0</v>
      </c>
      <c r="H39" s="195">
        <v>0</v>
      </c>
      <c r="I39" s="196">
        <v>0</v>
      </c>
      <c r="J39" s="195">
        <v>0</v>
      </c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196">
        <v>0</v>
      </c>
      <c r="F40" s="195">
        <v>0</v>
      </c>
      <c r="G40" s="196">
        <v>0</v>
      </c>
      <c r="H40" s="195">
        <v>0</v>
      </c>
      <c r="I40" s="196">
        <v>0</v>
      </c>
      <c r="J40" s="195">
        <v>0</v>
      </c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196">
        <v>0</v>
      </c>
      <c r="F41" s="195">
        <v>0</v>
      </c>
      <c r="G41" s="196">
        <v>0</v>
      </c>
      <c r="H41" s="195">
        <v>0</v>
      </c>
      <c r="I41" s="196">
        <v>0</v>
      </c>
      <c r="J41" s="195">
        <v>0</v>
      </c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196">
        <v>0</v>
      </c>
      <c r="F42" s="195">
        <v>0</v>
      </c>
      <c r="G42" s="196">
        <v>0</v>
      </c>
      <c r="H42" s="195">
        <v>0</v>
      </c>
      <c r="I42" s="196">
        <v>0</v>
      </c>
      <c r="J42" s="195">
        <v>0</v>
      </c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196">
        <v>0</v>
      </c>
      <c r="F43" s="195">
        <v>0</v>
      </c>
      <c r="G43" s="196">
        <v>0</v>
      </c>
      <c r="H43" s="195">
        <v>0</v>
      </c>
      <c r="I43" s="196">
        <v>0</v>
      </c>
      <c r="J43" s="195">
        <v>0</v>
      </c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196">
        <v>8371856</v>
      </c>
      <c r="F44" s="195">
        <v>21898111.219999999</v>
      </c>
      <c r="G44" s="196">
        <v>-62830</v>
      </c>
      <c r="H44" s="195">
        <v>-38765.5</v>
      </c>
      <c r="I44" s="196">
        <v>41462</v>
      </c>
      <c r="J44" s="195">
        <v>111384.29</v>
      </c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196">
        <v>0</v>
      </c>
      <c r="F45" s="195">
        <v>0</v>
      </c>
      <c r="G45" s="196">
        <v>0</v>
      </c>
      <c r="H45" s="195">
        <v>0</v>
      </c>
      <c r="I45" s="196">
        <v>0</v>
      </c>
      <c r="J45" s="195">
        <v>0</v>
      </c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196">
        <v>0</v>
      </c>
      <c r="F46" s="195">
        <v>0</v>
      </c>
      <c r="G46" s="196">
        <v>0</v>
      </c>
      <c r="H46" s="195">
        <v>0</v>
      </c>
      <c r="I46" s="196">
        <v>0</v>
      </c>
      <c r="J46" s="195">
        <v>0</v>
      </c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196">
        <v>0</v>
      </c>
      <c r="F47" s="195">
        <v>0</v>
      </c>
      <c r="G47" s="196">
        <v>0</v>
      </c>
      <c r="H47" s="195">
        <v>0</v>
      </c>
      <c r="I47" s="196">
        <v>0</v>
      </c>
      <c r="J47" s="195">
        <v>0</v>
      </c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5"/>
      <c r="BW47" s="195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196">
        <v>0</v>
      </c>
      <c r="F48" s="195">
        <v>0</v>
      </c>
      <c r="G48" s="196">
        <v>0</v>
      </c>
      <c r="H48" s="195">
        <v>0</v>
      </c>
      <c r="I48" s="196">
        <v>0</v>
      </c>
      <c r="J48" s="195">
        <v>0</v>
      </c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5"/>
      <c r="BW48" s="195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196">
        <v>-1328268</v>
      </c>
      <c r="F49" s="195">
        <v>-3310457.21</v>
      </c>
      <c r="G49" s="196">
        <v>-1336387</v>
      </c>
      <c r="H49" s="195">
        <v>-3592916.88</v>
      </c>
      <c r="I49" s="196">
        <v>-413</v>
      </c>
      <c r="J49" s="195">
        <v>2642.09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195"/>
      <c r="BS49" s="195"/>
      <c r="BT49" s="195"/>
      <c r="BU49" s="195"/>
      <c r="BV49" s="195"/>
      <c r="BW49" s="195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196">
        <v>0</v>
      </c>
      <c r="F50" s="195">
        <v>0</v>
      </c>
      <c r="G50" s="196">
        <v>0</v>
      </c>
      <c r="H50" s="195">
        <v>0</v>
      </c>
      <c r="I50" s="196">
        <v>0</v>
      </c>
      <c r="J50" s="195">
        <v>0</v>
      </c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196">
        <v>0</v>
      </c>
      <c r="F51" s="195">
        <v>0</v>
      </c>
      <c r="G51" s="196">
        <v>0</v>
      </c>
      <c r="H51" s="195">
        <v>0</v>
      </c>
      <c r="I51" s="196">
        <v>0</v>
      </c>
      <c r="J51" s="195">
        <v>0</v>
      </c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196">
        <v>0</v>
      </c>
      <c r="F52" s="195">
        <v>0</v>
      </c>
      <c r="G52" s="196">
        <v>0</v>
      </c>
      <c r="H52" s="195">
        <v>0</v>
      </c>
      <c r="I52" s="196">
        <v>0</v>
      </c>
      <c r="J52" s="195">
        <v>0</v>
      </c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196">
        <v>0</v>
      </c>
      <c r="F53" s="195">
        <v>0</v>
      </c>
      <c r="G53" s="196">
        <v>47672</v>
      </c>
      <c r="H53" s="195">
        <v>126658.91</v>
      </c>
      <c r="I53" s="196">
        <v>0</v>
      </c>
      <c r="J53" s="195">
        <v>0</v>
      </c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196">
        <v>6280252</v>
      </c>
      <c r="F54" s="195">
        <v>16695205.039999999</v>
      </c>
      <c r="G54" s="196">
        <v>-120540</v>
      </c>
      <c r="H54" s="195">
        <v>-384672.96</v>
      </c>
      <c r="I54" s="196">
        <v>69425</v>
      </c>
      <c r="J54" s="195">
        <v>175780.53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196">
        <v>-13807706</v>
      </c>
      <c r="F55" s="195">
        <v>-36815556.640000001</v>
      </c>
      <c r="G55" s="196">
        <v>71117</v>
      </c>
      <c r="H55" s="195">
        <v>249913.73</v>
      </c>
      <c r="I55" s="196">
        <v>-5032</v>
      </c>
      <c r="J55" s="195">
        <v>-12241.14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196">
        <v>0</v>
      </c>
      <c r="F56" s="195">
        <v>0</v>
      </c>
      <c r="G56" s="196">
        <v>602607</v>
      </c>
      <c r="H56" s="195">
        <v>1617999.7949999999</v>
      </c>
      <c r="I56" s="196">
        <v>-41462</v>
      </c>
      <c r="J56" s="195">
        <v>-111325.47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196">
        <v>0</v>
      </c>
      <c r="F57" s="195">
        <v>0</v>
      </c>
      <c r="G57" s="196">
        <v>0</v>
      </c>
      <c r="H57" s="195">
        <v>0</v>
      </c>
      <c r="I57" s="196">
        <v>0</v>
      </c>
      <c r="J57" s="195">
        <v>0</v>
      </c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196">
        <v>0</v>
      </c>
      <c r="F58" s="195">
        <v>0</v>
      </c>
      <c r="G58" s="196">
        <v>0</v>
      </c>
      <c r="H58" s="195">
        <v>0</v>
      </c>
      <c r="I58" s="196">
        <v>0</v>
      </c>
      <c r="J58" s="195">
        <v>0</v>
      </c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196">
        <v>0</v>
      </c>
      <c r="F59" s="195">
        <v>0</v>
      </c>
      <c r="G59" s="196">
        <v>0</v>
      </c>
      <c r="H59" s="195">
        <v>0</v>
      </c>
      <c r="I59" s="196">
        <v>0</v>
      </c>
      <c r="J59" s="195">
        <v>0</v>
      </c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196">
        <v>0</v>
      </c>
      <c r="F60" s="195">
        <v>0</v>
      </c>
      <c r="G60" s="196">
        <v>1865312</v>
      </c>
      <c r="H60" s="195">
        <v>4868464.32</v>
      </c>
      <c r="I60" s="196">
        <v>0</v>
      </c>
      <c r="J60" s="195">
        <v>0</v>
      </c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196">
        <v>0</v>
      </c>
      <c r="F61" s="195">
        <v>0</v>
      </c>
      <c r="G61" s="196">
        <v>-664878</v>
      </c>
      <c r="H61" s="195">
        <v>-1735331.58</v>
      </c>
      <c r="I61" s="196">
        <v>-64195</v>
      </c>
      <c r="J61" s="195">
        <v>-167548.95000000001</v>
      </c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196">
        <v>0</v>
      </c>
      <c r="F62" s="195">
        <v>0</v>
      </c>
      <c r="G62" s="196">
        <v>0</v>
      </c>
      <c r="H62" s="195">
        <v>0</v>
      </c>
      <c r="I62" s="196">
        <v>0</v>
      </c>
      <c r="J62" s="195">
        <v>0</v>
      </c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196">
        <v>0</v>
      </c>
      <c r="F63" s="195">
        <v>0</v>
      </c>
      <c r="G63" s="196">
        <v>-12629</v>
      </c>
      <c r="H63" s="195">
        <v>-21588.28</v>
      </c>
      <c r="I63" s="196">
        <v>0</v>
      </c>
      <c r="J63" s="195">
        <v>0</v>
      </c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196">
        <v>0</v>
      </c>
      <c r="F64" s="195">
        <v>0</v>
      </c>
      <c r="G64" s="196">
        <v>0</v>
      </c>
      <c r="H64" s="195">
        <v>0</v>
      </c>
      <c r="I64" s="196">
        <v>0</v>
      </c>
      <c r="J64" s="195">
        <v>0</v>
      </c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196">
        <v>483866</v>
      </c>
      <c r="F65" s="195">
        <v>1299180.21</v>
      </c>
      <c r="G65" s="196">
        <v>-389444</v>
      </c>
      <c r="H65" s="195">
        <v>-1045657.14</v>
      </c>
      <c r="I65" s="196">
        <v>215</v>
      </c>
      <c r="J65" s="195">
        <v>577.27499999999998</v>
      </c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196">
        <v>0</v>
      </c>
      <c r="F66" s="195">
        <v>0</v>
      </c>
      <c r="G66" s="196">
        <v>0</v>
      </c>
      <c r="H66" s="195">
        <v>-126658.91</v>
      </c>
      <c r="I66" s="196">
        <v>0</v>
      </c>
      <c r="J66" s="195">
        <v>0</v>
      </c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196">
        <v>0</v>
      </c>
      <c r="F67" s="195">
        <v>0</v>
      </c>
      <c r="G67" s="196">
        <v>0</v>
      </c>
      <c r="H67" s="195">
        <v>0</v>
      </c>
      <c r="I67" s="196">
        <v>0</v>
      </c>
      <c r="J67" s="195">
        <v>0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196">
        <v>0</v>
      </c>
      <c r="F68" s="195">
        <v>0</v>
      </c>
      <c r="G68" s="196">
        <v>0</v>
      </c>
      <c r="H68" s="195">
        <v>0</v>
      </c>
      <c r="I68" s="196">
        <v>0</v>
      </c>
      <c r="J68" s="195">
        <v>0</v>
      </c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196">
        <v>4231082</v>
      </c>
      <c r="F69" s="195">
        <v>43679.07</v>
      </c>
      <c r="G69" s="196">
        <v>-184070</v>
      </c>
      <c r="H69" s="195">
        <v>-6967.02</v>
      </c>
      <c r="I69" s="196">
        <v>41462</v>
      </c>
      <c r="J69" s="195">
        <v>0</v>
      </c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196">
        <v>0</v>
      </c>
      <c r="F70" s="195">
        <v>0</v>
      </c>
      <c r="G70" s="196">
        <v>0</v>
      </c>
      <c r="H70" s="195">
        <v>0</v>
      </c>
      <c r="I70" s="196">
        <v>0</v>
      </c>
      <c r="J70" s="195">
        <v>0</v>
      </c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196">
        <v>-17969790</v>
      </c>
      <c r="F71" s="195">
        <v>-2702385.8</v>
      </c>
      <c r="G71" s="196">
        <v>-6706676</v>
      </c>
      <c r="H71" s="195">
        <v>-197489.15</v>
      </c>
      <c r="I71" s="196">
        <v>-2615</v>
      </c>
      <c r="J71" s="195">
        <v>-316.07</v>
      </c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196">
        <v>16040698</v>
      </c>
      <c r="F72" s="195">
        <v>2062385.8</v>
      </c>
      <c r="G72" s="196">
        <v>6597107</v>
      </c>
      <c r="H72" s="195">
        <v>197489.15</v>
      </c>
      <c r="I72" s="196">
        <v>0</v>
      </c>
      <c r="J72" s="195">
        <v>0</v>
      </c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196">
        <v>0</v>
      </c>
      <c r="F73" s="195">
        <v>0</v>
      </c>
      <c r="G73" s="196">
        <v>0</v>
      </c>
      <c r="H73" s="195">
        <v>0</v>
      </c>
      <c r="I73" s="196">
        <v>0</v>
      </c>
      <c r="J73" s="195">
        <v>0</v>
      </c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196">
        <v>0</v>
      </c>
      <c r="F74" s="195">
        <v>0</v>
      </c>
      <c r="G74" s="196">
        <v>0</v>
      </c>
      <c r="H74" s="195">
        <v>0</v>
      </c>
      <c r="I74" s="196">
        <v>0</v>
      </c>
      <c r="J74" s="195">
        <v>0</v>
      </c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196">
        <v>0</v>
      </c>
      <c r="F75" s="195">
        <v>0</v>
      </c>
      <c r="G75" s="196">
        <v>0</v>
      </c>
      <c r="H75" s="195">
        <v>0</v>
      </c>
      <c r="I75" s="196">
        <v>0</v>
      </c>
      <c r="J75" s="195">
        <v>0</v>
      </c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196">
        <v>0</v>
      </c>
      <c r="F76" s="195">
        <v>0</v>
      </c>
      <c r="G76" s="196">
        <v>0</v>
      </c>
      <c r="H76" s="195">
        <v>0</v>
      </c>
      <c r="I76" s="196">
        <v>0</v>
      </c>
      <c r="J76" s="195">
        <v>0</v>
      </c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196">
        <v>0</v>
      </c>
      <c r="F77" s="195">
        <v>0</v>
      </c>
      <c r="G77" s="196">
        <v>0</v>
      </c>
      <c r="H77" s="195">
        <v>0</v>
      </c>
      <c r="I77" s="196">
        <v>0</v>
      </c>
      <c r="J77" s="195">
        <v>0</v>
      </c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196">
        <v>0</v>
      </c>
      <c r="F78" s="195">
        <v>0</v>
      </c>
      <c r="G78" s="196">
        <v>0</v>
      </c>
      <c r="H78" s="195">
        <v>0</v>
      </c>
      <c r="I78" s="196">
        <v>0</v>
      </c>
      <c r="J78" s="195">
        <v>0</v>
      </c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196">
        <v>0</v>
      </c>
      <c r="F79" s="195">
        <v>0</v>
      </c>
      <c r="G79" s="196">
        <v>0</v>
      </c>
      <c r="H79" s="195">
        <v>0</v>
      </c>
      <c r="I79" s="196">
        <v>0</v>
      </c>
      <c r="J79" s="195">
        <v>0</v>
      </c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196">
        <v>0</v>
      </c>
      <c r="F80" s="195">
        <v>0</v>
      </c>
      <c r="G80" s="196">
        <v>0</v>
      </c>
      <c r="H80" s="195">
        <v>0</v>
      </c>
      <c r="I80" s="196">
        <v>0</v>
      </c>
      <c r="J80" s="195">
        <v>0</v>
      </c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196">
        <v>0</v>
      </c>
      <c r="F81" s="195">
        <v>0</v>
      </c>
      <c r="G81" s="196">
        <v>0</v>
      </c>
      <c r="H81" s="195">
        <v>0</v>
      </c>
      <c r="I81" s="196">
        <v>0</v>
      </c>
      <c r="J81" s="195">
        <v>0</v>
      </c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196">
        <v>0</v>
      </c>
      <c r="F82" s="195">
        <v>0</v>
      </c>
      <c r="G82" s="196">
        <v>0</v>
      </c>
      <c r="H82" s="195">
        <v>0</v>
      </c>
      <c r="I82" s="196">
        <v>0</v>
      </c>
      <c r="J82" s="195">
        <v>0</v>
      </c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196">
        <v>0</v>
      </c>
      <c r="F83" s="195">
        <v>0</v>
      </c>
      <c r="G83" s="196">
        <v>0</v>
      </c>
      <c r="H83" s="195">
        <v>0</v>
      </c>
      <c r="I83" s="196">
        <v>0</v>
      </c>
      <c r="J83" s="195">
        <v>0</v>
      </c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</row>
    <row r="84" spans="1:118" x14ac:dyDescent="0.25">
      <c r="A84" s="33" t="s">
        <v>140</v>
      </c>
      <c r="B84" s="33" t="s">
        <v>203</v>
      </c>
      <c r="C84" s="33">
        <v>1</v>
      </c>
      <c r="D84" s="33" t="s">
        <v>25</v>
      </c>
      <c r="E84" s="196">
        <v>0</v>
      </c>
      <c r="F84" s="195">
        <v>0</v>
      </c>
      <c r="G84" s="196">
        <v>0</v>
      </c>
      <c r="H84" s="195">
        <v>0</v>
      </c>
      <c r="I84" s="196">
        <v>0</v>
      </c>
      <c r="J84" s="195">
        <v>0</v>
      </c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</row>
    <row r="85" spans="1:118" x14ac:dyDescent="0.25">
      <c r="A85" s="33" t="s">
        <v>140</v>
      </c>
      <c r="B85" s="33" t="s">
        <v>203</v>
      </c>
      <c r="C85" s="33">
        <v>2</v>
      </c>
      <c r="D85" s="33" t="s">
        <v>26</v>
      </c>
      <c r="E85" s="196">
        <v>0</v>
      </c>
      <c r="F85" s="195">
        <v>0</v>
      </c>
      <c r="G85" s="196">
        <v>0</v>
      </c>
      <c r="H85" s="195">
        <v>0</v>
      </c>
      <c r="I85" s="196">
        <v>0</v>
      </c>
      <c r="J85" s="195">
        <v>0</v>
      </c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</row>
    <row r="86" spans="1:118" x14ac:dyDescent="0.25">
      <c r="A86" s="33" t="s">
        <v>140</v>
      </c>
      <c r="B86" s="33" t="s">
        <v>203</v>
      </c>
      <c r="C86" s="33">
        <v>3</v>
      </c>
      <c r="D86" s="33" t="s">
        <v>27</v>
      </c>
      <c r="E86" s="196">
        <v>0</v>
      </c>
      <c r="F86" s="195">
        <v>0</v>
      </c>
      <c r="G86" s="196">
        <v>0</v>
      </c>
      <c r="H86" s="195">
        <v>0</v>
      </c>
      <c r="I86" s="196">
        <v>0</v>
      </c>
      <c r="J86" s="195">
        <v>0</v>
      </c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</row>
    <row r="87" spans="1:118" x14ac:dyDescent="0.25">
      <c r="A87" s="33" t="s">
        <v>140</v>
      </c>
      <c r="B87" s="33" t="s">
        <v>203</v>
      </c>
      <c r="C87" s="33">
        <v>4</v>
      </c>
      <c r="D87" s="33" t="s">
        <v>28</v>
      </c>
      <c r="E87" s="196">
        <v>0</v>
      </c>
      <c r="F87" s="195">
        <v>0</v>
      </c>
      <c r="G87" s="196">
        <v>0</v>
      </c>
      <c r="H87" s="195">
        <v>0</v>
      </c>
      <c r="I87" s="196">
        <v>0</v>
      </c>
      <c r="J87" s="195">
        <v>0</v>
      </c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</row>
    <row r="88" spans="1:118" x14ac:dyDescent="0.25">
      <c r="A88" s="33" t="s">
        <v>140</v>
      </c>
      <c r="B88" s="33" t="s">
        <v>203</v>
      </c>
      <c r="C88" s="33">
        <v>5</v>
      </c>
      <c r="D88" s="33" t="s">
        <v>125</v>
      </c>
      <c r="E88" s="196">
        <v>0</v>
      </c>
      <c r="F88" s="195">
        <v>0</v>
      </c>
      <c r="G88" s="196">
        <v>0</v>
      </c>
      <c r="H88" s="195">
        <v>0</v>
      </c>
      <c r="I88" s="196">
        <v>0</v>
      </c>
      <c r="J88" s="195">
        <v>0</v>
      </c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</row>
    <row r="89" spans="1:118" x14ac:dyDescent="0.25">
      <c r="A89" s="33" t="s">
        <v>140</v>
      </c>
      <c r="B89" s="33" t="s">
        <v>203</v>
      </c>
      <c r="C89" s="33">
        <v>6</v>
      </c>
      <c r="D89" s="33" t="s">
        <v>25</v>
      </c>
      <c r="E89" s="196">
        <v>0</v>
      </c>
      <c r="F89" s="195">
        <v>0</v>
      </c>
      <c r="G89" s="196">
        <v>0</v>
      </c>
      <c r="H89" s="195">
        <v>0</v>
      </c>
      <c r="I89" s="196">
        <v>0</v>
      </c>
      <c r="J89" s="195">
        <v>0</v>
      </c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</row>
    <row r="90" spans="1:118" x14ac:dyDescent="0.25">
      <c r="A90" s="33" t="s">
        <v>140</v>
      </c>
      <c r="B90" s="33" t="s">
        <v>203</v>
      </c>
      <c r="C90" s="33">
        <v>7</v>
      </c>
      <c r="D90" s="33" t="s">
        <v>26</v>
      </c>
      <c r="E90" s="196">
        <v>0</v>
      </c>
      <c r="F90" s="195">
        <v>0</v>
      </c>
      <c r="G90" s="196">
        <v>0</v>
      </c>
      <c r="H90" s="195">
        <v>0</v>
      </c>
      <c r="I90" s="196">
        <v>0</v>
      </c>
      <c r="J90" s="195">
        <v>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</row>
    <row r="91" spans="1:118" x14ac:dyDescent="0.25">
      <c r="A91" s="33" t="s">
        <v>140</v>
      </c>
      <c r="B91" s="33" t="s">
        <v>203</v>
      </c>
      <c r="C91" s="33">
        <v>8</v>
      </c>
      <c r="D91" s="33" t="s">
        <v>27</v>
      </c>
      <c r="E91" s="196">
        <v>0</v>
      </c>
      <c r="F91" s="195">
        <v>0</v>
      </c>
      <c r="G91" s="196">
        <v>0</v>
      </c>
      <c r="H91" s="195">
        <v>0</v>
      </c>
      <c r="I91" s="196">
        <v>0</v>
      </c>
      <c r="J91" s="195">
        <v>0</v>
      </c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</row>
    <row r="92" spans="1:118" x14ac:dyDescent="0.25">
      <c r="A92" s="33" t="s">
        <v>140</v>
      </c>
      <c r="B92" s="33" t="s">
        <v>203</v>
      </c>
      <c r="C92" s="33">
        <v>9</v>
      </c>
      <c r="D92" s="33" t="s">
        <v>28</v>
      </c>
      <c r="E92" s="196">
        <v>0</v>
      </c>
      <c r="F92" s="195">
        <v>0</v>
      </c>
      <c r="G92" s="196">
        <v>0</v>
      </c>
      <c r="H92" s="195">
        <v>0</v>
      </c>
      <c r="I92" s="196">
        <v>0</v>
      </c>
      <c r="J92" s="195">
        <v>0</v>
      </c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</row>
    <row r="93" spans="1:118" x14ac:dyDescent="0.25">
      <c r="A93" s="33" t="s">
        <v>140</v>
      </c>
      <c r="B93" s="33" t="s">
        <v>203</v>
      </c>
      <c r="C93" s="33">
        <v>10</v>
      </c>
      <c r="D93" s="33" t="s">
        <v>32</v>
      </c>
      <c r="E93" s="196">
        <v>0</v>
      </c>
      <c r="F93" s="195">
        <v>0</v>
      </c>
      <c r="G93" s="196">
        <v>0</v>
      </c>
      <c r="H93" s="195">
        <v>0</v>
      </c>
      <c r="I93" s="196">
        <v>0</v>
      </c>
      <c r="J93" s="195">
        <v>0</v>
      </c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</row>
    <row r="94" spans="1:118" x14ac:dyDescent="0.25">
      <c r="A94" s="33" t="s">
        <v>140</v>
      </c>
      <c r="B94" s="33" t="s">
        <v>203</v>
      </c>
      <c r="C94" s="33">
        <v>11</v>
      </c>
      <c r="D94" s="33" t="s">
        <v>35</v>
      </c>
      <c r="E94" s="196">
        <v>0</v>
      </c>
      <c r="F94" s="195">
        <v>0</v>
      </c>
      <c r="G94" s="196">
        <v>0</v>
      </c>
      <c r="H94" s="195">
        <v>0</v>
      </c>
      <c r="I94" s="196">
        <v>0</v>
      </c>
      <c r="J94" s="195">
        <v>0</v>
      </c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</row>
    <row r="95" spans="1:118" x14ac:dyDescent="0.25">
      <c r="A95" s="33" t="s">
        <v>140</v>
      </c>
      <c r="B95" s="33" t="s">
        <v>203</v>
      </c>
      <c r="C95" s="33">
        <v>12</v>
      </c>
      <c r="D95" s="33" t="s">
        <v>36</v>
      </c>
      <c r="E95" s="196">
        <v>0</v>
      </c>
      <c r="F95" s="195">
        <v>0</v>
      </c>
      <c r="G95" s="196">
        <v>0</v>
      </c>
      <c r="H95" s="195">
        <v>0</v>
      </c>
      <c r="I95" s="196">
        <v>0</v>
      </c>
      <c r="J95" s="195">
        <v>0</v>
      </c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</row>
    <row r="96" spans="1:118" x14ac:dyDescent="0.25">
      <c r="A96" s="33" t="s">
        <v>140</v>
      </c>
      <c r="B96" s="33" t="s">
        <v>203</v>
      </c>
      <c r="C96" s="33">
        <v>13</v>
      </c>
      <c r="D96" s="33" t="s">
        <v>39</v>
      </c>
      <c r="E96" s="196">
        <v>0</v>
      </c>
      <c r="F96" s="195">
        <v>0</v>
      </c>
      <c r="G96" s="196">
        <v>0</v>
      </c>
      <c r="H96" s="195">
        <v>0</v>
      </c>
      <c r="I96" s="196">
        <v>0</v>
      </c>
      <c r="J96" s="195">
        <v>0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</row>
    <row r="97" spans="1:118" x14ac:dyDescent="0.25">
      <c r="A97" s="33" t="s">
        <v>140</v>
      </c>
      <c r="B97" s="33" t="s">
        <v>203</v>
      </c>
      <c r="C97" s="33">
        <v>14</v>
      </c>
      <c r="D97" s="33" t="s">
        <v>40</v>
      </c>
      <c r="E97" s="196">
        <v>0</v>
      </c>
      <c r="F97" s="195">
        <v>0</v>
      </c>
      <c r="G97" s="196">
        <v>0</v>
      </c>
      <c r="H97" s="195">
        <v>0</v>
      </c>
      <c r="I97" s="196">
        <v>0</v>
      </c>
      <c r="J97" s="195">
        <v>0</v>
      </c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</row>
    <row r="98" spans="1:118" x14ac:dyDescent="0.25">
      <c r="A98" s="33" t="s">
        <v>140</v>
      </c>
      <c r="B98" s="33" t="s">
        <v>203</v>
      </c>
      <c r="C98" s="33">
        <v>15</v>
      </c>
      <c r="D98" s="33" t="s">
        <v>41</v>
      </c>
      <c r="E98" s="196">
        <v>0</v>
      </c>
      <c r="F98" s="195">
        <v>0</v>
      </c>
      <c r="G98" s="196">
        <v>0</v>
      </c>
      <c r="H98" s="195">
        <v>0</v>
      </c>
      <c r="I98" s="196">
        <v>0</v>
      </c>
      <c r="J98" s="195">
        <v>0</v>
      </c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</row>
    <row r="99" spans="1:118" x14ac:dyDescent="0.25">
      <c r="A99" s="33" t="s">
        <v>140</v>
      </c>
      <c r="B99" s="33" t="s">
        <v>203</v>
      </c>
      <c r="C99" s="33">
        <v>16</v>
      </c>
      <c r="D99" s="33" t="s">
        <v>42</v>
      </c>
      <c r="E99" s="196">
        <v>0</v>
      </c>
      <c r="F99" s="195">
        <v>0</v>
      </c>
      <c r="G99" s="196">
        <v>0</v>
      </c>
      <c r="H99" s="195">
        <v>0</v>
      </c>
      <c r="I99" s="196">
        <v>0</v>
      </c>
      <c r="J99" s="195">
        <v>0</v>
      </c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</row>
    <row r="100" spans="1:118" x14ac:dyDescent="0.25">
      <c r="A100" s="33" t="s">
        <v>140</v>
      </c>
      <c r="B100" s="33" t="s">
        <v>203</v>
      </c>
      <c r="C100" s="33">
        <v>17</v>
      </c>
      <c r="D100" s="33" t="s">
        <v>126</v>
      </c>
      <c r="E100" s="196">
        <v>0</v>
      </c>
      <c r="F100" s="195">
        <v>0</v>
      </c>
      <c r="G100" s="196">
        <v>0</v>
      </c>
      <c r="H100" s="195">
        <v>0</v>
      </c>
      <c r="I100" s="196">
        <v>0</v>
      </c>
      <c r="J100" s="195">
        <v>0</v>
      </c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</row>
    <row r="101" spans="1:118" x14ac:dyDescent="0.25">
      <c r="A101" s="33" t="s">
        <v>140</v>
      </c>
      <c r="B101" s="33" t="s">
        <v>203</v>
      </c>
      <c r="C101" s="33">
        <v>18</v>
      </c>
      <c r="D101" s="33" t="s">
        <v>127</v>
      </c>
      <c r="E101" s="196">
        <v>0</v>
      </c>
      <c r="F101" s="195">
        <v>0</v>
      </c>
      <c r="G101" s="196">
        <v>0</v>
      </c>
      <c r="H101" s="195">
        <v>0</v>
      </c>
      <c r="I101" s="196">
        <v>0</v>
      </c>
      <c r="J101" s="195">
        <v>0</v>
      </c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</row>
    <row r="102" spans="1:118" x14ac:dyDescent="0.25">
      <c r="A102" s="33" t="s">
        <v>140</v>
      </c>
      <c r="B102" s="33" t="s">
        <v>203</v>
      </c>
      <c r="C102" s="33">
        <v>19</v>
      </c>
      <c r="D102" s="33" t="s">
        <v>47</v>
      </c>
      <c r="E102" s="196">
        <v>0</v>
      </c>
      <c r="F102" s="195">
        <v>0</v>
      </c>
      <c r="G102" s="196">
        <v>0</v>
      </c>
      <c r="H102" s="195">
        <v>0</v>
      </c>
      <c r="I102" s="196">
        <v>0</v>
      </c>
      <c r="J102" s="195">
        <v>0</v>
      </c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</row>
    <row r="103" spans="1:118" x14ac:dyDescent="0.25">
      <c r="A103" s="33" t="s">
        <v>140</v>
      </c>
      <c r="B103" s="33" t="s">
        <v>203</v>
      </c>
      <c r="C103" s="33">
        <v>20</v>
      </c>
      <c r="D103" s="33" t="s">
        <v>128</v>
      </c>
      <c r="E103" s="196">
        <v>0</v>
      </c>
      <c r="F103" s="195">
        <v>0</v>
      </c>
      <c r="G103" s="196">
        <v>0</v>
      </c>
      <c r="H103" s="195">
        <v>0</v>
      </c>
      <c r="I103" s="196">
        <v>0</v>
      </c>
      <c r="J103" s="195">
        <v>0</v>
      </c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</row>
    <row r="104" spans="1:118" x14ac:dyDescent="0.25">
      <c r="A104" s="33" t="s">
        <v>140</v>
      </c>
      <c r="B104" s="33" t="s">
        <v>203</v>
      </c>
      <c r="C104" s="33">
        <v>21</v>
      </c>
      <c r="D104" s="33" t="s">
        <v>129</v>
      </c>
      <c r="E104" s="196">
        <v>0</v>
      </c>
      <c r="F104" s="195">
        <v>0</v>
      </c>
      <c r="G104" s="196">
        <v>0</v>
      </c>
      <c r="H104" s="195">
        <v>0</v>
      </c>
      <c r="I104" s="196">
        <v>0</v>
      </c>
      <c r="J104" s="195">
        <v>0</v>
      </c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</row>
    <row r="105" spans="1:118" x14ac:dyDescent="0.25">
      <c r="A105" s="33" t="s">
        <v>140</v>
      </c>
      <c r="B105" s="33" t="s">
        <v>203</v>
      </c>
      <c r="C105" s="33">
        <v>22</v>
      </c>
      <c r="D105" s="33" t="s">
        <v>130</v>
      </c>
      <c r="E105" s="196">
        <v>0</v>
      </c>
      <c r="F105" s="195">
        <v>0</v>
      </c>
      <c r="G105" s="196">
        <v>0</v>
      </c>
      <c r="H105" s="195">
        <v>0</v>
      </c>
      <c r="I105" s="196">
        <v>0</v>
      </c>
      <c r="J105" s="195">
        <v>0</v>
      </c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</row>
    <row r="106" spans="1:118" x14ac:dyDescent="0.25">
      <c r="A106" s="33" t="s">
        <v>140</v>
      </c>
      <c r="B106" s="33" t="s">
        <v>203</v>
      </c>
      <c r="C106" s="33">
        <v>23</v>
      </c>
      <c r="D106" s="33" t="s">
        <v>131</v>
      </c>
      <c r="E106" s="196">
        <v>0</v>
      </c>
      <c r="F106" s="195">
        <v>0</v>
      </c>
      <c r="G106" s="196">
        <v>0</v>
      </c>
      <c r="H106" s="195">
        <v>0</v>
      </c>
      <c r="I106" s="196">
        <v>0</v>
      </c>
      <c r="J106" s="195">
        <v>0</v>
      </c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</row>
    <row r="107" spans="1:118" x14ac:dyDescent="0.25">
      <c r="A107" s="33" t="s">
        <v>140</v>
      </c>
      <c r="B107" s="33" t="s">
        <v>203</v>
      </c>
      <c r="C107" s="33">
        <v>24</v>
      </c>
      <c r="D107" s="33" t="s">
        <v>55</v>
      </c>
      <c r="E107" s="196">
        <v>0</v>
      </c>
      <c r="F107" s="195">
        <v>0</v>
      </c>
      <c r="G107" s="196">
        <v>0</v>
      </c>
      <c r="H107" s="195">
        <v>0</v>
      </c>
      <c r="I107" s="196">
        <v>0</v>
      </c>
      <c r="J107" s="195">
        <v>0</v>
      </c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</row>
    <row r="108" spans="1:118" x14ac:dyDescent="0.25">
      <c r="A108" s="33" t="s">
        <v>140</v>
      </c>
      <c r="B108" s="33" t="s">
        <v>203</v>
      </c>
      <c r="C108" s="33">
        <v>25</v>
      </c>
      <c r="D108" s="33" t="s">
        <v>56</v>
      </c>
      <c r="E108" s="196">
        <v>0</v>
      </c>
      <c r="F108" s="195">
        <v>0</v>
      </c>
      <c r="G108" s="196">
        <v>0</v>
      </c>
      <c r="H108" s="195">
        <v>0</v>
      </c>
      <c r="I108" s="196">
        <v>0</v>
      </c>
      <c r="J108" s="195">
        <v>0</v>
      </c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  <c r="DB108" s="195"/>
      <c r="DC108" s="195"/>
      <c r="DD108" s="195"/>
      <c r="DE108" s="195"/>
      <c r="DF108" s="195"/>
      <c r="DG108" s="195"/>
      <c r="DH108" s="195"/>
      <c r="DI108" s="195"/>
      <c r="DJ108" s="195"/>
      <c r="DK108" s="195"/>
      <c r="DL108" s="195"/>
      <c r="DM108" s="195"/>
      <c r="DN108" s="195"/>
    </row>
    <row r="109" spans="1:118" x14ac:dyDescent="0.25">
      <c r="A109" s="33" t="s">
        <v>140</v>
      </c>
      <c r="B109" s="33" t="s">
        <v>203</v>
      </c>
      <c r="C109" s="33">
        <v>26</v>
      </c>
      <c r="D109" s="33" t="s">
        <v>132</v>
      </c>
      <c r="E109" s="196">
        <v>0</v>
      </c>
      <c r="F109" s="195">
        <v>0</v>
      </c>
      <c r="G109" s="196">
        <v>0</v>
      </c>
      <c r="H109" s="195">
        <v>0</v>
      </c>
      <c r="I109" s="196">
        <v>0</v>
      </c>
      <c r="J109" s="195">
        <v>0</v>
      </c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  <c r="DB109" s="195"/>
      <c r="DC109" s="195"/>
      <c r="DD109" s="195"/>
      <c r="DE109" s="195"/>
      <c r="DF109" s="195"/>
      <c r="DG109" s="195"/>
      <c r="DH109" s="195"/>
      <c r="DI109" s="195"/>
      <c r="DJ109" s="195"/>
      <c r="DK109" s="195"/>
      <c r="DL109" s="195"/>
      <c r="DM109" s="195"/>
      <c r="DN109" s="195"/>
    </row>
    <row r="110" spans="1:118" x14ac:dyDescent="0.25">
      <c r="A110" s="33" t="s">
        <v>140</v>
      </c>
      <c r="B110" s="33" t="s">
        <v>203</v>
      </c>
      <c r="C110" s="33">
        <v>27</v>
      </c>
      <c r="D110" s="33" t="s">
        <v>133</v>
      </c>
      <c r="E110" s="196">
        <v>0</v>
      </c>
      <c r="F110" s="195">
        <v>0</v>
      </c>
      <c r="G110" s="196">
        <v>0</v>
      </c>
      <c r="H110" s="195">
        <v>0</v>
      </c>
      <c r="I110" s="196">
        <v>0</v>
      </c>
      <c r="J110" s="195">
        <v>0</v>
      </c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  <c r="DB110" s="195"/>
      <c r="DC110" s="195"/>
      <c r="DD110" s="195"/>
      <c r="DE110" s="195"/>
      <c r="DF110" s="195"/>
      <c r="DG110" s="195"/>
      <c r="DH110" s="195"/>
      <c r="DI110" s="195"/>
      <c r="DJ110" s="195"/>
      <c r="DK110" s="195"/>
      <c r="DL110" s="195"/>
      <c r="DM110" s="195"/>
      <c r="DN110" s="195"/>
    </row>
    <row r="111" spans="1:118" x14ac:dyDescent="0.25">
      <c r="A111" s="33" t="s">
        <v>140</v>
      </c>
      <c r="B111" s="33" t="s">
        <v>203</v>
      </c>
      <c r="C111" s="33">
        <v>28</v>
      </c>
      <c r="D111" s="33" t="s">
        <v>134</v>
      </c>
      <c r="E111" s="196">
        <v>0</v>
      </c>
      <c r="F111" s="195">
        <v>0</v>
      </c>
      <c r="G111" s="196">
        <v>0</v>
      </c>
      <c r="H111" s="195">
        <v>0</v>
      </c>
      <c r="I111" s="196">
        <v>0</v>
      </c>
      <c r="J111" s="195">
        <v>0</v>
      </c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  <c r="DB111" s="195"/>
      <c r="DC111" s="195"/>
      <c r="DD111" s="195"/>
      <c r="DE111" s="195"/>
      <c r="DF111" s="195"/>
      <c r="DG111" s="195"/>
      <c r="DH111" s="195"/>
      <c r="DI111" s="195"/>
      <c r="DJ111" s="195"/>
      <c r="DK111" s="195"/>
      <c r="DL111" s="195"/>
      <c r="DM111" s="195"/>
      <c r="DN111" s="195"/>
    </row>
    <row r="112" spans="1:118" x14ac:dyDescent="0.25">
      <c r="A112" s="33" t="s">
        <v>140</v>
      </c>
      <c r="B112" s="33" t="s">
        <v>203</v>
      </c>
      <c r="C112" s="33">
        <v>29</v>
      </c>
      <c r="D112" s="33" t="s">
        <v>135</v>
      </c>
      <c r="E112" s="196">
        <v>0</v>
      </c>
      <c r="F112" s="195">
        <v>0</v>
      </c>
      <c r="G112" s="196">
        <v>0</v>
      </c>
      <c r="H112" s="195">
        <v>0</v>
      </c>
      <c r="I112" s="196">
        <v>0</v>
      </c>
      <c r="J112" s="195">
        <v>0</v>
      </c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  <c r="DB112" s="195"/>
      <c r="DC112" s="195"/>
      <c r="DD112" s="195"/>
      <c r="DE112" s="195"/>
      <c r="DF112" s="195"/>
      <c r="DG112" s="195"/>
      <c r="DH112" s="195"/>
      <c r="DI112" s="195"/>
      <c r="DJ112" s="195"/>
      <c r="DK112" s="195"/>
      <c r="DL112" s="195"/>
      <c r="DM112" s="195"/>
      <c r="DN112" s="195"/>
    </row>
    <row r="113" spans="1:118" x14ac:dyDescent="0.25">
      <c r="A113" s="33" t="s">
        <v>140</v>
      </c>
      <c r="B113" s="33" t="s">
        <v>203</v>
      </c>
      <c r="C113" s="33">
        <v>30</v>
      </c>
      <c r="D113" s="33" t="s">
        <v>136</v>
      </c>
      <c r="E113" s="196">
        <v>0</v>
      </c>
      <c r="F113" s="195">
        <v>0</v>
      </c>
      <c r="G113" s="196">
        <v>0</v>
      </c>
      <c r="H113" s="195">
        <v>0</v>
      </c>
      <c r="I113" s="196">
        <v>0</v>
      </c>
      <c r="J113" s="195">
        <v>0</v>
      </c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  <c r="DB113" s="195"/>
      <c r="DC113" s="195"/>
      <c r="DD113" s="195"/>
      <c r="DE113" s="195"/>
      <c r="DF113" s="195"/>
      <c r="DG113" s="195"/>
      <c r="DH113" s="195"/>
      <c r="DI113" s="195"/>
      <c r="DJ113" s="195"/>
      <c r="DK113" s="195"/>
      <c r="DL113" s="195"/>
      <c r="DM113" s="195"/>
      <c r="DN113" s="195"/>
    </row>
    <row r="114" spans="1:118" x14ac:dyDescent="0.25">
      <c r="A114" s="33" t="s">
        <v>140</v>
      </c>
      <c r="B114" s="33" t="s">
        <v>203</v>
      </c>
      <c r="C114" s="33">
        <v>31</v>
      </c>
      <c r="D114" s="33" t="s">
        <v>137</v>
      </c>
      <c r="E114" s="196">
        <v>0</v>
      </c>
      <c r="F114" s="195">
        <v>0</v>
      </c>
      <c r="G114" s="196">
        <v>0</v>
      </c>
      <c r="H114" s="195">
        <v>0</v>
      </c>
      <c r="I114" s="196">
        <v>0</v>
      </c>
      <c r="J114" s="195">
        <v>0</v>
      </c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  <c r="DB114" s="195"/>
      <c r="DC114" s="195"/>
      <c r="DD114" s="195"/>
      <c r="DE114" s="195"/>
      <c r="DF114" s="195"/>
      <c r="DG114" s="195"/>
      <c r="DH114" s="195"/>
      <c r="DI114" s="195"/>
      <c r="DJ114" s="195"/>
      <c r="DK114" s="195"/>
      <c r="DL114" s="195"/>
      <c r="DM114" s="195"/>
      <c r="DN114" s="195"/>
    </row>
    <row r="115" spans="1:118" x14ac:dyDescent="0.25">
      <c r="A115" s="33" t="s">
        <v>140</v>
      </c>
      <c r="B115" s="33" t="s">
        <v>203</v>
      </c>
      <c r="C115" s="33">
        <v>32</v>
      </c>
      <c r="D115" s="33" t="s">
        <v>70</v>
      </c>
      <c r="E115" s="196">
        <v>0</v>
      </c>
      <c r="F115" s="195">
        <v>0</v>
      </c>
      <c r="G115" s="196">
        <v>0</v>
      </c>
      <c r="H115" s="195">
        <v>0</v>
      </c>
      <c r="I115" s="196">
        <v>0</v>
      </c>
      <c r="J115" s="195">
        <v>0</v>
      </c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  <c r="DB115" s="195"/>
      <c r="DC115" s="195"/>
      <c r="DD115" s="195"/>
      <c r="DE115" s="195"/>
      <c r="DF115" s="195"/>
      <c r="DG115" s="195"/>
      <c r="DH115" s="195"/>
      <c r="DI115" s="195"/>
      <c r="DJ115" s="195"/>
      <c r="DK115" s="195"/>
      <c r="DL115" s="195"/>
      <c r="DM115" s="195"/>
      <c r="DN115" s="195"/>
    </row>
    <row r="116" spans="1:118" x14ac:dyDescent="0.25">
      <c r="A116" s="33" t="s">
        <v>140</v>
      </c>
      <c r="B116" s="33" t="s">
        <v>203</v>
      </c>
      <c r="C116" s="33">
        <v>33</v>
      </c>
      <c r="D116" s="33" t="s">
        <v>71</v>
      </c>
      <c r="E116" s="196">
        <v>0</v>
      </c>
      <c r="F116" s="195">
        <v>0</v>
      </c>
      <c r="G116" s="196">
        <v>0</v>
      </c>
      <c r="H116" s="195">
        <v>0</v>
      </c>
      <c r="I116" s="196">
        <v>0</v>
      </c>
      <c r="J116" s="195">
        <v>0</v>
      </c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  <c r="DB116" s="195"/>
      <c r="DC116" s="195"/>
      <c r="DD116" s="195"/>
      <c r="DE116" s="195"/>
      <c r="DF116" s="195"/>
      <c r="DG116" s="195"/>
      <c r="DH116" s="195"/>
      <c r="DI116" s="195"/>
      <c r="DJ116" s="195"/>
      <c r="DK116" s="195"/>
      <c r="DL116" s="195"/>
      <c r="DM116" s="195"/>
      <c r="DN116" s="195"/>
    </row>
    <row r="117" spans="1:118" x14ac:dyDescent="0.25">
      <c r="A117" s="33" t="s">
        <v>140</v>
      </c>
      <c r="B117" s="33" t="s">
        <v>203</v>
      </c>
      <c r="C117" s="33">
        <v>34</v>
      </c>
      <c r="D117" s="33" t="s">
        <v>72</v>
      </c>
      <c r="E117" s="196">
        <v>0</v>
      </c>
      <c r="F117" s="195">
        <v>0</v>
      </c>
      <c r="G117" s="196">
        <v>0</v>
      </c>
      <c r="H117" s="195">
        <v>0</v>
      </c>
      <c r="I117" s="196">
        <v>0</v>
      </c>
      <c r="J117" s="195">
        <v>0</v>
      </c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  <c r="DB117" s="195"/>
      <c r="DC117" s="195"/>
      <c r="DD117" s="195"/>
      <c r="DE117" s="195"/>
      <c r="DF117" s="195"/>
      <c r="DG117" s="195"/>
      <c r="DH117" s="195"/>
      <c r="DI117" s="195"/>
      <c r="DJ117" s="195"/>
      <c r="DK117" s="195"/>
      <c r="DL117" s="195"/>
      <c r="DM117" s="195"/>
      <c r="DN117" s="195"/>
    </row>
    <row r="118" spans="1:118" x14ac:dyDescent="0.25">
      <c r="A118" s="33" t="s">
        <v>140</v>
      </c>
      <c r="B118" s="33" t="s">
        <v>203</v>
      </c>
      <c r="C118" s="33">
        <v>35</v>
      </c>
      <c r="D118" s="33" t="s">
        <v>73</v>
      </c>
      <c r="E118" s="196">
        <v>0</v>
      </c>
      <c r="F118" s="195">
        <v>0</v>
      </c>
      <c r="G118" s="196">
        <v>0</v>
      </c>
      <c r="H118" s="195">
        <v>0</v>
      </c>
      <c r="I118" s="196">
        <v>0</v>
      </c>
      <c r="J118" s="195">
        <v>0</v>
      </c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  <c r="DB118" s="195"/>
      <c r="DC118" s="195"/>
      <c r="DD118" s="195"/>
      <c r="DE118" s="195"/>
      <c r="DF118" s="195"/>
      <c r="DG118" s="195"/>
      <c r="DH118" s="195"/>
      <c r="DI118" s="195"/>
      <c r="DJ118" s="195"/>
      <c r="DK118" s="195"/>
      <c r="DL118" s="195"/>
      <c r="DM118" s="195"/>
      <c r="DN118" s="195"/>
    </row>
    <row r="119" spans="1:118" x14ac:dyDescent="0.25">
      <c r="A119" s="33" t="s">
        <v>140</v>
      </c>
      <c r="B119" s="33" t="s">
        <v>203</v>
      </c>
      <c r="C119" s="33">
        <v>36</v>
      </c>
      <c r="D119" s="33" t="s">
        <v>74</v>
      </c>
      <c r="E119" s="196">
        <v>0</v>
      </c>
      <c r="F119" s="195">
        <v>0</v>
      </c>
      <c r="G119" s="196">
        <v>0</v>
      </c>
      <c r="H119" s="195">
        <v>0</v>
      </c>
      <c r="I119" s="196">
        <v>0</v>
      </c>
      <c r="J119" s="195">
        <v>0</v>
      </c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  <c r="DB119" s="195"/>
      <c r="DC119" s="195"/>
      <c r="DD119" s="195"/>
      <c r="DE119" s="195"/>
      <c r="DF119" s="195"/>
      <c r="DG119" s="195"/>
      <c r="DH119" s="195"/>
      <c r="DI119" s="195"/>
      <c r="DJ119" s="195"/>
      <c r="DK119" s="195"/>
      <c r="DL119" s="195"/>
      <c r="DM119" s="195"/>
      <c r="DN119" s="195"/>
    </row>
    <row r="120" spans="1:118" x14ac:dyDescent="0.25">
      <c r="A120" s="33" t="s">
        <v>140</v>
      </c>
      <c r="B120" s="33" t="s">
        <v>203</v>
      </c>
      <c r="C120" s="33">
        <v>37</v>
      </c>
      <c r="D120" s="33" t="s">
        <v>75</v>
      </c>
      <c r="E120" s="196">
        <v>0</v>
      </c>
      <c r="F120" s="195">
        <v>0</v>
      </c>
      <c r="G120" s="196">
        <v>0</v>
      </c>
      <c r="H120" s="195">
        <v>0</v>
      </c>
      <c r="I120" s="196">
        <v>0</v>
      </c>
      <c r="J120" s="195">
        <v>0</v>
      </c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  <c r="DB120" s="195"/>
      <c r="DC120" s="195"/>
      <c r="DD120" s="195"/>
      <c r="DE120" s="195"/>
      <c r="DF120" s="195"/>
      <c r="DG120" s="195"/>
      <c r="DH120" s="195"/>
      <c r="DI120" s="195"/>
      <c r="DJ120" s="195"/>
      <c r="DK120" s="195"/>
      <c r="DL120" s="195"/>
      <c r="DM120" s="195"/>
      <c r="DN120" s="195"/>
    </row>
    <row r="121" spans="1:118" x14ac:dyDescent="0.25">
      <c r="A121" s="33" t="s">
        <v>140</v>
      </c>
      <c r="B121" s="33" t="s">
        <v>203</v>
      </c>
      <c r="C121" s="33">
        <v>38</v>
      </c>
      <c r="D121" s="33" t="s">
        <v>76</v>
      </c>
      <c r="E121" s="196">
        <v>0</v>
      </c>
      <c r="F121" s="195">
        <v>0</v>
      </c>
      <c r="G121" s="196">
        <v>0</v>
      </c>
      <c r="H121" s="195">
        <v>0</v>
      </c>
      <c r="I121" s="196">
        <v>0</v>
      </c>
      <c r="J121" s="195">
        <v>0</v>
      </c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/>
      <c r="DH121" s="195"/>
      <c r="DI121" s="195"/>
      <c r="DJ121" s="195"/>
      <c r="DK121" s="195"/>
      <c r="DL121" s="195"/>
      <c r="DM121" s="195"/>
      <c r="DN121" s="195"/>
    </row>
    <row r="122" spans="1:118" x14ac:dyDescent="0.25">
      <c r="A122" s="33" t="s">
        <v>140</v>
      </c>
      <c r="B122" s="33" t="s">
        <v>203</v>
      </c>
      <c r="C122" s="33">
        <v>39</v>
      </c>
      <c r="D122" s="33" t="s">
        <v>77</v>
      </c>
      <c r="E122" s="196">
        <v>0</v>
      </c>
      <c r="F122" s="195">
        <v>0</v>
      </c>
      <c r="G122" s="196">
        <v>0</v>
      </c>
      <c r="H122" s="195">
        <v>0</v>
      </c>
      <c r="I122" s="196">
        <v>0</v>
      </c>
      <c r="J122" s="195">
        <v>0</v>
      </c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/>
      <c r="DH122" s="195"/>
      <c r="DI122" s="195"/>
      <c r="DJ122" s="195"/>
      <c r="DK122" s="195"/>
      <c r="DL122" s="195"/>
      <c r="DM122" s="195"/>
      <c r="DN122" s="195"/>
    </row>
    <row r="123" spans="1:118" x14ac:dyDescent="0.25">
      <c r="A123" s="33" t="s">
        <v>140</v>
      </c>
      <c r="B123" s="33" t="s">
        <v>203</v>
      </c>
      <c r="C123" s="33">
        <v>40</v>
      </c>
      <c r="D123" s="33" t="s">
        <v>78</v>
      </c>
      <c r="E123" s="196">
        <v>0</v>
      </c>
      <c r="F123" s="195">
        <v>0</v>
      </c>
      <c r="G123" s="196">
        <v>0</v>
      </c>
      <c r="H123" s="195">
        <v>0</v>
      </c>
      <c r="I123" s="196">
        <v>0</v>
      </c>
      <c r="J123" s="195">
        <v>0</v>
      </c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/>
      <c r="DH123" s="195"/>
      <c r="DI123" s="195"/>
      <c r="DJ123" s="195"/>
      <c r="DK123" s="195"/>
      <c r="DL123" s="195"/>
      <c r="DM123" s="195"/>
      <c r="DN123" s="195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196">
        <v>19431347</v>
      </c>
      <c r="F124" s="195">
        <v>53544567.719999999</v>
      </c>
      <c r="G124" s="196">
        <v>-18554</v>
      </c>
      <c r="H124" s="195">
        <v>-3966080.25</v>
      </c>
      <c r="I124" s="196">
        <v>0</v>
      </c>
      <c r="J124" s="195">
        <v>0</v>
      </c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/>
      <c r="DH124" s="195"/>
      <c r="DI124" s="195"/>
      <c r="DJ124" s="195"/>
      <c r="DK124" s="195"/>
      <c r="DL124" s="195"/>
      <c r="DM124" s="195"/>
      <c r="DN124" s="195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196">
        <v>0</v>
      </c>
      <c r="F125" s="195">
        <v>0</v>
      </c>
      <c r="G125" s="196">
        <v>0</v>
      </c>
      <c r="H125" s="195">
        <v>0</v>
      </c>
      <c r="I125" s="196">
        <v>0</v>
      </c>
      <c r="J125" s="195">
        <v>0</v>
      </c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/>
      <c r="DH125" s="195"/>
      <c r="DI125" s="195"/>
      <c r="DJ125" s="195"/>
      <c r="DK125" s="195"/>
      <c r="DL125" s="195"/>
      <c r="DM125" s="195"/>
      <c r="DN125" s="195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196">
        <v>40256482</v>
      </c>
      <c r="F126" s="195">
        <v>149667712</v>
      </c>
      <c r="G126" s="196">
        <v>-29669668</v>
      </c>
      <c r="H126" s="195">
        <v>-115214428</v>
      </c>
      <c r="I126" s="196">
        <v>-692</v>
      </c>
      <c r="J126" s="195">
        <v>-2180</v>
      </c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/>
      <c r="DH126" s="195"/>
      <c r="DI126" s="195"/>
      <c r="DJ126" s="195"/>
      <c r="DK126" s="195"/>
      <c r="DL126" s="195"/>
      <c r="DM126" s="195"/>
      <c r="DN126" s="195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196">
        <v>0</v>
      </c>
      <c r="F127" s="195">
        <v>0</v>
      </c>
      <c r="G127" s="196">
        <v>0</v>
      </c>
      <c r="H127" s="195">
        <v>0</v>
      </c>
      <c r="I127" s="196">
        <v>0</v>
      </c>
      <c r="J127" s="195">
        <v>0</v>
      </c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/>
      <c r="DH127" s="195"/>
      <c r="DI127" s="195"/>
      <c r="DJ127" s="195"/>
      <c r="DK127" s="195"/>
      <c r="DL127" s="195"/>
      <c r="DM127" s="195"/>
      <c r="DN127" s="195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196">
        <v>0</v>
      </c>
      <c r="F128" s="195">
        <v>4005898</v>
      </c>
      <c r="G128" s="196">
        <v>0</v>
      </c>
      <c r="H128" s="195">
        <v>58669.65</v>
      </c>
      <c r="I128" s="196">
        <v>0</v>
      </c>
      <c r="J128" s="195">
        <v>5319.64</v>
      </c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/>
      <c r="DH128" s="195"/>
      <c r="DI128" s="195"/>
      <c r="DJ128" s="195"/>
      <c r="DK128" s="195"/>
      <c r="DL128" s="195"/>
      <c r="DM128" s="195"/>
      <c r="DN128" s="195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196">
        <v>-7535915</v>
      </c>
      <c r="F129" s="195">
        <v>-21525702.010000002</v>
      </c>
      <c r="G129" s="196">
        <v>8269</v>
      </c>
      <c r="H129" s="195">
        <v>-802176.02</v>
      </c>
      <c r="I129" s="196">
        <v>-1082</v>
      </c>
      <c r="J129" s="195">
        <v>-2434.5</v>
      </c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/>
      <c r="DH129" s="195"/>
      <c r="DI129" s="195"/>
      <c r="DJ129" s="195"/>
      <c r="DK129" s="195"/>
      <c r="DL129" s="195"/>
      <c r="DM129" s="195"/>
      <c r="DN129" s="195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196">
        <v>0</v>
      </c>
      <c r="F130" s="195">
        <v>0</v>
      </c>
      <c r="G130" s="196">
        <v>0</v>
      </c>
      <c r="H130" s="195">
        <v>0</v>
      </c>
      <c r="I130" s="196">
        <v>0</v>
      </c>
      <c r="J130" s="195">
        <v>0</v>
      </c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/>
      <c r="DH130" s="195"/>
      <c r="DI130" s="195"/>
      <c r="DJ130" s="195"/>
      <c r="DK130" s="195"/>
      <c r="DL130" s="195"/>
      <c r="DM130" s="195"/>
      <c r="DN130" s="195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196">
        <v>-39752169</v>
      </c>
      <c r="F131" s="195">
        <v>-142820242</v>
      </c>
      <c r="G131" s="196">
        <v>29837725</v>
      </c>
      <c r="H131" s="195">
        <v>116134081</v>
      </c>
      <c r="I131" s="196">
        <v>0</v>
      </c>
      <c r="J131" s="195">
        <v>0</v>
      </c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/>
      <c r="DH131" s="195"/>
      <c r="DI131" s="195"/>
      <c r="DJ131" s="195"/>
      <c r="DK131" s="195"/>
      <c r="DL131" s="195"/>
      <c r="DM131" s="195"/>
      <c r="DN131" s="195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196">
        <v>0</v>
      </c>
      <c r="F132" s="195">
        <v>0</v>
      </c>
      <c r="G132" s="196">
        <v>0</v>
      </c>
      <c r="H132" s="195">
        <v>0</v>
      </c>
      <c r="I132" s="196">
        <v>0</v>
      </c>
      <c r="J132" s="195">
        <v>0</v>
      </c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/>
      <c r="DH132" s="195"/>
      <c r="DI132" s="195"/>
      <c r="DJ132" s="195"/>
      <c r="DK132" s="195"/>
      <c r="DL132" s="195"/>
      <c r="DM132" s="195"/>
      <c r="DN132" s="195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196">
        <v>0</v>
      </c>
      <c r="F133" s="195">
        <v>0</v>
      </c>
      <c r="G133" s="196">
        <v>0</v>
      </c>
      <c r="H133" s="195">
        <v>0</v>
      </c>
      <c r="I133" s="196">
        <v>0</v>
      </c>
      <c r="J133" s="195">
        <v>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/>
      <c r="DH133" s="195"/>
      <c r="DI133" s="195"/>
      <c r="DJ133" s="195"/>
      <c r="DK133" s="195"/>
      <c r="DL133" s="195"/>
      <c r="DM133" s="195"/>
      <c r="DN133" s="195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196">
        <v>0</v>
      </c>
      <c r="F134" s="195">
        <v>0</v>
      </c>
      <c r="G134" s="196">
        <v>0</v>
      </c>
      <c r="H134" s="195">
        <v>0</v>
      </c>
      <c r="I134" s="196">
        <v>0</v>
      </c>
      <c r="J134" s="195">
        <v>0</v>
      </c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/>
      <c r="DH134" s="195"/>
      <c r="DI134" s="195"/>
      <c r="DJ134" s="195"/>
      <c r="DK134" s="195"/>
      <c r="DL134" s="195"/>
      <c r="DM134" s="195"/>
      <c r="DN134" s="195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196">
        <v>0</v>
      </c>
      <c r="F135" s="195">
        <v>0</v>
      </c>
      <c r="G135" s="196">
        <v>0</v>
      </c>
      <c r="H135" s="195">
        <v>0</v>
      </c>
      <c r="I135" s="196">
        <v>0</v>
      </c>
      <c r="J135" s="195">
        <v>0</v>
      </c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/>
      <c r="DH135" s="195"/>
      <c r="DI135" s="195"/>
      <c r="DJ135" s="195"/>
      <c r="DK135" s="195"/>
      <c r="DL135" s="195"/>
      <c r="DM135" s="195"/>
      <c r="DN135" s="195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196">
        <v>0</v>
      </c>
      <c r="F136" s="195">
        <v>0</v>
      </c>
      <c r="G136" s="196">
        <v>0</v>
      </c>
      <c r="H136" s="195">
        <v>0</v>
      </c>
      <c r="I136" s="196">
        <v>0</v>
      </c>
      <c r="J136" s="195">
        <v>0</v>
      </c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/>
      <c r="DH136" s="195"/>
      <c r="DI136" s="195"/>
      <c r="DJ136" s="195"/>
      <c r="DK136" s="195"/>
      <c r="DL136" s="195"/>
      <c r="DM136" s="195"/>
      <c r="DN136" s="195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196">
        <v>0</v>
      </c>
      <c r="F137" s="195">
        <v>0</v>
      </c>
      <c r="G137" s="196">
        <v>0</v>
      </c>
      <c r="H137" s="195">
        <v>0</v>
      </c>
      <c r="I137" s="196">
        <v>0</v>
      </c>
      <c r="J137" s="195">
        <v>0</v>
      </c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/>
      <c r="DH137" s="195"/>
      <c r="DI137" s="195"/>
      <c r="DJ137" s="195"/>
      <c r="DK137" s="195"/>
      <c r="DL137" s="195"/>
      <c r="DM137" s="195"/>
      <c r="DN137" s="195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196">
        <v>0</v>
      </c>
      <c r="F138" s="195">
        <v>0</v>
      </c>
      <c r="G138" s="196">
        <v>0</v>
      </c>
      <c r="H138" s="195">
        <v>0</v>
      </c>
      <c r="I138" s="196">
        <v>0</v>
      </c>
      <c r="J138" s="195">
        <v>0</v>
      </c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/>
      <c r="DH138" s="195"/>
      <c r="DI138" s="195"/>
      <c r="DJ138" s="195"/>
      <c r="DK138" s="195"/>
      <c r="DL138" s="195"/>
      <c r="DM138" s="195"/>
      <c r="DN138" s="195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196">
        <v>0</v>
      </c>
      <c r="F139" s="195">
        <v>0</v>
      </c>
      <c r="G139" s="196">
        <v>0</v>
      </c>
      <c r="H139" s="195">
        <v>0</v>
      </c>
      <c r="I139" s="196">
        <v>0</v>
      </c>
      <c r="J139" s="195">
        <v>0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  <c r="DB139" s="195"/>
      <c r="DC139" s="195"/>
      <c r="DD139" s="195"/>
      <c r="DE139" s="195"/>
      <c r="DF139" s="195"/>
      <c r="DG139" s="195"/>
      <c r="DH139" s="195"/>
      <c r="DI139" s="195"/>
      <c r="DJ139" s="195"/>
      <c r="DK139" s="195"/>
      <c r="DL139" s="195"/>
      <c r="DM139" s="195"/>
      <c r="DN139" s="195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196">
        <v>0</v>
      </c>
      <c r="F140" s="195">
        <v>0</v>
      </c>
      <c r="G140" s="196">
        <v>0</v>
      </c>
      <c r="H140" s="195">
        <v>0</v>
      </c>
      <c r="I140" s="196">
        <v>0</v>
      </c>
      <c r="J140" s="195">
        <v>0</v>
      </c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  <c r="DB140" s="195"/>
      <c r="DC140" s="195"/>
      <c r="DD140" s="195"/>
      <c r="DE140" s="195"/>
      <c r="DF140" s="195"/>
      <c r="DG140" s="195"/>
      <c r="DH140" s="195"/>
      <c r="DI140" s="195"/>
      <c r="DJ140" s="195"/>
      <c r="DK140" s="195"/>
      <c r="DL140" s="195"/>
      <c r="DM140" s="195"/>
      <c r="DN140" s="195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196">
        <v>-13334961</v>
      </c>
      <c r="F141" s="195">
        <v>-35688126.609999999</v>
      </c>
      <c r="G141" s="196">
        <v>-131001</v>
      </c>
      <c r="H141" s="195">
        <v>-324973.23</v>
      </c>
      <c r="I141" s="196">
        <v>-3330</v>
      </c>
      <c r="J141" s="195">
        <v>-9070.0499999999993</v>
      </c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  <c r="DB141" s="195"/>
      <c r="DC141" s="195"/>
      <c r="DD141" s="195"/>
      <c r="DE141" s="195"/>
      <c r="DF141" s="195"/>
      <c r="DG141" s="195"/>
      <c r="DH141" s="195"/>
      <c r="DI141" s="195"/>
      <c r="DJ141" s="195"/>
      <c r="DK141" s="195"/>
      <c r="DL141" s="195"/>
      <c r="DM141" s="195"/>
      <c r="DN141" s="195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196">
        <v>0</v>
      </c>
      <c r="F142" s="195">
        <v>0</v>
      </c>
      <c r="G142" s="196">
        <v>0</v>
      </c>
      <c r="H142" s="195">
        <v>0</v>
      </c>
      <c r="I142" s="196">
        <v>0</v>
      </c>
      <c r="J142" s="195">
        <v>0</v>
      </c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  <c r="DB142" s="195"/>
      <c r="DC142" s="195"/>
      <c r="DD142" s="195"/>
      <c r="DE142" s="195"/>
      <c r="DF142" s="195"/>
      <c r="DG142" s="195"/>
      <c r="DH142" s="195"/>
      <c r="DI142" s="195"/>
      <c r="DJ142" s="195"/>
      <c r="DK142" s="195"/>
      <c r="DL142" s="195"/>
      <c r="DM142" s="195"/>
      <c r="DN142" s="195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196">
        <v>0</v>
      </c>
      <c r="F143" s="195">
        <v>0</v>
      </c>
      <c r="G143" s="196">
        <v>0</v>
      </c>
      <c r="H143" s="195">
        <v>0</v>
      </c>
      <c r="I143" s="196">
        <v>0</v>
      </c>
      <c r="J143" s="195">
        <v>0</v>
      </c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  <c r="DB143" s="195"/>
      <c r="DC143" s="195"/>
      <c r="DD143" s="195"/>
      <c r="DE143" s="195"/>
      <c r="DF143" s="195"/>
      <c r="DG143" s="195"/>
      <c r="DH143" s="195"/>
      <c r="DI143" s="195"/>
      <c r="DJ143" s="195"/>
      <c r="DK143" s="195"/>
      <c r="DL143" s="195"/>
      <c r="DM143" s="195"/>
      <c r="DN143" s="195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196">
        <v>0</v>
      </c>
      <c r="F144" s="195">
        <v>0</v>
      </c>
      <c r="G144" s="196">
        <v>0</v>
      </c>
      <c r="H144" s="195">
        <v>0</v>
      </c>
      <c r="I144" s="196">
        <v>0</v>
      </c>
      <c r="J144" s="195">
        <v>0</v>
      </c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  <c r="DB144" s="195"/>
      <c r="DC144" s="195"/>
      <c r="DD144" s="195"/>
      <c r="DE144" s="195"/>
      <c r="DF144" s="195"/>
      <c r="DG144" s="195"/>
      <c r="DH144" s="195"/>
      <c r="DI144" s="195"/>
      <c r="DJ144" s="195"/>
      <c r="DK144" s="195"/>
      <c r="DL144" s="195"/>
      <c r="DM144" s="195"/>
      <c r="DN144" s="195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196">
        <v>935216</v>
      </c>
      <c r="F145" s="195">
        <v>2511054.96</v>
      </c>
      <c r="G145" s="196">
        <v>-26771</v>
      </c>
      <c r="H145" s="195">
        <v>-71880.134999999776</v>
      </c>
      <c r="I145" s="196">
        <v>5104</v>
      </c>
      <c r="J145" s="195">
        <v>13704.24</v>
      </c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  <c r="DB145" s="195"/>
      <c r="DC145" s="195"/>
      <c r="DD145" s="195"/>
      <c r="DE145" s="195"/>
      <c r="DF145" s="195"/>
      <c r="DG145" s="195"/>
      <c r="DH145" s="195"/>
      <c r="DI145" s="195"/>
      <c r="DJ145" s="195"/>
      <c r="DK145" s="195"/>
      <c r="DL145" s="195"/>
      <c r="DM145" s="195"/>
      <c r="DN145" s="195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196">
        <v>0</v>
      </c>
      <c r="F146" s="195">
        <v>0</v>
      </c>
      <c r="G146" s="196">
        <v>0</v>
      </c>
      <c r="H146" s="195">
        <v>0</v>
      </c>
      <c r="I146" s="196">
        <v>0</v>
      </c>
      <c r="J146" s="195">
        <v>0</v>
      </c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  <c r="DB146" s="195"/>
      <c r="DC146" s="195"/>
      <c r="DD146" s="195"/>
      <c r="DE146" s="195"/>
      <c r="DF146" s="195"/>
      <c r="DG146" s="195"/>
      <c r="DH146" s="195"/>
      <c r="DI146" s="195"/>
      <c r="DJ146" s="195"/>
      <c r="DK146" s="195"/>
      <c r="DL146" s="195"/>
      <c r="DM146" s="195"/>
      <c r="DN146" s="195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196">
        <v>-28454012</v>
      </c>
      <c r="F147" s="195">
        <v>-1056140.2</v>
      </c>
      <c r="G147" s="196">
        <v>-180573</v>
      </c>
      <c r="H147" s="195">
        <v>-69185.03</v>
      </c>
      <c r="I147" s="196">
        <v>8440</v>
      </c>
      <c r="J147" s="195">
        <v>622.14</v>
      </c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195"/>
      <c r="DM147" s="195"/>
      <c r="DN147" s="195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196">
        <v>0</v>
      </c>
      <c r="F148" s="195">
        <v>-10505991.42</v>
      </c>
      <c r="G148" s="196">
        <v>0</v>
      </c>
      <c r="H148" s="195">
        <v>54309.06</v>
      </c>
      <c r="I148" s="196">
        <v>0</v>
      </c>
      <c r="J148" s="195">
        <v>0</v>
      </c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  <c r="DB148" s="195"/>
      <c r="DC148" s="195"/>
      <c r="DD148" s="195"/>
      <c r="DE148" s="195"/>
      <c r="DF148" s="195"/>
      <c r="DG148" s="195"/>
      <c r="DH148" s="195"/>
      <c r="DI148" s="195"/>
      <c r="DJ148" s="195"/>
      <c r="DK148" s="195"/>
      <c r="DL148" s="195"/>
      <c r="DM148" s="195"/>
      <c r="DN148" s="195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196">
        <v>0</v>
      </c>
      <c r="F149" s="195">
        <v>0</v>
      </c>
      <c r="G149" s="196">
        <v>0</v>
      </c>
      <c r="H149" s="195">
        <v>0</v>
      </c>
      <c r="I149" s="196">
        <v>0</v>
      </c>
      <c r="J149" s="195">
        <v>0</v>
      </c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  <c r="DB149" s="195"/>
      <c r="DC149" s="195"/>
      <c r="DD149" s="195"/>
      <c r="DE149" s="195"/>
      <c r="DF149" s="195"/>
      <c r="DG149" s="195"/>
      <c r="DH149" s="195"/>
      <c r="DI149" s="195"/>
      <c r="DJ149" s="195"/>
      <c r="DK149" s="195"/>
      <c r="DL149" s="195"/>
      <c r="DM149" s="195"/>
      <c r="DN149" s="195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196">
        <v>0</v>
      </c>
      <c r="F150" s="195">
        <v>0</v>
      </c>
      <c r="G150" s="196">
        <v>0</v>
      </c>
      <c r="H150" s="195">
        <v>0</v>
      </c>
      <c r="I150" s="196">
        <v>0</v>
      </c>
      <c r="J150" s="195">
        <v>0</v>
      </c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  <c r="DB150" s="195"/>
      <c r="DC150" s="195"/>
      <c r="DD150" s="195"/>
      <c r="DE150" s="195"/>
      <c r="DF150" s="195"/>
      <c r="DG150" s="195"/>
      <c r="DH150" s="195"/>
      <c r="DI150" s="195"/>
      <c r="DJ150" s="195"/>
      <c r="DK150" s="195"/>
      <c r="DL150" s="195"/>
      <c r="DM150" s="195"/>
      <c r="DN150" s="195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196">
        <v>0</v>
      </c>
      <c r="F151" s="195">
        <v>0</v>
      </c>
      <c r="G151" s="196">
        <v>0</v>
      </c>
      <c r="H151" s="195">
        <v>0</v>
      </c>
      <c r="I151" s="196">
        <v>0</v>
      </c>
      <c r="J151" s="195">
        <v>0</v>
      </c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  <c r="DB151" s="195"/>
      <c r="DC151" s="195"/>
      <c r="DD151" s="195"/>
      <c r="DE151" s="195"/>
      <c r="DF151" s="195"/>
      <c r="DG151" s="195"/>
      <c r="DH151" s="195"/>
      <c r="DI151" s="195"/>
      <c r="DJ151" s="195"/>
      <c r="DK151" s="195"/>
      <c r="DL151" s="195"/>
      <c r="DM151" s="195"/>
      <c r="DN151" s="195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196">
        <v>0</v>
      </c>
      <c r="F152" s="195">
        <v>0</v>
      </c>
      <c r="G152" s="196">
        <v>0</v>
      </c>
      <c r="H152" s="195">
        <v>0</v>
      </c>
      <c r="I152" s="196">
        <v>0</v>
      </c>
      <c r="J152" s="195">
        <v>0</v>
      </c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  <c r="DB152" s="195"/>
      <c r="DC152" s="195"/>
      <c r="DD152" s="195"/>
      <c r="DE152" s="195"/>
      <c r="DF152" s="195"/>
      <c r="DG152" s="195"/>
      <c r="DH152" s="195"/>
      <c r="DI152" s="195"/>
      <c r="DJ152" s="195"/>
      <c r="DK152" s="195"/>
      <c r="DL152" s="195"/>
      <c r="DM152" s="195"/>
      <c r="DN152" s="195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196">
        <v>0</v>
      </c>
      <c r="F153" s="195">
        <v>0</v>
      </c>
      <c r="G153" s="196">
        <v>0</v>
      </c>
      <c r="H153" s="195">
        <v>0</v>
      </c>
      <c r="I153" s="196">
        <v>0</v>
      </c>
      <c r="J153" s="195">
        <v>0</v>
      </c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  <c r="DB153" s="195"/>
      <c r="DC153" s="195"/>
      <c r="DD153" s="195"/>
      <c r="DE153" s="195"/>
      <c r="DF153" s="195"/>
      <c r="DG153" s="195"/>
      <c r="DH153" s="195"/>
      <c r="DI153" s="195"/>
      <c r="DJ153" s="195"/>
      <c r="DK153" s="195"/>
      <c r="DL153" s="195"/>
      <c r="DM153" s="195"/>
      <c r="DN153" s="195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196">
        <v>0</v>
      </c>
      <c r="F154" s="195">
        <v>0</v>
      </c>
      <c r="G154" s="196">
        <v>0</v>
      </c>
      <c r="H154" s="195">
        <v>0</v>
      </c>
      <c r="I154" s="196">
        <v>0</v>
      </c>
      <c r="J154" s="195">
        <v>0</v>
      </c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  <c r="DB154" s="195"/>
      <c r="DC154" s="195"/>
      <c r="DD154" s="195"/>
      <c r="DE154" s="195"/>
      <c r="DF154" s="195"/>
      <c r="DG154" s="195"/>
      <c r="DH154" s="195"/>
      <c r="DI154" s="195"/>
      <c r="DJ154" s="195"/>
      <c r="DK154" s="195"/>
      <c r="DL154" s="195"/>
      <c r="DM154" s="195"/>
      <c r="DN154" s="195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196">
        <v>0</v>
      </c>
      <c r="F155" s="195">
        <v>0</v>
      </c>
      <c r="G155" s="196">
        <v>0</v>
      </c>
      <c r="H155" s="195">
        <v>0</v>
      </c>
      <c r="I155" s="196">
        <v>0</v>
      </c>
      <c r="J155" s="195">
        <v>0</v>
      </c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  <c r="DB155" s="195"/>
      <c r="DC155" s="195"/>
      <c r="DD155" s="195"/>
      <c r="DE155" s="195"/>
      <c r="DF155" s="195"/>
      <c r="DG155" s="195"/>
      <c r="DH155" s="195"/>
      <c r="DI155" s="195"/>
      <c r="DJ155" s="195"/>
      <c r="DK155" s="195"/>
      <c r="DL155" s="195"/>
      <c r="DM155" s="195"/>
      <c r="DN155" s="195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196">
        <v>0</v>
      </c>
      <c r="F156" s="195">
        <v>0</v>
      </c>
      <c r="G156" s="196">
        <v>0</v>
      </c>
      <c r="H156" s="195">
        <v>0</v>
      </c>
      <c r="I156" s="196">
        <v>0</v>
      </c>
      <c r="J156" s="195">
        <v>0</v>
      </c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  <c r="DB156" s="195"/>
      <c r="DC156" s="195"/>
      <c r="DD156" s="195"/>
      <c r="DE156" s="195"/>
      <c r="DF156" s="195"/>
      <c r="DG156" s="195"/>
      <c r="DH156" s="195"/>
      <c r="DI156" s="195"/>
      <c r="DJ156" s="195"/>
      <c r="DK156" s="195"/>
      <c r="DL156" s="195"/>
      <c r="DM156" s="195"/>
      <c r="DN156" s="195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196">
        <v>0</v>
      </c>
      <c r="F157" s="195">
        <v>0</v>
      </c>
      <c r="G157" s="196">
        <v>0</v>
      </c>
      <c r="H157" s="195">
        <v>0</v>
      </c>
      <c r="I157" s="196">
        <v>0</v>
      </c>
      <c r="J157" s="195">
        <v>0</v>
      </c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  <c r="DB157" s="195"/>
      <c r="DC157" s="195"/>
      <c r="DD157" s="195"/>
      <c r="DE157" s="195"/>
      <c r="DF157" s="195"/>
      <c r="DG157" s="195"/>
      <c r="DH157" s="195"/>
      <c r="DI157" s="195"/>
      <c r="DJ157" s="195"/>
      <c r="DK157" s="195"/>
      <c r="DL157" s="195"/>
      <c r="DM157" s="195"/>
      <c r="DN157" s="195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196">
        <v>0</v>
      </c>
      <c r="F158" s="195">
        <v>0</v>
      </c>
      <c r="G158" s="196">
        <v>0</v>
      </c>
      <c r="H158" s="195">
        <v>0</v>
      </c>
      <c r="I158" s="196">
        <v>0</v>
      </c>
      <c r="J158" s="195">
        <v>0</v>
      </c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  <c r="DB158" s="195"/>
      <c r="DC158" s="195"/>
      <c r="DD158" s="195"/>
      <c r="DE158" s="195"/>
      <c r="DF158" s="195"/>
      <c r="DG158" s="195"/>
      <c r="DH158" s="195"/>
      <c r="DI158" s="195"/>
      <c r="DJ158" s="195"/>
      <c r="DK158" s="195"/>
      <c r="DL158" s="195"/>
      <c r="DM158" s="195"/>
      <c r="DN158" s="195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196">
        <v>0</v>
      </c>
      <c r="F159" s="195">
        <v>0</v>
      </c>
      <c r="G159" s="196">
        <v>0</v>
      </c>
      <c r="H159" s="195">
        <v>0</v>
      </c>
      <c r="I159" s="196">
        <v>0</v>
      </c>
      <c r="J159" s="195">
        <v>0</v>
      </c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  <c r="DB159" s="195"/>
      <c r="DC159" s="195"/>
      <c r="DD159" s="195"/>
      <c r="DE159" s="195"/>
      <c r="DF159" s="195"/>
      <c r="DG159" s="195"/>
      <c r="DH159" s="195"/>
      <c r="DI159" s="195"/>
      <c r="DJ159" s="195"/>
      <c r="DK159" s="195"/>
      <c r="DL159" s="195"/>
      <c r="DM159" s="195"/>
      <c r="DN159" s="195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196">
        <v>0</v>
      </c>
      <c r="F160" s="195">
        <v>0</v>
      </c>
      <c r="G160" s="196">
        <v>0</v>
      </c>
      <c r="H160" s="195">
        <v>0</v>
      </c>
      <c r="I160" s="196">
        <v>0</v>
      </c>
      <c r="J160" s="195">
        <v>0</v>
      </c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  <c r="DB160" s="195"/>
      <c r="DC160" s="195"/>
      <c r="DD160" s="195"/>
      <c r="DE160" s="195"/>
      <c r="DF160" s="195"/>
      <c r="DG160" s="195"/>
      <c r="DH160" s="195"/>
      <c r="DI160" s="195"/>
      <c r="DJ160" s="195"/>
      <c r="DK160" s="195"/>
      <c r="DL160" s="195"/>
      <c r="DM160" s="195"/>
      <c r="DN160" s="195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196">
        <v>0</v>
      </c>
      <c r="F161" s="195">
        <v>0</v>
      </c>
      <c r="G161" s="196">
        <v>0</v>
      </c>
      <c r="H161" s="195">
        <v>0</v>
      </c>
      <c r="I161" s="196">
        <v>0</v>
      </c>
      <c r="J161" s="195">
        <v>0</v>
      </c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  <c r="DB161" s="195"/>
      <c r="DC161" s="195"/>
      <c r="DD161" s="195"/>
      <c r="DE161" s="195"/>
      <c r="DF161" s="195"/>
      <c r="DG161" s="195"/>
      <c r="DH161" s="195"/>
      <c r="DI161" s="195"/>
      <c r="DJ161" s="195"/>
      <c r="DK161" s="195"/>
      <c r="DL161" s="195"/>
      <c r="DM161" s="195"/>
      <c r="DN161" s="195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196">
        <v>0</v>
      </c>
      <c r="F162" s="195">
        <v>0</v>
      </c>
      <c r="G162" s="196">
        <v>0</v>
      </c>
      <c r="H162" s="195">
        <v>0</v>
      </c>
      <c r="I162" s="196">
        <v>0</v>
      </c>
      <c r="J162" s="195">
        <v>0</v>
      </c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  <c r="DB162" s="195"/>
      <c r="DC162" s="195"/>
      <c r="DD162" s="195"/>
      <c r="DE162" s="195"/>
      <c r="DF162" s="195"/>
      <c r="DG162" s="195"/>
      <c r="DH162" s="195"/>
      <c r="DI162" s="195"/>
      <c r="DJ162" s="195"/>
      <c r="DK162" s="195"/>
      <c r="DL162" s="195"/>
      <c r="DM162" s="195"/>
      <c r="DN162" s="195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196">
        <v>0</v>
      </c>
      <c r="F163" s="195">
        <v>0</v>
      </c>
      <c r="G163" s="196">
        <v>0</v>
      </c>
      <c r="H163" s="195">
        <v>0</v>
      </c>
      <c r="I163" s="196">
        <v>0</v>
      </c>
      <c r="J163" s="195">
        <v>0</v>
      </c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  <c r="DB163" s="195"/>
      <c r="DC163" s="195"/>
      <c r="DD163" s="195"/>
      <c r="DE163" s="195"/>
      <c r="DF163" s="195"/>
      <c r="DG163" s="195"/>
      <c r="DH163" s="195"/>
      <c r="DI163" s="195"/>
      <c r="DJ163" s="195"/>
      <c r="DK163" s="195"/>
      <c r="DL163" s="195"/>
      <c r="DM163" s="195"/>
      <c r="DN163" s="195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196">
        <v>89154745</v>
      </c>
      <c r="F164" s="195">
        <v>228577447.23999998</v>
      </c>
      <c r="G164" s="196">
        <v>310179</v>
      </c>
      <c r="H164" s="195">
        <v>-186130.74</v>
      </c>
      <c r="I164" s="196">
        <v>-253084</v>
      </c>
      <c r="J164" s="195">
        <v>-650567.57999999996</v>
      </c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  <c r="DB164" s="195"/>
      <c r="DC164" s="195"/>
      <c r="DD164" s="195"/>
      <c r="DE164" s="195"/>
      <c r="DF164" s="195"/>
      <c r="DG164" s="195"/>
      <c r="DH164" s="195"/>
      <c r="DI164" s="195"/>
      <c r="DJ164" s="195"/>
      <c r="DK164" s="195"/>
      <c r="DL164" s="195"/>
      <c r="DM164" s="195"/>
      <c r="DN164" s="195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196">
        <v>0</v>
      </c>
      <c r="F165" s="195">
        <v>0</v>
      </c>
      <c r="G165" s="196">
        <v>0</v>
      </c>
      <c r="H165" s="195">
        <v>0</v>
      </c>
      <c r="I165" s="196">
        <v>0</v>
      </c>
      <c r="J165" s="195">
        <v>0</v>
      </c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  <c r="DB165" s="195"/>
      <c r="DC165" s="195"/>
      <c r="DD165" s="195"/>
      <c r="DE165" s="195"/>
      <c r="DF165" s="195"/>
      <c r="DG165" s="195"/>
      <c r="DH165" s="195"/>
      <c r="DI165" s="195"/>
      <c r="DJ165" s="195"/>
      <c r="DK165" s="195"/>
      <c r="DL165" s="195"/>
      <c r="DM165" s="195"/>
      <c r="DN165" s="195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196">
        <v>39137924</v>
      </c>
      <c r="F166" s="195">
        <v>101009075</v>
      </c>
      <c r="G166" s="196">
        <v>-23031672</v>
      </c>
      <c r="H166" s="195">
        <v>-58782528</v>
      </c>
      <c r="I166" s="196">
        <v>0</v>
      </c>
      <c r="J166" s="195">
        <v>0</v>
      </c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  <c r="DB166" s="195"/>
      <c r="DC166" s="195"/>
      <c r="DD166" s="195"/>
      <c r="DE166" s="195"/>
      <c r="DF166" s="195"/>
      <c r="DG166" s="195"/>
      <c r="DH166" s="195"/>
      <c r="DI166" s="195"/>
      <c r="DJ166" s="195"/>
      <c r="DK166" s="195"/>
      <c r="DL166" s="195"/>
      <c r="DM166" s="195"/>
      <c r="DN166" s="195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196">
        <v>0</v>
      </c>
      <c r="F167" s="195">
        <v>0</v>
      </c>
      <c r="G167" s="196">
        <v>0</v>
      </c>
      <c r="H167" s="195">
        <v>0</v>
      </c>
      <c r="I167" s="196">
        <v>0</v>
      </c>
      <c r="J167" s="195">
        <v>0</v>
      </c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  <c r="DB167" s="195"/>
      <c r="DC167" s="195"/>
      <c r="DD167" s="195"/>
      <c r="DE167" s="195"/>
      <c r="DF167" s="195"/>
      <c r="DG167" s="195"/>
      <c r="DH167" s="195"/>
      <c r="DI167" s="195"/>
      <c r="DJ167" s="195"/>
      <c r="DK167" s="195"/>
      <c r="DL167" s="195"/>
      <c r="DM167" s="195"/>
      <c r="DN167" s="195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196">
        <v>0</v>
      </c>
      <c r="F168" s="195">
        <v>1343339.62</v>
      </c>
      <c r="G168" s="196">
        <v>0</v>
      </c>
      <c r="H168" s="195">
        <v>1446059.11</v>
      </c>
      <c r="I168" s="196">
        <v>0</v>
      </c>
      <c r="J168" s="195">
        <v>0</v>
      </c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  <c r="DB168" s="195"/>
      <c r="DC168" s="195"/>
      <c r="DD168" s="195"/>
      <c r="DE168" s="195"/>
      <c r="DF168" s="195"/>
      <c r="DG168" s="195"/>
      <c r="DH168" s="195"/>
      <c r="DI168" s="195"/>
      <c r="DJ168" s="195"/>
      <c r="DK168" s="195"/>
      <c r="DL168" s="195"/>
      <c r="DM168" s="195"/>
      <c r="DN168" s="195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196">
        <v>-98600161</v>
      </c>
      <c r="F169" s="195">
        <v>-254701095.34</v>
      </c>
      <c r="G169" s="196">
        <v>-2236678</v>
      </c>
      <c r="H169" s="195">
        <v>-6010840.3600000003</v>
      </c>
      <c r="I169" s="196">
        <v>-285669</v>
      </c>
      <c r="J169" s="195">
        <v>-766842.47</v>
      </c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  <c r="DB169" s="195"/>
      <c r="DC169" s="195"/>
      <c r="DD169" s="195"/>
      <c r="DE169" s="195"/>
      <c r="DF169" s="195"/>
      <c r="DG169" s="195"/>
      <c r="DH169" s="195"/>
      <c r="DI169" s="195"/>
      <c r="DJ169" s="195"/>
      <c r="DK169" s="195"/>
      <c r="DL169" s="195"/>
      <c r="DM169" s="195"/>
      <c r="DN169" s="195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196">
        <v>0</v>
      </c>
      <c r="F170" s="195">
        <v>0</v>
      </c>
      <c r="G170" s="196">
        <v>0</v>
      </c>
      <c r="H170" s="195">
        <v>0</v>
      </c>
      <c r="I170" s="196">
        <v>0</v>
      </c>
      <c r="J170" s="195">
        <v>0</v>
      </c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196">
        <v>-26155472</v>
      </c>
      <c r="F171" s="195">
        <v>-67212397</v>
      </c>
      <c r="G171" s="196">
        <v>20648894</v>
      </c>
      <c r="H171" s="195">
        <v>52740315</v>
      </c>
      <c r="I171" s="196">
        <v>0</v>
      </c>
      <c r="J171" s="195">
        <v>0</v>
      </c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196">
        <v>0</v>
      </c>
      <c r="F172" s="195">
        <v>0</v>
      </c>
      <c r="G172" s="196">
        <v>0</v>
      </c>
      <c r="H172" s="195">
        <v>0</v>
      </c>
      <c r="I172" s="196">
        <v>0</v>
      </c>
      <c r="J172" s="195">
        <v>0</v>
      </c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  <c r="DB172" s="195"/>
      <c r="DC172" s="195"/>
      <c r="DD172" s="195"/>
      <c r="DE172" s="195"/>
      <c r="DF172" s="195"/>
      <c r="DG172" s="195"/>
      <c r="DH172" s="195"/>
      <c r="DI172" s="195"/>
      <c r="DJ172" s="195"/>
      <c r="DK172" s="195"/>
      <c r="DL172" s="195"/>
      <c r="DM172" s="195"/>
      <c r="DN172" s="195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196">
        <v>781724</v>
      </c>
      <c r="F173" s="195">
        <v>2009812.4040000001</v>
      </c>
      <c r="G173" s="196">
        <v>17121</v>
      </c>
      <c r="H173" s="195">
        <v>44018.091</v>
      </c>
      <c r="I173" s="196">
        <v>778</v>
      </c>
      <c r="J173" s="195">
        <v>2000.2380000000001</v>
      </c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  <c r="DB173" s="195"/>
      <c r="DC173" s="195"/>
      <c r="DD173" s="195"/>
      <c r="DE173" s="195"/>
      <c r="DF173" s="195"/>
      <c r="DG173" s="195"/>
      <c r="DH173" s="195"/>
      <c r="DI173" s="195"/>
      <c r="DJ173" s="195"/>
      <c r="DK173" s="195"/>
      <c r="DL173" s="195"/>
      <c r="DM173" s="195"/>
      <c r="DN173" s="195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196">
        <v>302429</v>
      </c>
      <c r="F174" s="195">
        <v>749895.67</v>
      </c>
      <c r="G174" s="196">
        <v>0</v>
      </c>
      <c r="H174" s="195">
        <v>0</v>
      </c>
      <c r="I174" s="196">
        <v>0</v>
      </c>
      <c r="J174" s="195">
        <v>0</v>
      </c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  <c r="DB174" s="195"/>
      <c r="DC174" s="195"/>
      <c r="DD174" s="195"/>
      <c r="DE174" s="195"/>
      <c r="DF174" s="195"/>
      <c r="DG174" s="195"/>
      <c r="DH174" s="195"/>
      <c r="DI174" s="195"/>
      <c r="DJ174" s="195"/>
      <c r="DK174" s="195"/>
      <c r="DL174" s="195"/>
      <c r="DM174" s="195"/>
      <c r="DN174" s="195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196">
        <v>-58619</v>
      </c>
      <c r="F175" s="195">
        <v>-152271.29999999999</v>
      </c>
      <c r="G175" s="196">
        <v>0</v>
      </c>
      <c r="H175" s="195">
        <v>0</v>
      </c>
      <c r="I175" s="196">
        <v>0</v>
      </c>
      <c r="J175" s="195">
        <v>0</v>
      </c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  <c r="DB175" s="195"/>
      <c r="DC175" s="195"/>
      <c r="DD175" s="195"/>
      <c r="DE175" s="195"/>
      <c r="DF175" s="195"/>
      <c r="DG175" s="195"/>
      <c r="DH175" s="195"/>
      <c r="DI175" s="195"/>
      <c r="DJ175" s="195"/>
      <c r="DK175" s="195"/>
      <c r="DL175" s="195"/>
      <c r="DM175" s="195"/>
      <c r="DN175" s="195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196">
        <v>-347083</v>
      </c>
      <c r="F176" s="195">
        <v>-892350.39300000004</v>
      </c>
      <c r="G176" s="196">
        <v>-271246</v>
      </c>
      <c r="H176" s="195">
        <v>-697373.46600000001</v>
      </c>
      <c r="I176" s="196">
        <v>256877</v>
      </c>
      <c r="J176" s="195">
        <v>660430.76699999999</v>
      </c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  <c r="DB176" s="195"/>
      <c r="DC176" s="195"/>
      <c r="DD176" s="195"/>
      <c r="DE176" s="195"/>
      <c r="DF176" s="195"/>
      <c r="DG176" s="195"/>
      <c r="DH176" s="195"/>
      <c r="DI176" s="195"/>
      <c r="DJ176" s="195"/>
      <c r="DK176" s="195"/>
      <c r="DL176" s="195"/>
      <c r="DM176" s="195"/>
      <c r="DN176" s="195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196">
        <v>0</v>
      </c>
      <c r="F177" s="195">
        <v>0</v>
      </c>
      <c r="G177" s="196">
        <v>-19195</v>
      </c>
      <c r="H177" s="195">
        <v>-50212.6</v>
      </c>
      <c r="I177" s="196">
        <v>-6744</v>
      </c>
      <c r="J177" s="195">
        <v>-17463.88</v>
      </c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  <c r="DB177" s="195"/>
      <c r="DC177" s="195"/>
      <c r="DD177" s="195"/>
      <c r="DE177" s="195"/>
      <c r="DF177" s="195"/>
      <c r="DG177" s="195"/>
      <c r="DH177" s="195"/>
      <c r="DI177" s="195"/>
      <c r="DJ177" s="195"/>
      <c r="DK177" s="195"/>
      <c r="DL177" s="195"/>
      <c r="DM177" s="195"/>
      <c r="DN177" s="195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196">
        <v>0</v>
      </c>
      <c r="F178" s="195">
        <v>0</v>
      </c>
      <c r="G178" s="196">
        <v>9741</v>
      </c>
      <c r="H178" s="195">
        <v>24588.59</v>
      </c>
      <c r="I178" s="196">
        <v>369</v>
      </c>
      <c r="J178" s="195">
        <v>947.22</v>
      </c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  <c r="DB178" s="195"/>
      <c r="DC178" s="195"/>
      <c r="DD178" s="195"/>
      <c r="DE178" s="195"/>
      <c r="DF178" s="195"/>
      <c r="DG178" s="195"/>
      <c r="DH178" s="195"/>
      <c r="DI178" s="195"/>
      <c r="DJ178" s="195"/>
      <c r="DK178" s="195"/>
      <c r="DL178" s="195"/>
      <c r="DM178" s="195"/>
      <c r="DN178" s="195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196">
        <v>0</v>
      </c>
      <c r="F179" s="195">
        <v>0</v>
      </c>
      <c r="G179" s="196">
        <v>0</v>
      </c>
      <c r="H179" s="195">
        <v>0</v>
      </c>
      <c r="I179" s="196">
        <v>0</v>
      </c>
      <c r="J179" s="195">
        <v>0</v>
      </c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  <c r="DB179" s="195"/>
      <c r="DC179" s="195"/>
      <c r="DD179" s="195"/>
      <c r="DE179" s="195"/>
      <c r="DF179" s="195"/>
      <c r="DG179" s="195"/>
      <c r="DH179" s="195"/>
      <c r="DI179" s="195"/>
      <c r="DJ179" s="195"/>
      <c r="DK179" s="195"/>
      <c r="DL179" s="195"/>
      <c r="DM179" s="195"/>
      <c r="DN179" s="195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196">
        <v>5016</v>
      </c>
      <c r="F180" s="195">
        <v>12896.14</v>
      </c>
      <c r="G180" s="196">
        <v>-1033</v>
      </c>
      <c r="H180" s="195">
        <v>-2655.85</v>
      </c>
      <c r="I180" s="196">
        <v>-752</v>
      </c>
      <c r="J180" s="195">
        <v>-1933.39</v>
      </c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  <c r="DB180" s="195"/>
      <c r="DC180" s="195"/>
      <c r="DD180" s="195"/>
      <c r="DE180" s="195"/>
      <c r="DF180" s="195"/>
      <c r="DG180" s="195"/>
      <c r="DH180" s="195"/>
      <c r="DI180" s="195"/>
      <c r="DJ180" s="195"/>
      <c r="DK180" s="195"/>
      <c r="DL180" s="195"/>
      <c r="DM180" s="195"/>
      <c r="DN180" s="195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196">
        <v>-505725</v>
      </c>
      <c r="F181" s="195">
        <v>-1310755.55</v>
      </c>
      <c r="G181" s="196">
        <v>502317</v>
      </c>
      <c r="H181" s="195">
        <v>1300054.46</v>
      </c>
      <c r="I181" s="196">
        <v>-499989</v>
      </c>
      <c r="J181" s="195">
        <v>-1285471.72</v>
      </c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  <c r="DB181" s="195"/>
      <c r="DC181" s="195"/>
      <c r="DD181" s="195"/>
      <c r="DE181" s="195"/>
      <c r="DF181" s="195"/>
      <c r="DG181" s="195"/>
      <c r="DH181" s="195"/>
      <c r="DI181" s="195"/>
      <c r="DJ181" s="195"/>
      <c r="DK181" s="195"/>
      <c r="DL181" s="195"/>
      <c r="DM181" s="195"/>
      <c r="DN181" s="195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196">
        <v>0</v>
      </c>
      <c r="F182" s="195">
        <v>0</v>
      </c>
      <c r="G182" s="196">
        <v>0</v>
      </c>
      <c r="H182" s="195">
        <v>0</v>
      </c>
      <c r="I182" s="196">
        <v>0</v>
      </c>
      <c r="J182" s="195">
        <v>0</v>
      </c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  <c r="DB182" s="195"/>
      <c r="DC182" s="195"/>
      <c r="DD182" s="195"/>
      <c r="DE182" s="195"/>
      <c r="DF182" s="195"/>
      <c r="DG182" s="195"/>
      <c r="DH182" s="195"/>
      <c r="DI182" s="195"/>
      <c r="DJ182" s="195"/>
      <c r="DK182" s="195"/>
      <c r="DL182" s="195"/>
      <c r="DM182" s="195"/>
      <c r="DN182" s="195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196">
        <v>0</v>
      </c>
      <c r="F183" s="195">
        <v>0</v>
      </c>
      <c r="G183" s="196">
        <v>0</v>
      </c>
      <c r="H183" s="195">
        <v>0</v>
      </c>
      <c r="I183" s="196">
        <v>0</v>
      </c>
      <c r="J183" s="195">
        <v>0</v>
      </c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  <c r="DB183" s="195"/>
      <c r="DC183" s="195"/>
      <c r="DD183" s="195"/>
      <c r="DE183" s="195"/>
      <c r="DF183" s="195"/>
      <c r="DG183" s="195"/>
      <c r="DH183" s="195"/>
      <c r="DI183" s="195"/>
      <c r="DJ183" s="195"/>
      <c r="DK183" s="195"/>
      <c r="DL183" s="195"/>
      <c r="DM183" s="195"/>
      <c r="DN183" s="195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196">
        <v>0</v>
      </c>
      <c r="F184" s="195">
        <v>0</v>
      </c>
      <c r="G184" s="196">
        <v>0</v>
      </c>
      <c r="H184" s="195">
        <v>0</v>
      </c>
      <c r="I184" s="196">
        <v>0</v>
      </c>
      <c r="J184" s="195">
        <v>0</v>
      </c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  <c r="DB184" s="195"/>
      <c r="DC184" s="195"/>
      <c r="DD184" s="195"/>
      <c r="DE184" s="195"/>
      <c r="DF184" s="195"/>
      <c r="DG184" s="195"/>
      <c r="DH184" s="195"/>
      <c r="DI184" s="195"/>
      <c r="DJ184" s="195"/>
      <c r="DK184" s="195"/>
      <c r="DL184" s="195"/>
      <c r="DM184" s="195"/>
      <c r="DN184" s="195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196">
        <v>-3714778</v>
      </c>
      <c r="F185" s="195">
        <v>-9550694.2379999999</v>
      </c>
      <c r="G185" s="196">
        <v>4071572</v>
      </c>
      <c r="H185" s="195">
        <v>10468011.612</v>
      </c>
      <c r="I185" s="196">
        <v>788214</v>
      </c>
      <c r="J185" s="195">
        <v>2026498.1939999999</v>
      </c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  <c r="DB185" s="195"/>
      <c r="DC185" s="195"/>
      <c r="DD185" s="195"/>
      <c r="DE185" s="195"/>
      <c r="DF185" s="195"/>
      <c r="DG185" s="195"/>
      <c r="DH185" s="195"/>
      <c r="DI185" s="195"/>
      <c r="DJ185" s="195"/>
      <c r="DK185" s="195"/>
      <c r="DL185" s="195"/>
      <c r="DM185" s="195"/>
      <c r="DN185" s="195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196">
        <v>-781724</v>
      </c>
      <c r="F186" s="195">
        <v>-2009812.4040000001</v>
      </c>
      <c r="G186" s="196">
        <v>-17121</v>
      </c>
      <c r="H186" s="195">
        <v>-44018.091</v>
      </c>
      <c r="I186" s="196">
        <v>-778</v>
      </c>
      <c r="J186" s="195">
        <v>-2000.2380000000001</v>
      </c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  <c r="DB186" s="195"/>
      <c r="DC186" s="195"/>
      <c r="DD186" s="195"/>
      <c r="DE186" s="195"/>
      <c r="DF186" s="195"/>
      <c r="DG186" s="195"/>
      <c r="DH186" s="195"/>
      <c r="DI186" s="195"/>
      <c r="DJ186" s="195"/>
      <c r="DK186" s="195"/>
      <c r="DL186" s="195"/>
      <c r="DM186" s="195"/>
      <c r="DN186" s="195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196">
        <v>-62756765</v>
      </c>
      <c r="F187" s="195">
        <v>-492818.96</v>
      </c>
      <c r="G187" s="196">
        <v>-1795800</v>
      </c>
      <c r="H187" s="195">
        <v>-4204.710000000021</v>
      </c>
      <c r="I187" s="196">
        <v>-4554927</v>
      </c>
      <c r="J187" s="195">
        <v>9878.02</v>
      </c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  <c r="DB187" s="195"/>
      <c r="DC187" s="195"/>
      <c r="DD187" s="195"/>
      <c r="DE187" s="195"/>
      <c r="DF187" s="195"/>
      <c r="DG187" s="195"/>
      <c r="DH187" s="195"/>
      <c r="DI187" s="195"/>
      <c r="DJ187" s="195"/>
      <c r="DK187" s="195"/>
      <c r="DL187" s="195"/>
      <c r="DM187" s="195"/>
      <c r="DN187" s="195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196">
        <v>0</v>
      </c>
      <c r="F188" s="195">
        <v>-2459980.02</v>
      </c>
      <c r="G188" s="196">
        <v>0</v>
      </c>
      <c r="H188" s="195">
        <v>-234464.16</v>
      </c>
      <c r="I188" s="196">
        <v>0</v>
      </c>
      <c r="J188" s="195">
        <v>546712.98</v>
      </c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  <c r="DB188" s="195"/>
      <c r="DC188" s="195"/>
      <c r="DD188" s="195"/>
      <c r="DE188" s="195"/>
      <c r="DF188" s="195"/>
      <c r="DG188" s="195"/>
      <c r="DH188" s="195"/>
      <c r="DI188" s="195"/>
      <c r="DJ188" s="195"/>
      <c r="DK188" s="195"/>
      <c r="DL188" s="195"/>
      <c r="DM188" s="195"/>
      <c r="DN188" s="195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196">
        <v>0</v>
      </c>
      <c r="F189" s="195">
        <v>0</v>
      </c>
      <c r="G189" s="196">
        <v>0</v>
      </c>
      <c r="H189" s="195">
        <v>0</v>
      </c>
      <c r="I189" s="196">
        <v>0</v>
      </c>
      <c r="J189" s="195">
        <v>0</v>
      </c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  <c r="DB189" s="195"/>
      <c r="DC189" s="195"/>
      <c r="DD189" s="195"/>
      <c r="DE189" s="195"/>
      <c r="DF189" s="195"/>
      <c r="DG189" s="195"/>
      <c r="DH189" s="195"/>
      <c r="DI189" s="195"/>
      <c r="DJ189" s="195"/>
      <c r="DK189" s="195"/>
      <c r="DL189" s="195"/>
      <c r="DM189" s="195"/>
      <c r="DN189" s="195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196">
        <v>0</v>
      </c>
      <c r="F190" s="195">
        <v>0</v>
      </c>
      <c r="G190" s="196">
        <v>0</v>
      </c>
      <c r="H190" s="195">
        <v>0</v>
      </c>
      <c r="I190" s="196">
        <v>0</v>
      </c>
      <c r="J190" s="195">
        <v>0</v>
      </c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/>
      <c r="DH190" s="195"/>
      <c r="DI190" s="195"/>
      <c r="DJ190" s="195"/>
      <c r="DK190" s="195"/>
      <c r="DL190" s="195"/>
      <c r="DM190" s="195"/>
      <c r="DN190" s="195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196">
        <v>0</v>
      </c>
      <c r="F191" s="195">
        <v>0</v>
      </c>
      <c r="G191" s="196">
        <v>0</v>
      </c>
      <c r="H191" s="195">
        <v>0</v>
      </c>
      <c r="I191" s="196">
        <v>0</v>
      </c>
      <c r="J191" s="195">
        <v>0</v>
      </c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/>
      <c r="DH191" s="195"/>
      <c r="DI191" s="195"/>
      <c r="DJ191" s="195"/>
      <c r="DK191" s="195"/>
      <c r="DL191" s="195"/>
      <c r="DM191" s="195"/>
      <c r="DN191" s="195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196">
        <v>0</v>
      </c>
      <c r="F192" s="195">
        <v>0</v>
      </c>
      <c r="G192" s="196">
        <v>0</v>
      </c>
      <c r="H192" s="195">
        <v>0</v>
      </c>
      <c r="I192" s="196">
        <v>0</v>
      </c>
      <c r="J192" s="195">
        <v>0</v>
      </c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/>
      <c r="DH192" s="195"/>
      <c r="DI192" s="195"/>
      <c r="DJ192" s="195"/>
      <c r="DK192" s="195"/>
      <c r="DL192" s="195"/>
      <c r="DM192" s="195"/>
      <c r="DN192" s="195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196">
        <v>0</v>
      </c>
      <c r="F193" s="195">
        <v>0</v>
      </c>
      <c r="G193" s="196">
        <v>0</v>
      </c>
      <c r="H193" s="195">
        <v>0</v>
      </c>
      <c r="I193" s="196">
        <v>0</v>
      </c>
      <c r="J193" s="195">
        <v>0</v>
      </c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/>
      <c r="DH193" s="195"/>
      <c r="DI193" s="195"/>
      <c r="DJ193" s="195"/>
      <c r="DK193" s="195"/>
      <c r="DL193" s="195"/>
      <c r="DM193" s="195"/>
      <c r="DN193" s="195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196">
        <v>0</v>
      </c>
      <c r="F194" s="195">
        <v>0</v>
      </c>
      <c r="G194" s="196">
        <v>0</v>
      </c>
      <c r="H194" s="195">
        <v>0</v>
      </c>
      <c r="I194" s="196">
        <v>0</v>
      </c>
      <c r="J194" s="195">
        <v>0</v>
      </c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  <c r="DB194" s="195"/>
      <c r="DC194" s="195"/>
      <c r="DD194" s="195"/>
      <c r="DE194" s="195"/>
      <c r="DF194" s="195"/>
      <c r="DG194" s="195"/>
      <c r="DH194" s="195"/>
      <c r="DI194" s="195"/>
      <c r="DJ194" s="195"/>
      <c r="DK194" s="195"/>
      <c r="DL194" s="195"/>
      <c r="DM194" s="195"/>
      <c r="DN194" s="195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196">
        <v>0</v>
      </c>
      <c r="F195" s="195">
        <v>0</v>
      </c>
      <c r="G195" s="196">
        <v>0</v>
      </c>
      <c r="H195" s="195">
        <v>0</v>
      </c>
      <c r="I195" s="196">
        <v>0</v>
      </c>
      <c r="J195" s="195">
        <v>0</v>
      </c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  <c r="DB195" s="195"/>
      <c r="DC195" s="195"/>
      <c r="DD195" s="195"/>
      <c r="DE195" s="195"/>
      <c r="DF195" s="195"/>
      <c r="DG195" s="195"/>
      <c r="DH195" s="195"/>
      <c r="DI195" s="195"/>
      <c r="DJ195" s="195"/>
      <c r="DK195" s="195"/>
      <c r="DL195" s="195"/>
      <c r="DM195" s="195"/>
      <c r="DN195" s="195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196">
        <v>0</v>
      </c>
      <c r="F196" s="195">
        <v>0</v>
      </c>
      <c r="G196" s="196">
        <v>0</v>
      </c>
      <c r="H196" s="195">
        <v>0</v>
      </c>
      <c r="I196" s="196">
        <v>0</v>
      </c>
      <c r="J196" s="195">
        <v>0</v>
      </c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  <c r="DB196" s="195"/>
      <c r="DC196" s="195"/>
      <c r="DD196" s="195"/>
      <c r="DE196" s="195"/>
      <c r="DF196" s="195"/>
      <c r="DG196" s="195"/>
      <c r="DH196" s="195"/>
      <c r="DI196" s="195"/>
      <c r="DJ196" s="195"/>
      <c r="DK196" s="195"/>
      <c r="DL196" s="195"/>
      <c r="DM196" s="195"/>
      <c r="DN196" s="195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196">
        <v>0</v>
      </c>
      <c r="F197" s="195">
        <v>0</v>
      </c>
      <c r="G197" s="196">
        <v>0</v>
      </c>
      <c r="H197" s="195">
        <v>0</v>
      </c>
      <c r="I197" s="196">
        <v>0</v>
      </c>
      <c r="J197" s="195">
        <v>0</v>
      </c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  <c r="DB197" s="195"/>
      <c r="DC197" s="195"/>
      <c r="DD197" s="195"/>
      <c r="DE197" s="195"/>
      <c r="DF197" s="195"/>
      <c r="DG197" s="195"/>
      <c r="DH197" s="195"/>
      <c r="DI197" s="195"/>
      <c r="DJ197" s="195"/>
      <c r="DK197" s="195"/>
      <c r="DL197" s="195"/>
      <c r="DM197" s="195"/>
      <c r="DN197" s="195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196">
        <v>0</v>
      </c>
      <c r="F198" s="195">
        <v>-14264.32</v>
      </c>
      <c r="G198" s="196">
        <v>0</v>
      </c>
      <c r="H198" s="195">
        <v>-2753.82</v>
      </c>
      <c r="I198" s="196">
        <v>0</v>
      </c>
      <c r="J198" s="195">
        <v>0</v>
      </c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  <c r="DB198" s="195"/>
      <c r="DC198" s="195"/>
      <c r="DD198" s="195"/>
      <c r="DE198" s="195"/>
      <c r="DF198" s="195"/>
      <c r="DG198" s="195"/>
      <c r="DH198" s="195"/>
      <c r="DI198" s="195"/>
      <c r="DJ198" s="195"/>
      <c r="DK198" s="195"/>
      <c r="DL198" s="195"/>
      <c r="DM198" s="195"/>
      <c r="DN198" s="195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196">
        <v>0</v>
      </c>
      <c r="F199" s="195">
        <v>0</v>
      </c>
      <c r="G199" s="196">
        <v>0</v>
      </c>
      <c r="H199" s="195">
        <v>0</v>
      </c>
      <c r="I199" s="196">
        <v>0</v>
      </c>
      <c r="J199" s="195">
        <v>0</v>
      </c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  <c r="DB199" s="195"/>
      <c r="DC199" s="195"/>
      <c r="DD199" s="195"/>
      <c r="DE199" s="195"/>
      <c r="DF199" s="195"/>
      <c r="DG199" s="195"/>
      <c r="DH199" s="195"/>
      <c r="DI199" s="195"/>
      <c r="DJ199" s="195"/>
      <c r="DK199" s="195"/>
      <c r="DL199" s="195"/>
      <c r="DM199" s="195"/>
      <c r="DN199" s="195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196">
        <v>0</v>
      </c>
      <c r="F200" s="195">
        <v>0</v>
      </c>
      <c r="G200" s="196">
        <v>0</v>
      </c>
      <c r="H200" s="195">
        <v>0</v>
      </c>
      <c r="I200" s="196">
        <v>0</v>
      </c>
      <c r="J200" s="195">
        <v>0</v>
      </c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  <c r="DB200" s="195"/>
      <c r="DC200" s="195"/>
      <c r="DD200" s="195"/>
      <c r="DE200" s="195"/>
      <c r="DF200" s="195"/>
      <c r="DG200" s="195"/>
      <c r="DH200" s="195"/>
      <c r="DI200" s="195"/>
      <c r="DJ200" s="195"/>
      <c r="DK200" s="195"/>
      <c r="DL200" s="195"/>
      <c r="DM200" s="195"/>
      <c r="DN200" s="195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196">
        <v>0</v>
      </c>
      <c r="F201" s="195">
        <v>0</v>
      </c>
      <c r="G201" s="196">
        <v>0</v>
      </c>
      <c r="H201" s="195">
        <v>0</v>
      </c>
      <c r="I201" s="196">
        <v>0</v>
      </c>
      <c r="J201" s="195">
        <v>0</v>
      </c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  <c r="DB201" s="195"/>
      <c r="DC201" s="195"/>
      <c r="DD201" s="195"/>
      <c r="DE201" s="195"/>
      <c r="DF201" s="195"/>
      <c r="DG201" s="195"/>
      <c r="DH201" s="195"/>
      <c r="DI201" s="195"/>
      <c r="DJ201" s="195"/>
      <c r="DK201" s="195"/>
      <c r="DL201" s="195"/>
      <c r="DM201" s="195"/>
      <c r="DN201" s="195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196">
        <v>0</v>
      </c>
      <c r="F202" s="195">
        <v>0</v>
      </c>
      <c r="G202" s="196">
        <v>0</v>
      </c>
      <c r="H202" s="195">
        <v>0</v>
      </c>
      <c r="I202" s="196">
        <v>0</v>
      </c>
      <c r="J202" s="195">
        <v>0</v>
      </c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  <c r="DB202" s="195"/>
      <c r="DC202" s="195"/>
      <c r="DD202" s="195"/>
      <c r="DE202" s="195"/>
      <c r="DF202" s="195"/>
      <c r="DG202" s="195"/>
      <c r="DH202" s="195"/>
      <c r="DI202" s="195"/>
      <c r="DJ202" s="195"/>
      <c r="DK202" s="195"/>
      <c r="DL202" s="195"/>
      <c r="DM202" s="195"/>
      <c r="DN202" s="195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196">
        <v>0</v>
      </c>
      <c r="F203" s="195">
        <v>0</v>
      </c>
      <c r="G203" s="196">
        <v>0</v>
      </c>
      <c r="H203" s="195">
        <v>0</v>
      </c>
      <c r="I203" s="196">
        <v>0</v>
      </c>
      <c r="J203" s="195">
        <v>0</v>
      </c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  <c r="DB203" s="195"/>
      <c r="DC203" s="195"/>
      <c r="DD203" s="195"/>
      <c r="DE203" s="195"/>
      <c r="DF203" s="195"/>
      <c r="DG203" s="195"/>
      <c r="DH203" s="195"/>
      <c r="DI203" s="195"/>
      <c r="DJ203" s="195"/>
      <c r="DK203" s="195"/>
      <c r="DL203" s="195"/>
      <c r="DM203" s="195"/>
      <c r="DN203" s="195"/>
    </row>
    <row r="204" spans="1:118" x14ac:dyDescent="0.25">
      <c r="A204" s="33" t="s">
        <v>140</v>
      </c>
      <c r="B204" s="33" t="s">
        <v>201</v>
      </c>
      <c r="C204" s="33">
        <v>1</v>
      </c>
      <c r="D204" s="33" t="s">
        <v>25</v>
      </c>
      <c r="E204" s="196">
        <v>4187211</v>
      </c>
      <c r="F204" s="195">
        <v>9739875.6999999993</v>
      </c>
      <c r="G204" s="196">
        <v>25128</v>
      </c>
      <c r="H204" s="195">
        <v>53086.22</v>
      </c>
      <c r="I204" s="196">
        <v>-768</v>
      </c>
      <c r="J204" s="195">
        <v>-1566.13</v>
      </c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</row>
    <row r="205" spans="1:118" x14ac:dyDescent="0.25">
      <c r="A205" s="33" t="s">
        <v>140</v>
      </c>
      <c r="B205" s="33" t="s">
        <v>201</v>
      </c>
      <c r="C205" s="33">
        <v>2</v>
      </c>
      <c r="D205" s="33" t="s">
        <v>26</v>
      </c>
      <c r="E205" s="196">
        <v>0</v>
      </c>
      <c r="F205" s="195">
        <v>0</v>
      </c>
      <c r="G205" s="196">
        <v>0</v>
      </c>
      <c r="H205" s="195">
        <v>0</v>
      </c>
      <c r="I205" s="196">
        <v>0</v>
      </c>
      <c r="J205" s="195">
        <v>0</v>
      </c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  <c r="DB205" s="195"/>
      <c r="DC205" s="195"/>
      <c r="DD205" s="195"/>
      <c r="DE205" s="195"/>
      <c r="DF205" s="195"/>
      <c r="DG205" s="195"/>
      <c r="DH205" s="195"/>
      <c r="DI205" s="195"/>
      <c r="DJ205" s="195"/>
      <c r="DK205" s="195"/>
      <c r="DL205" s="195"/>
      <c r="DM205" s="195"/>
      <c r="DN205" s="195"/>
    </row>
    <row r="206" spans="1:118" x14ac:dyDescent="0.25">
      <c r="A206" s="33" t="s">
        <v>140</v>
      </c>
      <c r="B206" s="33" t="s">
        <v>201</v>
      </c>
      <c r="C206" s="33">
        <v>3</v>
      </c>
      <c r="D206" s="33" t="s">
        <v>27</v>
      </c>
      <c r="E206" s="196">
        <v>4793099</v>
      </c>
      <c r="F206" s="195">
        <v>11586227</v>
      </c>
      <c r="G206" s="196">
        <v>-4447785</v>
      </c>
      <c r="H206" s="195">
        <v>-10710424</v>
      </c>
      <c r="I206" s="196">
        <v>0</v>
      </c>
      <c r="J206" s="195">
        <v>0</v>
      </c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</row>
    <row r="207" spans="1:118" x14ac:dyDescent="0.25">
      <c r="A207" s="33" t="s">
        <v>140</v>
      </c>
      <c r="B207" s="33" t="s">
        <v>201</v>
      </c>
      <c r="C207" s="33">
        <v>4</v>
      </c>
      <c r="D207" s="33" t="s">
        <v>28</v>
      </c>
      <c r="E207" s="196">
        <v>0</v>
      </c>
      <c r="F207" s="195">
        <v>0</v>
      </c>
      <c r="G207" s="196">
        <v>0</v>
      </c>
      <c r="H207" s="195">
        <v>0</v>
      </c>
      <c r="I207" s="196">
        <v>0</v>
      </c>
      <c r="J207" s="195">
        <v>0</v>
      </c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  <c r="DB207" s="195"/>
      <c r="DC207" s="195"/>
      <c r="DD207" s="195"/>
      <c r="DE207" s="195"/>
      <c r="DF207" s="195"/>
      <c r="DG207" s="195"/>
      <c r="DH207" s="195"/>
      <c r="DI207" s="195"/>
      <c r="DJ207" s="195"/>
      <c r="DK207" s="195"/>
      <c r="DL207" s="195"/>
      <c r="DM207" s="195"/>
      <c r="DN207" s="195"/>
    </row>
    <row r="208" spans="1:118" x14ac:dyDescent="0.25">
      <c r="A208" s="33" t="s">
        <v>140</v>
      </c>
      <c r="B208" s="33" t="s">
        <v>201</v>
      </c>
      <c r="C208" s="33">
        <v>5</v>
      </c>
      <c r="D208" s="33" t="s">
        <v>125</v>
      </c>
      <c r="E208" s="196">
        <v>0</v>
      </c>
      <c r="F208" s="195">
        <v>5736.78</v>
      </c>
      <c r="G208" s="196">
        <v>0</v>
      </c>
      <c r="H208" s="195">
        <v>0</v>
      </c>
      <c r="I208" s="196">
        <v>0</v>
      </c>
      <c r="J208" s="195">
        <v>0</v>
      </c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  <c r="DB208" s="195"/>
      <c r="DC208" s="195"/>
      <c r="DD208" s="195"/>
      <c r="DE208" s="195"/>
      <c r="DF208" s="195"/>
      <c r="DG208" s="195"/>
      <c r="DH208" s="195"/>
      <c r="DI208" s="195"/>
      <c r="DJ208" s="195"/>
      <c r="DK208" s="195"/>
      <c r="DL208" s="195"/>
      <c r="DM208" s="195"/>
      <c r="DN208" s="195"/>
    </row>
    <row r="209" spans="1:118" x14ac:dyDescent="0.25">
      <c r="A209" s="33" t="s">
        <v>140</v>
      </c>
      <c r="B209" s="33" t="s">
        <v>201</v>
      </c>
      <c r="C209" s="33">
        <v>6</v>
      </c>
      <c r="D209" s="33" t="s">
        <v>25</v>
      </c>
      <c r="E209" s="196">
        <v>-5371540</v>
      </c>
      <c r="F209" s="195">
        <v>-11958165.060000001</v>
      </c>
      <c r="G209" s="196">
        <v>72741</v>
      </c>
      <c r="H209" s="195">
        <v>73340.77</v>
      </c>
      <c r="I209" s="196">
        <v>456</v>
      </c>
      <c r="J209" s="195">
        <v>994.81</v>
      </c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  <c r="DB209" s="195"/>
      <c r="DC209" s="195"/>
      <c r="DD209" s="195"/>
      <c r="DE209" s="195"/>
      <c r="DF209" s="195"/>
      <c r="DG209" s="195"/>
      <c r="DH209" s="195"/>
      <c r="DI209" s="195"/>
      <c r="DJ209" s="195"/>
      <c r="DK209" s="195"/>
      <c r="DL209" s="195"/>
      <c r="DM209" s="195"/>
      <c r="DN209" s="195"/>
    </row>
    <row r="210" spans="1:118" x14ac:dyDescent="0.25">
      <c r="A210" s="33" t="s">
        <v>140</v>
      </c>
      <c r="B210" s="33" t="s">
        <v>201</v>
      </c>
      <c r="C210" s="33">
        <v>7</v>
      </c>
      <c r="D210" s="33" t="s">
        <v>26</v>
      </c>
      <c r="E210" s="196">
        <v>0</v>
      </c>
      <c r="F210" s="195">
        <v>0</v>
      </c>
      <c r="G210" s="196">
        <v>0</v>
      </c>
      <c r="H210" s="195">
        <v>0</v>
      </c>
      <c r="I210" s="196">
        <v>0</v>
      </c>
      <c r="J210" s="195">
        <v>0</v>
      </c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  <c r="DB210" s="195"/>
      <c r="DC210" s="195"/>
      <c r="DD210" s="195"/>
      <c r="DE210" s="195"/>
      <c r="DF210" s="195"/>
      <c r="DG210" s="195"/>
      <c r="DH210" s="195"/>
      <c r="DI210" s="195"/>
      <c r="DJ210" s="195"/>
      <c r="DK210" s="195"/>
      <c r="DL210" s="195"/>
      <c r="DM210" s="195"/>
      <c r="DN210" s="195"/>
    </row>
    <row r="211" spans="1:118" x14ac:dyDescent="0.25">
      <c r="A211" s="33" t="s">
        <v>140</v>
      </c>
      <c r="B211" s="33" t="s">
        <v>201</v>
      </c>
      <c r="C211" s="33">
        <v>8</v>
      </c>
      <c r="D211" s="33" t="s">
        <v>27</v>
      </c>
      <c r="E211" s="196">
        <v>-577187</v>
      </c>
      <c r="F211" s="195">
        <v>-1424756</v>
      </c>
      <c r="G211" s="196">
        <v>577100</v>
      </c>
      <c r="H211" s="195">
        <v>1424529</v>
      </c>
      <c r="I211" s="196">
        <v>0</v>
      </c>
      <c r="J211" s="195">
        <v>0</v>
      </c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  <c r="DB211" s="195"/>
      <c r="DC211" s="195"/>
      <c r="DD211" s="195"/>
      <c r="DE211" s="195"/>
      <c r="DF211" s="195"/>
      <c r="DG211" s="195"/>
      <c r="DH211" s="195"/>
      <c r="DI211" s="195"/>
      <c r="DJ211" s="195"/>
      <c r="DK211" s="195"/>
      <c r="DL211" s="195"/>
      <c r="DM211" s="195"/>
      <c r="DN211" s="195"/>
    </row>
    <row r="212" spans="1:118" x14ac:dyDescent="0.25">
      <c r="A212" s="33" t="s">
        <v>140</v>
      </c>
      <c r="B212" s="33" t="s">
        <v>201</v>
      </c>
      <c r="C212" s="33">
        <v>9</v>
      </c>
      <c r="D212" s="33" t="s">
        <v>28</v>
      </c>
      <c r="E212" s="196">
        <v>0</v>
      </c>
      <c r="F212" s="195">
        <v>0</v>
      </c>
      <c r="G212" s="196">
        <v>0</v>
      </c>
      <c r="H212" s="195">
        <v>0</v>
      </c>
      <c r="I212" s="196">
        <v>0</v>
      </c>
      <c r="J212" s="195">
        <v>0</v>
      </c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  <c r="DB212" s="195"/>
      <c r="DC212" s="195"/>
      <c r="DD212" s="195"/>
      <c r="DE212" s="195"/>
      <c r="DF212" s="195"/>
      <c r="DG212" s="195"/>
      <c r="DH212" s="195"/>
      <c r="DI212" s="195"/>
      <c r="DJ212" s="195"/>
      <c r="DK212" s="195"/>
      <c r="DL212" s="195"/>
      <c r="DM212" s="195"/>
      <c r="DN212" s="195"/>
    </row>
    <row r="213" spans="1:118" x14ac:dyDescent="0.25">
      <c r="A213" s="33" t="s">
        <v>140</v>
      </c>
      <c r="B213" s="33" t="s">
        <v>201</v>
      </c>
      <c r="C213" s="33">
        <v>10</v>
      </c>
      <c r="D213" s="33" t="s">
        <v>32</v>
      </c>
      <c r="E213" s="196">
        <v>3335</v>
      </c>
      <c r="F213" s="195">
        <v>7790.56</v>
      </c>
      <c r="G213" s="196">
        <v>0</v>
      </c>
      <c r="H213" s="195">
        <v>0</v>
      </c>
      <c r="I213" s="196">
        <v>0</v>
      </c>
      <c r="J213" s="195">
        <v>0</v>
      </c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  <c r="DB213" s="195"/>
      <c r="DC213" s="195"/>
      <c r="DD213" s="195"/>
      <c r="DE213" s="195"/>
      <c r="DF213" s="195"/>
      <c r="DG213" s="195"/>
      <c r="DH213" s="195"/>
      <c r="DI213" s="195"/>
      <c r="DJ213" s="195"/>
      <c r="DK213" s="195"/>
      <c r="DL213" s="195"/>
      <c r="DM213" s="195"/>
      <c r="DN213" s="195"/>
    </row>
    <row r="214" spans="1:118" x14ac:dyDescent="0.25">
      <c r="A214" s="33" t="s">
        <v>140</v>
      </c>
      <c r="B214" s="33" t="s">
        <v>201</v>
      </c>
      <c r="C214" s="33">
        <v>11</v>
      </c>
      <c r="D214" s="33" t="s">
        <v>35</v>
      </c>
      <c r="E214" s="196">
        <v>0</v>
      </c>
      <c r="F214" s="195">
        <v>0</v>
      </c>
      <c r="G214" s="196">
        <v>0</v>
      </c>
      <c r="H214" s="195">
        <v>0</v>
      </c>
      <c r="I214" s="196">
        <v>0</v>
      </c>
      <c r="J214" s="195">
        <v>0</v>
      </c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  <c r="DB214" s="195"/>
      <c r="DC214" s="195"/>
      <c r="DD214" s="195"/>
      <c r="DE214" s="195"/>
      <c r="DF214" s="195"/>
      <c r="DG214" s="195"/>
      <c r="DH214" s="195"/>
      <c r="DI214" s="195"/>
      <c r="DJ214" s="195"/>
      <c r="DK214" s="195"/>
      <c r="DL214" s="195"/>
      <c r="DM214" s="195"/>
      <c r="DN214" s="195"/>
    </row>
    <row r="215" spans="1:118" x14ac:dyDescent="0.25">
      <c r="A215" s="33" t="s">
        <v>140</v>
      </c>
      <c r="B215" s="33" t="s">
        <v>201</v>
      </c>
      <c r="C215" s="33">
        <v>12</v>
      </c>
      <c r="D215" s="33" t="s">
        <v>36</v>
      </c>
      <c r="E215" s="196">
        <v>0</v>
      </c>
      <c r="F215" s="195">
        <v>0</v>
      </c>
      <c r="G215" s="196">
        <v>0</v>
      </c>
      <c r="H215" s="195">
        <v>0</v>
      </c>
      <c r="I215" s="196">
        <v>0</v>
      </c>
      <c r="J215" s="195">
        <v>0</v>
      </c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  <c r="DB215" s="195"/>
      <c r="DC215" s="195"/>
      <c r="DD215" s="195"/>
      <c r="DE215" s="195"/>
      <c r="DF215" s="195"/>
      <c r="DG215" s="195"/>
      <c r="DH215" s="195"/>
      <c r="DI215" s="195"/>
      <c r="DJ215" s="195"/>
      <c r="DK215" s="195"/>
      <c r="DL215" s="195"/>
      <c r="DM215" s="195"/>
      <c r="DN215" s="195"/>
    </row>
    <row r="216" spans="1:118" x14ac:dyDescent="0.25">
      <c r="A216" s="33" t="s">
        <v>140</v>
      </c>
      <c r="B216" s="33" t="s">
        <v>201</v>
      </c>
      <c r="C216" s="33">
        <v>13</v>
      </c>
      <c r="D216" s="33" t="s">
        <v>39</v>
      </c>
      <c r="E216" s="196">
        <v>79961</v>
      </c>
      <c r="F216" s="195">
        <v>186788.89600000001</v>
      </c>
      <c r="G216" s="196">
        <v>-51185</v>
      </c>
      <c r="H216" s="195">
        <v>-119568.16</v>
      </c>
      <c r="I216" s="196">
        <v>-793</v>
      </c>
      <c r="J216" s="195">
        <v>-1852.4480000000001</v>
      </c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  <c r="DB216" s="195"/>
      <c r="DC216" s="195"/>
      <c r="DD216" s="195"/>
      <c r="DE216" s="195"/>
      <c r="DF216" s="195"/>
      <c r="DG216" s="195"/>
      <c r="DH216" s="195"/>
      <c r="DI216" s="195"/>
      <c r="DJ216" s="195"/>
      <c r="DK216" s="195"/>
      <c r="DL216" s="195"/>
      <c r="DM216" s="195"/>
      <c r="DN216" s="195"/>
    </row>
    <row r="217" spans="1:118" x14ac:dyDescent="0.25">
      <c r="A217" s="33" t="s">
        <v>140</v>
      </c>
      <c r="B217" s="33" t="s">
        <v>201</v>
      </c>
      <c r="C217" s="33">
        <v>14</v>
      </c>
      <c r="D217" s="33" t="s">
        <v>40</v>
      </c>
      <c r="E217" s="196">
        <v>0</v>
      </c>
      <c r="F217" s="195">
        <v>0</v>
      </c>
      <c r="G217" s="196">
        <v>0</v>
      </c>
      <c r="H217" s="195">
        <v>0</v>
      </c>
      <c r="I217" s="196">
        <v>0</v>
      </c>
      <c r="J217" s="195">
        <v>0</v>
      </c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  <c r="DB217" s="195"/>
      <c r="DC217" s="195"/>
      <c r="DD217" s="195"/>
      <c r="DE217" s="195"/>
      <c r="DF217" s="195"/>
      <c r="DG217" s="195"/>
      <c r="DH217" s="195"/>
      <c r="DI217" s="195"/>
      <c r="DJ217" s="195"/>
      <c r="DK217" s="195"/>
      <c r="DL217" s="195"/>
      <c r="DM217" s="195"/>
      <c r="DN217" s="195"/>
    </row>
    <row r="218" spans="1:118" x14ac:dyDescent="0.25">
      <c r="A218" s="33" t="s">
        <v>140</v>
      </c>
      <c r="B218" s="33" t="s">
        <v>201</v>
      </c>
      <c r="C218" s="33">
        <v>15</v>
      </c>
      <c r="D218" s="33" t="s">
        <v>41</v>
      </c>
      <c r="E218" s="196">
        <v>0</v>
      </c>
      <c r="F218" s="195">
        <v>0</v>
      </c>
      <c r="G218" s="196">
        <v>0</v>
      </c>
      <c r="H218" s="195">
        <v>0</v>
      </c>
      <c r="I218" s="196">
        <v>0</v>
      </c>
      <c r="J218" s="195">
        <v>0</v>
      </c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  <c r="DB218" s="195"/>
      <c r="DC218" s="195"/>
      <c r="DD218" s="195"/>
      <c r="DE218" s="195"/>
      <c r="DF218" s="195"/>
      <c r="DG218" s="195"/>
      <c r="DH218" s="195"/>
      <c r="DI218" s="195"/>
      <c r="DJ218" s="195"/>
      <c r="DK218" s="195"/>
      <c r="DL218" s="195"/>
      <c r="DM218" s="195"/>
      <c r="DN218" s="195"/>
    </row>
    <row r="219" spans="1:118" x14ac:dyDescent="0.25">
      <c r="A219" s="33" t="s">
        <v>140</v>
      </c>
      <c r="B219" s="33" t="s">
        <v>201</v>
      </c>
      <c r="C219" s="33">
        <v>16</v>
      </c>
      <c r="D219" s="33" t="s">
        <v>42</v>
      </c>
      <c r="E219" s="196">
        <v>0</v>
      </c>
      <c r="F219" s="195">
        <v>0</v>
      </c>
      <c r="G219" s="196">
        <v>0</v>
      </c>
      <c r="H219" s="195">
        <v>0</v>
      </c>
      <c r="I219" s="196">
        <v>0</v>
      </c>
      <c r="J219" s="195">
        <v>0</v>
      </c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  <c r="DB219" s="195"/>
      <c r="DC219" s="195"/>
      <c r="DD219" s="195"/>
      <c r="DE219" s="195"/>
      <c r="DF219" s="195"/>
      <c r="DG219" s="195"/>
      <c r="DH219" s="195"/>
      <c r="DI219" s="195"/>
      <c r="DJ219" s="195"/>
      <c r="DK219" s="195"/>
      <c r="DL219" s="195"/>
      <c r="DM219" s="195"/>
      <c r="DN219" s="195"/>
    </row>
    <row r="220" spans="1:118" x14ac:dyDescent="0.25">
      <c r="A220" s="33" t="s">
        <v>140</v>
      </c>
      <c r="B220" s="33" t="s">
        <v>201</v>
      </c>
      <c r="C220" s="33">
        <v>17</v>
      </c>
      <c r="D220" s="33" t="s">
        <v>126</v>
      </c>
      <c r="E220" s="196">
        <v>0</v>
      </c>
      <c r="F220" s="195">
        <v>0</v>
      </c>
      <c r="G220" s="196">
        <v>0</v>
      </c>
      <c r="H220" s="195">
        <v>0</v>
      </c>
      <c r="I220" s="196">
        <v>0</v>
      </c>
      <c r="J220" s="195">
        <v>0</v>
      </c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  <c r="DB220" s="195"/>
      <c r="DC220" s="195"/>
      <c r="DD220" s="195"/>
      <c r="DE220" s="195"/>
      <c r="DF220" s="195"/>
      <c r="DG220" s="195"/>
      <c r="DH220" s="195"/>
      <c r="DI220" s="195"/>
      <c r="DJ220" s="195"/>
      <c r="DK220" s="195"/>
      <c r="DL220" s="195"/>
      <c r="DM220" s="195"/>
      <c r="DN220" s="195"/>
    </row>
    <row r="221" spans="1:118" x14ac:dyDescent="0.25">
      <c r="A221" s="33" t="s">
        <v>140</v>
      </c>
      <c r="B221" s="33" t="s">
        <v>201</v>
      </c>
      <c r="C221" s="33">
        <v>18</v>
      </c>
      <c r="D221" s="33" t="s">
        <v>127</v>
      </c>
      <c r="E221" s="196">
        <v>0</v>
      </c>
      <c r="F221" s="195">
        <v>0</v>
      </c>
      <c r="G221" s="196">
        <v>0</v>
      </c>
      <c r="H221" s="195">
        <v>0</v>
      </c>
      <c r="I221" s="196">
        <v>0</v>
      </c>
      <c r="J221" s="195">
        <v>0</v>
      </c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</row>
    <row r="222" spans="1:118" x14ac:dyDescent="0.25">
      <c r="A222" s="33" t="s">
        <v>140</v>
      </c>
      <c r="B222" s="33" t="s">
        <v>201</v>
      </c>
      <c r="C222" s="33">
        <v>19</v>
      </c>
      <c r="D222" s="33" t="s">
        <v>47</v>
      </c>
      <c r="E222" s="196">
        <v>0</v>
      </c>
      <c r="F222" s="195">
        <v>0</v>
      </c>
      <c r="G222" s="196">
        <v>0</v>
      </c>
      <c r="H222" s="195">
        <v>0</v>
      </c>
      <c r="I222" s="196">
        <v>0</v>
      </c>
      <c r="J222" s="195">
        <v>0</v>
      </c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</row>
    <row r="223" spans="1:118" x14ac:dyDescent="0.25">
      <c r="A223" s="33" t="s">
        <v>140</v>
      </c>
      <c r="B223" s="33" t="s">
        <v>201</v>
      </c>
      <c r="C223" s="33">
        <v>20</v>
      </c>
      <c r="D223" s="33" t="s">
        <v>128</v>
      </c>
      <c r="E223" s="196">
        <v>0</v>
      </c>
      <c r="F223" s="195">
        <v>0</v>
      </c>
      <c r="G223" s="196">
        <v>0</v>
      </c>
      <c r="H223" s="195">
        <v>0</v>
      </c>
      <c r="I223" s="196">
        <v>0</v>
      </c>
      <c r="J223" s="195">
        <v>0</v>
      </c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  <c r="DB223" s="195"/>
      <c r="DC223" s="195"/>
      <c r="DD223" s="195"/>
      <c r="DE223" s="195"/>
      <c r="DF223" s="195"/>
      <c r="DG223" s="195"/>
      <c r="DH223" s="195"/>
      <c r="DI223" s="195"/>
      <c r="DJ223" s="195"/>
      <c r="DK223" s="195"/>
      <c r="DL223" s="195"/>
      <c r="DM223" s="195"/>
      <c r="DN223" s="195"/>
    </row>
    <row r="224" spans="1:118" x14ac:dyDescent="0.25">
      <c r="A224" s="33" t="s">
        <v>140</v>
      </c>
      <c r="B224" s="33" t="s">
        <v>201</v>
      </c>
      <c r="C224" s="33">
        <v>21</v>
      </c>
      <c r="D224" s="33" t="s">
        <v>129</v>
      </c>
      <c r="E224" s="196">
        <v>0</v>
      </c>
      <c r="F224" s="195">
        <v>0</v>
      </c>
      <c r="G224" s="196">
        <v>0</v>
      </c>
      <c r="H224" s="195">
        <v>0</v>
      </c>
      <c r="I224" s="196">
        <v>0</v>
      </c>
      <c r="J224" s="195">
        <v>0</v>
      </c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  <c r="DB224" s="195"/>
      <c r="DC224" s="195"/>
      <c r="DD224" s="195"/>
      <c r="DE224" s="195"/>
      <c r="DF224" s="195"/>
      <c r="DG224" s="195"/>
      <c r="DH224" s="195"/>
      <c r="DI224" s="195"/>
      <c r="DJ224" s="195"/>
      <c r="DK224" s="195"/>
      <c r="DL224" s="195"/>
      <c r="DM224" s="195"/>
      <c r="DN224" s="195"/>
    </row>
    <row r="225" spans="1:118" x14ac:dyDescent="0.25">
      <c r="A225" s="33" t="s">
        <v>140</v>
      </c>
      <c r="B225" s="33" t="s">
        <v>201</v>
      </c>
      <c r="C225" s="33">
        <v>22</v>
      </c>
      <c r="D225" s="33" t="s">
        <v>130</v>
      </c>
      <c r="E225" s="196">
        <v>-3114879</v>
      </c>
      <c r="F225" s="195">
        <v>-7276357.3439999996</v>
      </c>
      <c r="G225" s="196">
        <v>3824001</v>
      </c>
      <c r="H225" s="195">
        <v>8932866.3359999992</v>
      </c>
      <c r="I225" s="196">
        <v>1105</v>
      </c>
      <c r="J225" s="195">
        <v>2581.2800000000002</v>
      </c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  <c r="DB225" s="195"/>
      <c r="DC225" s="195"/>
      <c r="DD225" s="195"/>
      <c r="DE225" s="195"/>
      <c r="DF225" s="195"/>
      <c r="DG225" s="195"/>
      <c r="DH225" s="195"/>
      <c r="DI225" s="195"/>
      <c r="DJ225" s="195"/>
      <c r="DK225" s="195"/>
      <c r="DL225" s="195"/>
      <c r="DM225" s="195"/>
      <c r="DN225" s="195"/>
    </row>
    <row r="226" spans="1:118" x14ac:dyDescent="0.25">
      <c r="A226" s="33" t="s">
        <v>140</v>
      </c>
      <c r="B226" s="33" t="s">
        <v>201</v>
      </c>
      <c r="C226" s="33">
        <v>23</v>
      </c>
      <c r="D226" s="33" t="s">
        <v>131</v>
      </c>
      <c r="E226" s="196">
        <v>-3335</v>
      </c>
      <c r="F226" s="195">
        <v>-7790.56</v>
      </c>
      <c r="G226" s="196">
        <v>0</v>
      </c>
      <c r="H226" s="195">
        <v>0</v>
      </c>
      <c r="I226" s="196">
        <v>0</v>
      </c>
      <c r="J226" s="195">
        <v>0</v>
      </c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195"/>
      <c r="DM226" s="195"/>
      <c r="DN226" s="195"/>
    </row>
    <row r="227" spans="1:118" x14ac:dyDescent="0.25">
      <c r="A227" s="33" t="s">
        <v>140</v>
      </c>
      <c r="B227" s="33" t="s">
        <v>201</v>
      </c>
      <c r="C227" s="33">
        <v>24</v>
      </c>
      <c r="D227" s="33" t="s">
        <v>55</v>
      </c>
      <c r="E227" s="196">
        <v>-8259002</v>
      </c>
      <c r="F227" s="195">
        <v>-145412.39000000001</v>
      </c>
      <c r="G227" s="196">
        <v>45815</v>
      </c>
      <c r="H227" s="195">
        <v>-5934.69</v>
      </c>
      <c r="I227" s="196">
        <v>1540</v>
      </c>
      <c r="J227" s="195">
        <v>-45.25</v>
      </c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195"/>
      <c r="DM227" s="195"/>
      <c r="DN227" s="195"/>
    </row>
    <row r="228" spans="1:118" x14ac:dyDescent="0.25">
      <c r="A228" s="33" t="s">
        <v>140</v>
      </c>
      <c r="B228" s="33" t="s">
        <v>201</v>
      </c>
      <c r="C228" s="33">
        <v>25</v>
      </c>
      <c r="D228" s="33" t="s">
        <v>56</v>
      </c>
      <c r="E228" s="196">
        <v>0</v>
      </c>
      <c r="F228" s="195">
        <v>-689719.23</v>
      </c>
      <c r="G228" s="196">
        <v>0</v>
      </c>
      <c r="H228" s="195">
        <v>-11084.89</v>
      </c>
      <c r="I228" s="196">
        <v>0</v>
      </c>
      <c r="J228" s="195">
        <v>0</v>
      </c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  <c r="DB228" s="195"/>
      <c r="DC228" s="195"/>
      <c r="DD228" s="195"/>
      <c r="DE228" s="195"/>
      <c r="DF228" s="195"/>
      <c r="DG228" s="195"/>
      <c r="DH228" s="195"/>
      <c r="DI228" s="195"/>
      <c r="DJ228" s="195"/>
      <c r="DK228" s="195"/>
      <c r="DL228" s="195"/>
      <c r="DM228" s="195"/>
      <c r="DN228" s="195"/>
    </row>
    <row r="229" spans="1:118" x14ac:dyDescent="0.25">
      <c r="A229" s="33" t="s">
        <v>140</v>
      </c>
      <c r="B229" s="33" t="s">
        <v>201</v>
      </c>
      <c r="C229" s="33">
        <v>26</v>
      </c>
      <c r="D229" s="33" t="s">
        <v>132</v>
      </c>
      <c r="E229" s="196">
        <v>0</v>
      </c>
      <c r="F229" s="195">
        <v>0</v>
      </c>
      <c r="G229" s="196">
        <v>0</v>
      </c>
      <c r="H229" s="195">
        <v>0</v>
      </c>
      <c r="I229" s="196">
        <v>0</v>
      </c>
      <c r="J229" s="195">
        <v>0</v>
      </c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  <c r="DB229" s="195"/>
      <c r="DC229" s="195"/>
      <c r="DD229" s="195"/>
      <c r="DE229" s="195"/>
      <c r="DF229" s="195"/>
      <c r="DG229" s="195"/>
      <c r="DH229" s="195"/>
      <c r="DI229" s="195"/>
      <c r="DJ229" s="195"/>
      <c r="DK229" s="195"/>
      <c r="DL229" s="195"/>
      <c r="DM229" s="195"/>
      <c r="DN229" s="195"/>
    </row>
    <row r="230" spans="1:118" x14ac:dyDescent="0.25">
      <c r="A230" s="33" t="s">
        <v>140</v>
      </c>
      <c r="B230" s="33" t="s">
        <v>201</v>
      </c>
      <c r="C230" s="33">
        <v>27</v>
      </c>
      <c r="D230" s="33" t="s">
        <v>133</v>
      </c>
      <c r="E230" s="196">
        <v>0</v>
      </c>
      <c r="F230" s="195">
        <v>0</v>
      </c>
      <c r="G230" s="196">
        <v>0</v>
      </c>
      <c r="H230" s="195">
        <v>0</v>
      </c>
      <c r="I230" s="196">
        <v>0</v>
      </c>
      <c r="J230" s="195">
        <v>0</v>
      </c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  <c r="DB230" s="195"/>
      <c r="DC230" s="195"/>
      <c r="DD230" s="195"/>
      <c r="DE230" s="195"/>
      <c r="DF230" s="195"/>
      <c r="DG230" s="195"/>
      <c r="DH230" s="195"/>
      <c r="DI230" s="195"/>
      <c r="DJ230" s="195"/>
      <c r="DK230" s="195"/>
      <c r="DL230" s="195"/>
      <c r="DM230" s="195"/>
      <c r="DN230" s="195"/>
    </row>
    <row r="231" spans="1:118" x14ac:dyDescent="0.25">
      <c r="A231" s="33" t="s">
        <v>140</v>
      </c>
      <c r="B231" s="33" t="s">
        <v>201</v>
      </c>
      <c r="C231" s="33">
        <v>28</v>
      </c>
      <c r="D231" s="33" t="s">
        <v>134</v>
      </c>
      <c r="E231" s="196">
        <v>0</v>
      </c>
      <c r="F231" s="195">
        <v>0</v>
      </c>
      <c r="G231" s="196">
        <v>0</v>
      </c>
      <c r="H231" s="195">
        <v>0</v>
      </c>
      <c r="I231" s="196">
        <v>0</v>
      </c>
      <c r="J231" s="195">
        <v>0</v>
      </c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  <c r="DB231" s="195"/>
      <c r="DC231" s="195"/>
      <c r="DD231" s="195"/>
      <c r="DE231" s="195"/>
      <c r="DF231" s="195"/>
      <c r="DG231" s="195"/>
      <c r="DH231" s="195"/>
      <c r="DI231" s="195"/>
      <c r="DJ231" s="195"/>
      <c r="DK231" s="195"/>
      <c r="DL231" s="195"/>
      <c r="DM231" s="195"/>
      <c r="DN231" s="195"/>
    </row>
    <row r="232" spans="1:118" x14ac:dyDescent="0.25">
      <c r="A232" s="33" t="s">
        <v>140</v>
      </c>
      <c r="B232" s="33" t="s">
        <v>201</v>
      </c>
      <c r="C232" s="33">
        <v>29</v>
      </c>
      <c r="D232" s="33" t="s">
        <v>135</v>
      </c>
      <c r="E232" s="196">
        <v>0</v>
      </c>
      <c r="F232" s="195">
        <v>0</v>
      </c>
      <c r="G232" s="196">
        <v>0</v>
      </c>
      <c r="H232" s="195">
        <v>0</v>
      </c>
      <c r="I232" s="196">
        <v>0</v>
      </c>
      <c r="J232" s="195">
        <v>0</v>
      </c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  <c r="DB232" s="195"/>
      <c r="DC232" s="195"/>
      <c r="DD232" s="195"/>
      <c r="DE232" s="195"/>
      <c r="DF232" s="195"/>
      <c r="DG232" s="195"/>
      <c r="DH232" s="195"/>
      <c r="DI232" s="195"/>
      <c r="DJ232" s="195"/>
      <c r="DK232" s="195"/>
      <c r="DL232" s="195"/>
      <c r="DM232" s="195"/>
      <c r="DN232" s="195"/>
    </row>
    <row r="233" spans="1:118" x14ac:dyDescent="0.25">
      <c r="A233" s="33" t="s">
        <v>140</v>
      </c>
      <c r="B233" s="33" t="s">
        <v>201</v>
      </c>
      <c r="C233" s="33">
        <v>30</v>
      </c>
      <c r="D233" s="33" t="s">
        <v>136</v>
      </c>
      <c r="E233" s="196">
        <v>0</v>
      </c>
      <c r="F233" s="195">
        <v>0</v>
      </c>
      <c r="G233" s="196">
        <v>0</v>
      </c>
      <c r="H233" s="195">
        <v>0</v>
      </c>
      <c r="I233" s="196">
        <v>0</v>
      </c>
      <c r="J233" s="195">
        <v>0</v>
      </c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  <c r="DB233" s="195"/>
      <c r="DC233" s="195"/>
      <c r="DD233" s="195"/>
      <c r="DE233" s="195"/>
      <c r="DF233" s="195"/>
      <c r="DG233" s="195"/>
      <c r="DH233" s="195"/>
      <c r="DI233" s="195"/>
      <c r="DJ233" s="195"/>
      <c r="DK233" s="195"/>
      <c r="DL233" s="195"/>
      <c r="DM233" s="195"/>
      <c r="DN233" s="195"/>
    </row>
    <row r="234" spans="1:118" x14ac:dyDescent="0.25">
      <c r="A234" s="33" t="s">
        <v>140</v>
      </c>
      <c r="B234" s="33" t="s">
        <v>201</v>
      </c>
      <c r="C234" s="33">
        <v>31</v>
      </c>
      <c r="D234" s="33" t="s">
        <v>137</v>
      </c>
      <c r="E234" s="196">
        <v>0</v>
      </c>
      <c r="F234" s="195">
        <v>0</v>
      </c>
      <c r="G234" s="196">
        <v>0</v>
      </c>
      <c r="H234" s="195">
        <v>0</v>
      </c>
      <c r="I234" s="196">
        <v>0</v>
      </c>
      <c r="J234" s="195">
        <v>0</v>
      </c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  <c r="DB234" s="195"/>
      <c r="DC234" s="195"/>
      <c r="DD234" s="195"/>
      <c r="DE234" s="195"/>
      <c r="DF234" s="195"/>
      <c r="DG234" s="195"/>
      <c r="DH234" s="195"/>
      <c r="DI234" s="195"/>
      <c r="DJ234" s="195"/>
      <c r="DK234" s="195"/>
      <c r="DL234" s="195"/>
      <c r="DM234" s="195"/>
      <c r="DN234" s="195"/>
    </row>
    <row r="235" spans="1:118" x14ac:dyDescent="0.25">
      <c r="A235" s="33" t="s">
        <v>140</v>
      </c>
      <c r="B235" s="33" t="s">
        <v>201</v>
      </c>
      <c r="C235" s="33">
        <v>32</v>
      </c>
      <c r="D235" s="33" t="s">
        <v>70</v>
      </c>
      <c r="E235" s="196">
        <v>0</v>
      </c>
      <c r="F235" s="195">
        <v>0</v>
      </c>
      <c r="G235" s="196">
        <v>0</v>
      </c>
      <c r="H235" s="195">
        <v>0</v>
      </c>
      <c r="I235" s="196">
        <v>0</v>
      </c>
      <c r="J235" s="195">
        <v>0</v>
      </c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  <c r="DB235" s="195"/>
      <c r="DC235" s="195"/>
      <c r="DD235" s="195"/>
      <c r="DE235" s="195"/>
      <c r="DF235" s="195"/>
      <c r="DG235" s="195"/>
      <c r="DH235" s="195"/>
      <c r="DI235" s="195"/>
      <c r="DJ235" s="195"/>
      <c r="DK235" s="195"/>
      <c r="DL235" s="195"/>
      <c r="DM235" s="195"/>
      <c r="DN235" s="195"/>
    </row>
    <row r="236" spans="1:118" x14ac:dyDescent="0.25">
      <c r="A236" s="33" t="s">
        <v>140</v>
      </c>
      <c r="B236" s="33" t="s">
        <v>201</v>
      </c>
      <c r="C236" s="33">
        <v>33</v>
      </c>
      <c r="D236" s="33" t="s">
        <v>71</v>
      </c>
      <c r="E236" s="196">
        <v>0</v>
      </c>
      <c r="F236" s="195">
        <v>0</v>
      </c>
      <c r="G236" s="196">
        <v>0</v>
      </c>
      <c r="H236" s="195">
        <v>0</v>
      </c>
      <c r="I236" s="196">
        <v>0</v>
      </c>
      <c r="J236" s="195">
        <v>0</v>
      </c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  <c r="DB236" s="195"/>
      <c r="DC236" s="195"/>
      <c r="DD236" s="195"/>
      <c r="DE236" s="195"/>
      <c r="DF236" s="195"/>
      <c r="DG236" s="195"/>
      <c r="DH236" s="195"/>
      <c r="DI236" s="195"/>
      <c r="DJ236" s="195"/>
      <c r="DK236" s="195"/>
      <c r="DL236" s="195"/>
      <c r="DM236" s="195"/>
      <c r="DN236" s="195"/>
    </row>
    <row r="237" spans="1:118" x14ac:dyDescent="0.25">
      <c r="A237" s="33" t="s">
        <v>140</v>
      </c>
      <c r="B237" s="33" t="s">
        <v>201</v>
      </c>
      <c r="C237" s="33">
        <v>34</v>
      </c>
      <c r="D237" s="33" t="s">
        <v>72</v>
      </c>
      <c r="E237" s="196">
        <v>0</v>
      </c>
      <c r="F237" s="195">
        <v>0</v>
      </c>
      <c r="G237" s="196">
        <v>0</v>
      </c>
      <c r="H237" s="195">
        <v>0</v>
      </c>
      <c r="I237" s="196">
        <v>0</v>
      </c>
      <c r="J237" s="195">
        <v>0</v>
      </c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  <c r="DB237" s="195"/>
      <c r="DC237" s="195"/>
      <c r="DD237" s="195"/>
      <c r="DE237" s="195"/>
      <c r="DF237" s="195"/>
      <c r="DG237" s="195"/>
      <c r="DH237" s="195"/>
      <c r="DI237" s="195"/>
      <c r="DJ237" s="195"/>
      <c r="DK237" s="195"/>
      <c r="DL237" s="195"/>
      <c r="DM237" s="195"/>
      <c r="DN237" s="195"/>
    </row>
    <row r="238" spans="1:118" x14ac:dyDescent="0.25">
      <c r="A238" s="33" t="s">
        <v>140</v>
      </c>
      <c r="B238" s="33" t="s">
        <v>201</v>
      </c>
      <c r="C238" s="33">
        <v>35</v>
      </c>
      <c r="D238" s="33" t="s">
        <v>73</v>
      </c>
      <c r="E238" s="196">
        <v>0</v>
      </c>
      <c r="F238" s="195">
        <v>0</v>
      </c>
      <c r="G238" s="196">
        <v>0</v>
      </c>
      <c r="H238" s="195">
        <v>0</v>
      </c>
      <c r="I238" s="196">
        <v>0</v>
      </c>
      <c r="J238" s="195">
        <v>0</v>
      </c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  <c r="DB238" s="195"/>
      <c r="DC238" s="195"/>
      <c r="DD238" s="195"/>
      <c r="DE238" s="195"/>
      <c r="DF238" s="195"/>
      <c r="DG238" s="195"/>
      <c r="DH238" s="195"/>
      <c r="DI238" s="195"/>
      <c r="DJ238" s="195"/>
      <c r="DK238" s="195"/>
      <c r="DL238" s="195"/>
      <c r="DM238" s="195"/>
      <c r="DN238" s="195"/>
    </row>
    <row r="239" spans="1:118" x14ac:dyDescent="0.25">
      <c r="A239" s="33" t="s">
        <v>140</v>
      </c>
      <c r="B239" s="33" t="s">
        <v>201</v>
      </c>
      <c r="C239" s="33">
        <v>36</v>
      </c>
      <c r="D239" s="33" t="s">
        <v>74</v>
      </c>
      <c r="E239" s="196">
        <v>0</v>
      </c>
      <c r="F239" s="195">
        <v>0</v>
      </c>
      <c r="G239" s="196">
        <v>0</v>
      </c>
      <c r="H239" s="195">
        <v>0</v>
      </c>
      <c r="I239" s="196">
        <v>0</v>
      </c>
      <c r="J239" s="195">
        <v>0</v>
      </c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  <c r="DB239" s="195"/>
      <c r="DC239" s="195"/>
      <c r="DD239" s="195"/>
      <c r="DE239" s="195"/>
      <c r="DF239" s="195"/>
      <c r="DG239" s="195"/>
      <c r="DH239" s="195"/>
      <c r="DI239" s="195"/>
      <c r="DJ239" s="195"/>
      <c r="DK239" s="195"/>
      <c r="DL239" s="195"/>
      <c r="DM239" s="195"/>
      <c r="DN239" s="195"/>
    </row>
    <row r="240" spans="1:118" x14ac:dyDescent="0.25">
      <c r="A240" s="33" t="s">
        <v>140</v>
      </c>
      <c r="B240" s="33" t="s">
        <v>201</v>
      </c>
      <c r="C240" s="33">
        <v>37</v>
      </c>
      <c r="D240" s="33" t="s">
        <v>75</v>
      </c>
      <c r="E240" s="196">
        <v>0</v>
      </c>
      <c r="F240" s="195">
        <v>0</v>
      </c>
      <c r="G240" s="196">
        <v>0</v>
      </c>
      <c r="H240" s="195">
        <v>0</v>
      </c>
      <c r="I240" s="196">
        <v>0</v>
      </c>
      <c r="J240" s="195">
        <v>0</v>
      </c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  <c r="DB240" s="195"/>
      <c r="DC240" s="195"/>
      <c r="DD240" s="195"/>
      <c r="DE240" s="195"/>
      <c r="DF240" s="195"/>
      <c r="DG240" s="195"/>
      <c r="DH240" s="195"/>
      <c r="DI240" s="195"/>
      <c r="DJ240" s="195"/>
      <c r="DK240" s="195"/>
      <c r="DL240" s="195"/>
      <c r="DM240" s="195"/>
      <c r="DN240" s="195"/>
    </row>
    <row r="241" spans="1:118" x14ac:dyDescent="0.25">
      <c r="A241" s="33" t="s">
        <v>140</v>
      </c>
      <c r="B241" s="33" t="s">
        <v>201</v>
      </c>
      <c r="C241" s="33">
        <v>38</v>
      </c>
      <c r="D241" s="33" t="s">
        <v>76</v>
      </c>
      <c r="E241" s="196">
        <v>0</v>
      </c>
      <c r="F241" s="195">
        <v>0</v>
      </c>
      <c r="G241" s="196">
        <v>0</v>
      </c>
      <c r="H241" s="195">
        <v>0</v>
      </c>
      <c r="I241" s="196">
        <v>0</v>
      </c>
      <c r="J241" s="195">
        <v>0</v>
      </c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  <c r="DB241" s="195"/>
      <c r="DC241" s="195"/>
      <c r="DD241" s="195"/>
      <c r="DE241" s="195"/>
      <c r="DF241" s="195"/>
      <c r="DG241" s="195"/>
      <c r="DH241" s="195"/>
      <c r="DI241" s="195"/>
      <c r="DJ241" s="195"/>
      <c r="DK241" s="195"/>
      <c r="DL241" s="195"/>
      <c r="DM241" s="195"/>
      <c r="DN241" s="195"/>
    </row>
    <row r="242" spans="1:118" x14ac:dyDescent="0.25">
      <c r="A242" s="33" t="s">
        <v>140</v>
      </c>
      <c r="B242" s="33" t="s">
        <v>201</v>
      </c>
      <c r="C242" s="33">
        <v>39</v>
      </c>
      <c r="D242" s="33" t="s">
        <v>77</v>
      </c>
      <c r="E242" s="196">
        <v>0</v>
      </c>
      <c r="F242" s="195">
        <v>0</v>
      </c>
      <c r="G242" s="196">
        <v>0</v>
      </c>
      <c r="H242" s="195">
        <v>0</v>
      </c>
      <c r="I242" s="196">
        <v>0</v>
      </c>
      <c r="J242" s="195">
        <v>0</v>
      </c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  <c r="DB242" s="195"/>
      <c r="DC242" s="195"/>
      <c r="DD242" s="195"/>
      <c r="DE242" s="195"/>
      <c r="DF242" s="195"/>
      <c r="DG242" s="195"/>
      <c r="DH242" s="195"/>
      <c r="DI242" s="195"/>
      <c r="DJ242" s="195"/>
      <c r="DK242" s="195"/>
      <c r="DL242" s="195"/>
      <c r="DM242" s="195"/>
      <c r="DN242" s="195"/>
    </row>
    <row r="243" spans="1:118" x14ac:dyDescent="0.25">
      <c r="A243" s="33" t="s">
        <v>140</v>
      </c>
      <c r="B243" s="33" t="s">
        <v>201</v>
      </c>
      <c r="C243" s="33">
        <v>40</v>
      </c>
      <c r="D243" s="33" t="s">
        <v>78</v>
      </c>
      <c r="E243" s="196">
        <v>0</v>
      </c>
      <c r="F243" s="195">
        <v>0</v>
      </c>
      <c r="G243" s="196">
        <v>0</v>
      </c>
      <c r="H243" s="195">
        <v>0</v>
      </c>
      <c r="I243" s="196">
        <v>0</v>
      </c>
      <c r="J243" s="195">
        <v>0</v>
      </c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  <c r="DB243" s="195"/>
      <c r="DC243" s="195"/>
      <c r="DD243" s="195"/>
      <c r="DE243" s="195"/>
      <c r="DF243" s="195"/>
      <c r="DG243" s="195"/>
      <c r="DH243" s="195"/>
      <c r="DI243" s="195"/>
      <c r="DJ243" s="195"/>
      <c r="DK243" s="195"/>
      <c r="DL243" s="195"/>
      <c r="DM243" s="195"/>
      <c r="DN243" s="195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196">
        <v>171151302</v>
      </c>
      <c r="F244" s="195">
        <v>482607886.06</v>
      </c>
      <c r="G244" s="196">
        <v>2025743</v>
      </c>
      <c r="H244" s="195">
        <v>9221108.6399999987</v>
      </c>
      <c r="I244" s="196">
        <v>-849358</v>
      </c>
      <c r="J244" s="195">
        <v>-2250786.79</v>
      </c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196">
        <v>0</v>
      </c>
      <c r="F245" s="195">
        <v>0</v>
      </c>
      <c r="G245" s="196">
        <v>0</v>
      </c>
      <c r="H245" s="195">
        <v>0</v>
      </c>
      <c r="I245" s="196">
        <v>0</v>
      </c>
      <c r="J245" s="195">
        <v>0</v>
      </c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196">
        <v>64481443</v>
      </c>
      <c r="F246" s="195">
        <v>177798212</v>
      </c>
      <c r="G246" s="196">
        <v>-54500583</v>
      </c>
      <c r="H246" s="195">
        <v>-150953850</v>
      </c>
      <c r="I246" s="196">
        <v>0</v>
      </c>
      <c r="J246" s="195">
        <v>0</v>
      </c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  <c r="DB246" s="195"/>
      <c r="DC246" s="195"/>
      <c r="DD246" s="195"/>
      <c r="DE246" s="195"/>
      <c r="DF246" s="195"/>
      <c r="DG246" s="195"/>
      <c r="DH246" s="195"/>
      <c r="DI246" s="195"/>
      <c r="DJ246" s="195"/>
      <c r="DK246" s="195"/>
      <c r="DL246" s="195"/>
      <c r="DM246" s="195"/>
      <c r="DN246" s="195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196">
        <v>0</v>
      </c>
      <c r="F247" s="195">
        <v>0</v>
      </c>
      <c r="G247" s="196">
        <v>0</v>
      </c>
      <c r="H247" s="195">
        <v>0</v>
      </c>
      <c r="I247" s="196">
        <v>0</v>
      </c>
      <c r="J247" s="195">
        <v>0</v>
      </c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  <c r="DB247" s="195"/>
      <c r="DC247" s="195"/>
      <c r="DD247" s="195"/>
      <c r="DE247" s="195"/>
      <c r="DF247" s="195"/>
      <c r="DG247" s="195"/>
      <c r="DH247" s="195"/>
      <c r="DI247" s="195"/>
      <c r="DJ247" s="195"/>
      <c r="DK247" s="195"/>
      <c r="DL247" s="195"/>
      <c r="DM247" s="195"/>
      <c r="DN247" s="195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196">
        <v>0</v>
      </c>
      <c r="F248" s="195">
        <v>14443302.710000001</v>
      </c>
      <c r="G248" s="196">
        <v>0</v>
      </c>
      <c r="H248" s="195">
        <v>2477339.96</v>
      </c>
      <c r="I248" s="196">
        <v>0</v>
      </c>
      <c r="J248" s="195">
        <v>262619.7</v>
      </c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  <c r="DB248" s="195"/>
      <c r="DC248" s="195"/>
      <c r="DD248" s="195"/>
      <c r="DE248" s="195"/>
      <c r="DF248" s="195"/>
      <c r="DG248" s="195"/>
      <c r="DH248" s="195"/>
      <c r="DI248" s="195"/>
      <c r="DJ248" s="195"/>
      <c r="DK248" s="195"/>
      <c r="DL248" s="195"/>
      <c r="DM248" s="195"/>
      <c r="DN248" s="195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196">
        <v>-168012942</v>
      </c>
      <c r="F249" s="195">
        <v>-459109591.80000001</v>
      </c>
      <c r="G249" s="196">
        <v>-1492242</v>
      </c>
      <c r="H249" s="195">
        <v>-3142821.25</v>
      </c>
      <c r="I249" s="196">
        <v>-1626183</v>
      </c>
      <c r="J249" s="195">
        <v>-4928948.6100000003</v>
      </c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  <c r="DB249" s="195"/>
      <c r="DC249" s="195"/>
      <c r="DD249" s="195"/>
      <c r="DE249" s="195"/>
      <c r="DF249" s="195"/>
      <c r="DG249" s="195"/>
      <c r="DH249" s="195"/>
      <c r="DI249" s="195"/>
      <c r="DJ249" s="195"/>
      <c r="DK249" s="195"/>
      <c r="DL249" s="195"/>
      <c r="DM249" s="195"/>
      <c r="DN249" s="195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196">
        <v>0</v>
      </c>
      <c r="F250" s="195">
        <v>0</v>
      </c>
      <c r="G250" s="196">
        <v>0</v>
      </c>
      <c r="H250" s="195">
        <v>0</v>
      </c>
      <c r="I250" s="196">
        <v>0</v>
      </c>
      <c r="J250" s="195">
        <v>0</v>
      </c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  <c r="DB250" s="195"/>
      <c r="DC250" s="195"/>
      <c r="DD250" s="195"/>
      <c r="DE250" s="195"/>
      <c r="DF250" s="195"/>
      <c r="DG250" s="195"/>
      <c r="DH250" s="195"/>
      <c r="DI250" s="195"/>
      <c r="DJ250" s="195"/>
      <c r="DK250" s="195"/>
      <c r="DL250" s="195"/>
      <c r="DM250" s="195"/>
      <c r="DN250" s="195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196">
        <v>-68315842</v>
      </c>
      <c r="F251" s="195">
        <v>-193470936</v>
      </c>
      <c r="G251" s="196">
        <v>54327326</v>
      </c>
      <c r="H251" s="195">
        <v>150009944</v>
      </c>
      <c r="I251" s="196">
        <v>-10444</v>
      </c>
      <c r="J251" s="195">
        <v>-30750</v>
      </c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  <c r="DB251" s="195"/>
      <c r="DC251" s="195"/>
      <c r="DD251" s="195"/>
      <c r="DE251" s="195"/>
      <c r="DF251" s="195"/>
      <c r="DG251" s="195"/>
      <c r="DH251" s="195"/>
      <c r="DI251" s="195"/>
      <c r="DJ251" s="195"/>
      <c r="DK251" s="195"/>
      <c r="DL251" s="195"/>
      <c r="DM251" s="195"/>
      <c r="DN251" s="195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196">
        <v>0</v>
      </c>
      <c r="F252" s="195">
        <v>0</v>
      </c>
      <c r="G252" s="196">
        <v>0</v>
      </c>
      <c r="H252" s="195">
        <v>0</v>
      </c>
      <c r="I252" s="196">
        <v>0</v>
      </c>
      <c r="J252" s="195">
        <v>0</v>
      </c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  <c r="DB252" s="195"/>
      <c r="DC252" s="195"/>
      <c r="DD252" s="195"/>
      <c r="DE252" s="195"/>
      <c r="DF252" s="195"/>
      <c r="DG252" s="195"/>
      <c r="DH252" s="195"/>
      <c r="DI252" s="195"/>
      <c r="DJ252" s="195"/>
      <c r="DK252" s="195"/>
      <c r="DL252" s="195"/>
      <c r="DM252" s="195"/>
      <c r="DN252" s="195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196">
        <v>1524167</v>
      </c>
      <c r="F253" s="195">
        <v>4092388.395</v>
      </c>
      <c r="G253" s="196">
        <v>40543</v>
      </c>
      <c r="H253" s="195">
        <v>108857.955</v>
      </c>
      <c r="I253" s="196">
        <v>-217750</v>
      </c>
      <c r="J253" s="195">
        <v>-584658.75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  <c r="DB253" s="195"/>
      <c r="DC253" s="195"/>
      <c r="DD253" s="195"/>
      <c r="DE253" s="195"/>
      <c r="DF253" s="195"/>
      <c r="DG253" s="195"/>
      <c r="DH253" s="195"/>
      <c r="DI253" s="195"/>
      <c r="DJ253" s="195"/>
      <c r="DK253" s="195"/>
      <c r="DL253" s="195"/>
      <c r="DM253" s="195"/>
      <c r="DN253" s="195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196">
        <v>12974502</v>
      </c>
      <c r="F254" s="195">
        <v>34493229.910000004</v>
      </c>
      <c r="G254" s="196">
        <v>-9305</v>
      </c>
      <c r="H254" s="195">
        <v>49892.08</v>
      </c>
      <c r="I254" s="196">
        <v>0</v>
      </c>
      <c r="J254" s="195">
        <v>0</v>
      </c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  <c r="DB254" s="195"/>
      <c r="DC254" s="195"/>
      <c r="DD254" s="195"/>
      <c r="DE254" s="195"/>
      <c r="DF254" s="195"/>
      <c r="DG254" s="195"/>
      <c r="DH254" s="195"/>
      <c r="DI254" s="195"/>
      <c r="DJ254" s="195"/>
      <c r="DK254" s="195"/>
      <c r="DL254" s="195"/>
      <c r="DM254" s="195"/>
      <c r="DN254" s="195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196">
        <v>-8160382</v>
      </c>
      <c r="F255" s="195">
        <v>-21404689.59</v>
      </c>
      <c r="G255" s="196">
        <v>-138133</v>
      </c>
      <c r="H255" s="195">
        <v>-409852.45</v>
      </c>
      <c r="I255" s="196">
        <v>-109467</v>
      </c>
      <c r="J255" s="195">
        <v>-283645.67</v>
      </c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  <c r="DB255" s="195"/>
      <c r="DC255" s="195"/>
      <c r="DD255" s="195"/>
      <c r="DE255" s="195"/>
      <c r="DF255" s="195"/>
      <c r="DG255" s="195"/>
      <c r="DH255" s="195"/>
      <c r="DI255" s="195"/>
      <c r="DJ255" s="195"/>
      <c r="DK255" s="195"/>
      <c r="DL255" s="195"/>
      <c r="DM255" s="195"/>
      <c r="DN255" s="195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196">
        <v>-433797</v>
      </c>
      <c r="F256" s="195">
        <v>-1164744.9450000001</v>
      </c>
      <c r="G256" s="196">
        <v>-4354516</v>
      </c>
      <c r="H256" s="195">
        <v>-11691875.460000001</v>
      </c>
      <c r="I256" s="196">
        <v>2833025</v>
      </c>
      <c r="J256" s="195">
        <v>7606672.125</v>
      </c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  <c r="DB256" s="195"/>
      <c r="DC256" s="195"/>
      <c r="DD256" s="195"/>
      <c r="DE256" s="195"/>
      <c r="DF256" s="195"/>
      <c r="DG256" s="195"/>
      <c r="DH256" s="195"/>
      <c r="DI256" s="195"/>
      <c r="DJ256" s="195"/>
      <c r="DK256" s="195"/>
      <c r="DL256" s="195"/>
      <c r="DM256" s="195"/>
      <c r="DN256" s="195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196">
        <v>0</v>
      </c>
      <c r="F257" s="195">
        <v>0</v>
      </c>
      <c r="G257" s="196">
        <v>-2910886</v>
      </c>
      <c r="H257" s="195">
        <v>-313505.69</v>
      </c>
      <c r="I257" s="196">
        <v>-13756</v>
      </c>
      <c r="J257" s="195">
        <v>-37985.39</v>
      </c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  <c r="DB257" s="195"/>
      <c r="DC257" s="195"/>
      <c r="DD257" s="195"/>
      <c r="DE257" s="195"/>
      <c r="DF257" s="195"/>
      <c r="DG257" s="195"/>
      <c r="DH257" s="195"/>
      <c r="DI257" s="195"/>
      <c r="DJ257" s="195"/>
      <c r="DK257" s="195"/>
      <c r="DL257" s="195"/>
      <c r="DM257" s="195"/>
      <c r="DN257" s="195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196">
        <v>0</v>
      </c>
      <c r="F258" s="195">
        <v>0</v>
      </c>
      <c r="G258" s="196">
        <v>2884014</v>
      </c>
      <c r="H258" s="195">
        <v>266559.56</v>
      </c>
      <c r="I258" s="196">
        <v>376390</v>
      </c>
      <c r="J258" s="195">
        <v>960313.67</v>
      </c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  <c r="DB258" s="195"/>
      <c r="DC258" s="195"/>
      <c r="DD258" s="195"/>
      <c r="DE258" s="195"/>
      <c r="DF258" s="195"/>
      <c r="DG258" s="195"/>
      <c r="DH258" s="195"/>
      <c r="DI258" s="195"/>
      <c r="DJ258" s="195"/>
      <c r="DK258" s="195"/>
      <c r="DL258" s="195"/>
      <c r="DM258" s="195"/>
      <c r="DN258" s="195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196">
        <v>0</v>
      </c>
      <c r="F259" s="195">
        <v>0</v>
      </c>
      <c r="G259" s="196">
        <v>-150000</v>
      </c>
      <c r="H259" s="195">
        <v>0.01</v>
      </c>
      <c r="I259" s="196">
        <v>0</v>
      </c>
      <c r="J259" s="195">
        <v>0</v>
      </c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  <c r="DB259" s="195"/>
      <c r="DC259" s="195"/>
      <c r="DD259" s="195"/>
      <c r="DE259" s="195"/>
      <c r="DF259" s="195"/>
      <c r="DG259" s="195"/>
      <c r="DH259" s="195"/>
      <c r="DI259" s="195"/>
      <c r="DJ259" s="195"/>
      <c r="DK259" s="195"/>
      <c r="DL259" s="195"/>
      <c r="DM259" s="195"/>
      <c r="DN259" s="195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196">
        <v>0</v>
      </c>
      <c r="F260" s="195">
        <v>0</v>
      </c>
      <c r="G260" s="196">
        <v>2514</v>
      </c>
      <c r="H260" s="195">
        <v>6750.09</v>
      </c>
      <c r="I260" s="196">
        <v>0</v>
      </c>
      <c r="J260" s="195">
        <v>0</v>
      </c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  <c r="DB260" s="195"/>
      <c r="DC260" s="195"/>
      <c r="DD260" s="195"/>
      <c r="DE260" s="195"/>
      <c r="DF260" s="195"/>
      <c r="DG260" s="195"/>
      <c r="DH260" s="195"/>
      <c r="DI260" s="195"/>
      <c r="DJ260" s="195"/>
      <c r="DK260" s="195"/>
      <c r="DL260" s="195"/>
      <c r="DM260" s="195"/>
      <c r="DN260" s="195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196">
        <v>-1536713</v>
      </c>
      <c r="F261" s="195">
        <v>-3879637.26</v>
      </c>
      <c r="G261" s="196">
        <v>1130453</v>
      </c>
      <c r="H261" s="195">
        <v>2955988.44</v>
      </c>
      <c r="I261" s="196">
        <v>5913</v>
      </c>
      <c r="J261" s="195">
        <v>13246.78</v>
      </c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  <c r="DB261" s="195"/>
      <c r="DC261" s="195"/>
      <c r="DD261" s="195"/>
      <c r="DE261" s="195"/>
      <c r="DF261" s="195"/>
      <c r="DG261" s="195"/>
      <c r="DH261" s="195"/>
      <c r="DI261" s="195"/>
      <c r="DJ261" s="195"/>
      <c r="DK261" s="195"/>
      <c r="DL261" s="195"/>
      <c r="DM261" s="195"/>
      <c r="DN261" s="195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196">
        <v>0</v>
      </c>
      <c r="F262" s="195">
        <v>0</v>
      </c>
      <c r="G262" s="196">
        <v>0</v>
      </c>
      <c r="H262" s="195">
        <v>0</v>
      </c>
      <c r="I262" s="196">
        <v>0</v>
      </c>
      <c r="J262" s="195">
        <v>0</v>
      </c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  <c r="DB262" s="195"/>
      <c r="DC262" s="195"/>
      <c r="DD262" s="195"/>
      <c r="DE262" s="195"/>
      <c r="DF262" s="195"/>
      <c r="DG262" s="195"/>
      <c r="DH262" s="195"/>
      <c r="DI262" s="195"/>
      <c r="DJ262" s="195"/>
      <c r="DK262" s="195"/>
      <c r="DL262" s="195"/>
      <c r="DM262" s="195"/>
      <c r="DN262" s="195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196">
        <v>0</v>
      </c>
      <c r="F263" s="195">
        <v>0</v>
      </c>
      <c r="G263" s="196">
        <v>0</v>
      </c>
      <c r="H263" s="195">
        <v>0</v>
      </c>
      <c r="I263" s="196">
        <v>0</v>
      </c>
      <c r="J263" s="195">
        <v>0</v>
      </c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  <c r="DB263" s="195"/>
      <c r="DC263" s="195"/>
      <c r="DD263" s="195"/>
      <c r="DE263" s="195"/>
      <c r="DF263" s="195"/>
      <c r="DG263" s="195"/>
      <c r="DH263" s="195"/>
      <c r="DI263" s="195"/>
      <c r="DJ263" s="195"/>
      <c r="DK263" s="195"/>
      <c r="DL263" s="195"/>
      <c r="DM263" s="195"/>
      <c r="DN263" s="195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196">
        <v>0</v>
      </c>
      <c r="F264" s="195">
        <v>0</v>
      </c>
      <c r="G264" s="196">
        <v>0</v>
      </c>
      <c r="H264" s="195">
        <v>0</v>
      </c>
      <c r="I264" s="196">
        <v>0</v>
      </c>
      <c r="J264" s="195">
        <v>0</v>
      </c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  <c r="DB264" s="195"/>
      <c r="DC264" s="195"/>
      <c r="DD264" s="195"/>
      <c r="DE264" s="195"/>
      <c r="DF264" s="195"/>
      <c r="DG264" s="195"/>
      <c r="DH264" s="195"/>
      <c r="DI264" s="195"/>
      <c r="DJ264" s="195"/>
      <c r="DK264" s="195"/>
      <c r="DL264" s="195"/>
      <c r="DM264" s="195"/>
      <c r="DN264" s="195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196">
        <v>-3671738</v>
      </c>
      <c r="F265" s="195">
        <v>-9858616.5299999993</v>
      </c>
      <c r="G265" s="196">
        <v>3145072</v>
      </c>
      <c r="H265" s="195">
        <v>8444518.3200000003</v>
      </c>
      <c r="I265" s="196">
        <v>-388370</v>
      </c>
      <c r="J265" s="195">
        <v>-1042773.45</v>
      </c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  <c r="DB265" s="195"/>
      <c r="DC265" s="195"/>
      <c r="DD265" s="195"/>
      <c r="DE265" s="195"/>
      <c r="DF265" s="195"/>
      <c r="DG265" s="195"/>
      <c r="DH265" s="195"/>
      <c r="DI265" s="195"/>
      <c r="DJ265" s="195"/>
      <c r="DK265" s="195"/>
      <c r="DL265" s="195"/>
      <c r="DM265" s="195"/>
      <c r="DN265" s="195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196">
        <v>-1524167</v>
      </c>
      <c r="F266" s="195">
        <v>-4092388.395</v>
      </c>
      <c r="G266" s="196">
        <v>-40543</v>
      </c>
      <c r="H266" s="195">
        <v>-108857.955</v>
      </c>
      <c r="I266" s="196">
        <v>217750</v>
      </c>
      <c r="J266" s="195">
        <v>584658.75</v>
      </c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  <c r="DB266" s="195"/>
      <c r="DC266" s="195"/>
      <c r="DD266" s="195"/>
      <c r="DE266" s="195"/>
      <c r="DF266" s="195"/>
      <c r="DG266" s="195"/>
      <c r="DH266" s="195"/>
      <c r="DI266" s="195"/>
      <c r="DJ266" s="195"/>
      <c r="DK266" s="195"/>
      <c r="DL266" s="195"/>
      <c r="DM266" s="195"/>
      <c r="DN266" s="195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196">
        <v>-146582734</v>
      </c>
      <c r="F267" s="195">
        <v>-2004732.41</v>
      </c>
      <c r="G267" s="196">
        <v>23818200</v>
      </c>
      <c r="H267" s="195">
        <v>173360.23</v>
      </c>
      <c r="I267" s="196">
        <v>-1624570</v>
      </c>
      <c r="J267" s="195">
        <v>-67531.490000000005</v>
      </c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  <c r="DB267" s="195"/>
      <c r="DC267" s="195"/>
      <c r="DD267" s="195"/>
      <c r="DE267" s="195"/>
      <c r="DF267" s="195"/>
      <c r="DG267" s="195"/>
      <c r="DH267" s="195"/>
      <c r="DI267" s="195"/>
      <c r="DJ267" s="195"/>
      <c r="DK267" s="195"/>
      <c r="DL267" s="195"/>
      <c r="DM267" s="195"/>
      <c r="DN267" s="195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196">
        <v>0</v>
      </c>
      <c r="F268" s="195">
        <v>-7802273.5299999993</v>
      </c>
      <c r="G268" s="196">
        <v>0</v>
      </c>
      <c r="H268" s="195">
        <v>189583.47</v>
      </c>
      <c r="I268" s="196">
        <v>0</v>
      </c>
      <c r="J268" s="195">
        <v>31444.34</v>
      </c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  <c r="DB268" s="195"/>
      <c r="DC268" s="195"/>
      <c r="DD268" s="195"/>
      <c r="DE268" s="195"/>
      <c r="DF268" s="195"/>
      <c r="DG268" s="195"/>
      <c r="DH268" s="195"/>
      <c r="DI268" s="195"/>
      <c r="DJ268" s="195"/>
      <c r="DK268" s="195"/>
      <c r="DL268" s="195"/>
      <c r="DM268" s="195"/>
      <c r="DN268" s="195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196">
        <v>0</v>
      </c>
      <c r="F269" s="195">
        <v>61944</v>
      </c>
      <c r="G269" s="196">
        <v>0</v>
      </c>
      <c r="H269" s="195">
        <v>-509.68999999999869</v>
      </c>
      <c r="I269" s="196">
        <v>0</v>
      </c>
      <c r="J269" s="195">
        <v>0</v>
      </c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  <c r="DB269" s="195"/>
      <c r="DC269" s="195"/>
      <c r="DD269" s="195"/>
      <c r="DE269" s="195"/>
      <c r="DF269" s="195"/>
      <c r="DG269" s="195"/>
      <c r="DH269" s="195"/>
      <c r="DI269" s="195"/>
      <c r="DJ269" s="195"/>
      <c r="DK269" s="195"/>
      <c r="DL269" s="195"/>
      <c r="DM269" s="195"/>
      <c r="DN269" s="195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196">
        <v>0</v>
      </c>
      <c r="F270" s="195">
        <v>0</v>
      </c>
      <c r="G270" s="196">
        <v>0</v>
      </c>
      <c r="H270" s="195">
        <v>0</v>
      </c>
      <c r="I270" s="196">
        <v>0</v>
      </c>
      <c r="J270" s="195">
        <v>0</v>
      </c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  <c r="DB270" s="195"/>
      <c r="DC270" s="195"/>
      <c r="DD270" s="195"/>
      <c r="DE270" s="195"/>
      <c r="DF270" s="195"/>
      <c r="DG270" s="195"/>
      <c r="DH270" s="195"/>
      <c r="DI270" s="195"/>
      <c r="DJ270" s="195"/>
      <c r="DK270" s="195"/>
      <c r="DL270" s="195"/>
      <c r="DM270" s="195"/>
      <c r="DN270" s="195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196">
        <v>0</v>
      </c>
      <c r="F271" s="195">
        <v>0</v>
      </c>
      <c r="G271" s="196">
        <v>0</v>
      </c>
      <c r="H271" s="195">
        <v>0</v>
      </c>
      <c r="I271" s="196">
        <v>0</v>
      </c>
      <c r="J271" s="195">
        <v>0</v>
      </c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  <c r="DB271" s="195"/>
      <c r="DC271" s="195"/>
      <c r="DD271" s="195"/>
      <c r="DE271" s="195"/>
      <c r="DF271" s="195"/>
      <c r="DG271" s="195"/>
      <c r="DH271" s="195"/>
      <c r="DI271" s="195"/>
      <c r="DJ271" s="195"/>
      <c r="DK271" s="195"/>
      <c r="DL271" s="195"/>
      <c r="DM271" s="195"/>
      <c r="DN271" s="195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196">
        <v>0</v>
      </c>
      <c r="F272" s="195">
        <v>0</v>
      </c>
      <c r="G272" s="196">
        <v>0</v>
      </c>
      <c r="H272" s="195">
        <v>0</v>
      </c>
      <c r="I272" s="196">
        <v>0</v>
      </c>
      <c r="J272" s="195">
        <v>0</v>
      </c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  <c r="DB272" s="195"/>
      <c r="DC272" s="195"/>
      <c r="DD272" s="195"/>
      <c r="DE272" s="195"/>
      <c r="DF272" s="195"/>
      <c r="DG272" s="195"/>
      <c r="DH272" s="195"/>
      <c r="DI272" s="195"/>
      <c r="DJ272" s="195"/>
      <c r="DK272" s="195"/>
      <c r="DL272" s="195"/>
      <c r="DM272" s="195"/>
      <c r="DN272" s="195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196">
        <v>0</v>
      </c>
      <c r="F273" s="195">
        <v>0</v>
      </c>
      <c r="G273" s="196">
        <v>0</v>
      </c>
      <c r="H273" s="195">
        <v>0</v>
      </c>
      <c r="I273" s="196">
        <v>0</v>
      </c>
      <c r="J273" s="195">
        <v>0</v>
      </c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  <c r="DB273" s="195"/>
      <c r="DC273" s="195"/>
      <c r="DD273" s="195"/>
      <c r="DE273" s="195"/>
      <c r="DF273" s="195"/>
      <c r="DG273" s="195"/>
      <c r="DH273" s="195"/>
      <c r="DI273" s="195"/>
      <c r="DJ273" s="195"/>
      <c r="DK273" s="195"/>
      <c r="DL273" s="195"/>
      <c r="DM273" s="195"/>
      <c r="DN273" s="195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196">
        <v>0</v>
      </c>
      <c r="F274" s="195">
        <v>0</v>
      </c>
      <c r="G274" s="196">
        <v>0</v>
      </c>
      <c r="H274" s="195">
        <v>0</v>
      </c>
      <c r="I274" s="196">
        <v>0</v>
      </c>
      <c r="J274" s="195">
        <v>0</v>
      </c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  <c r="DB274" s="195"/>
      <c r="DC274" s="195"/>
      <c r="DD274" s="195"/>
      <c r="DE274" s="195"/>
      <c r="DF274" s="195"/>
      <c r="DG274" s="195"/>
      <c r="DH274" s="195"/>
      <c r="DI274" s="195"/>
      <c r="DJ274" s="195"/>
      <c r="DK274" s="195"/>
      <c r="DL274" s="195"/>
      <c r="DM274" s="195"/>
      <c r="DN274" s="195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196">
        <v>0</v>
      </c>
      <c r="F275" s="195">
        <v>0</v>
      </c>
      <c r="G275" s="196">
        <v>0</v>
      </c>
      <c r="H275" s="195">
        <v>0</v>
      </c>
      <c r="I275" s="196">
        <v>0</v>
      </c>
      <c r="J275" s="195">
        <v>0</v>
      </c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  <c r="DB275" s="195"/>
      <c r="DC275" s="195"/>
      <c r="DD275" s="195"/>
      <c r="DE275" s="195"/>
      <c r="DF275" s="195"/>
      <c r="DG275" s="195"/>
      <c r="DH275" s="195"/>
      <c r="DI275" s="195"/>
      <c r="DJ275" s="195"/>
      <c r="DK275" s="195"/>
      <c r="DL275" s="195"/>
      <c r="DM275" s="195"/>
      <c r="DN275" s="195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196">
        <v>0</v>
      </c>
      <c r="F276" s="195">
        <v>0</v>
      </c>
      <c r="G276" s="196">
        <v>0</v>
      </c>
      <c r="H276" s="195">
        <v>0</v>
      </c>
      <c r="I276" s="196">
        <v>0</v>
      </c>
      <c r="J276" s="195">
        <v>0</v>
      </c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  <c r="DB276" s="195"/>
      <c r="DC276" s="195"/>
      <c r="DD276" s="195"/>
      <c r="DE276" s="195"/>
      <c r="DF276" s="195"/>
      <c r="DG276" s="195"/>
      <c r="DH276" s="195"/>
      <c r="DI276" s="195"/>
      <c r="DJ276" s="195"/>
      <c r="DK276" s="195"/>
      <c r="DL276" s="195"/>
      <c r="DM276" s="195"/>
      <c r="DN276" s="195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196">
        <v>0</v>
      </c>
      <c r="F277" s="195">
        <v>0</v>
      </c>
      <c r="G277" s="196">
        <v>0</v>
      </c>
      <c r="H277" s="195">
        <v>0</v>
      </c>
      <c r="I277" s="196">
        <v>0</v>
      </c>
      <c r="J277" s="195">
        <v>0</v>
      </c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  <c r="DB277" s="195"/>
      <c r="DC277" s="195"/>
      <c r="DD277" s="195"/>
      <c r="DE277" s="195"/>
      <c r="DF277" s="195"/>
      <c r="DG277" s="195"/>
      <c r="DH277" s="195"/>
      <c r="DI277" s="195"/>
      <c r="DJ277" s="195"/>
      <c r="DK277" s="195"/>
      <c r="DL277" s="195"/>
      <c r="DM277" s="195"/>
      <c r="DN277" s="195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196">
        <v>0</v>
      </c>
      <c r="F278" s="195">
        <v>-106069.64</v>
      </c>
      <c r="G278" s="196">
        <v>0</v>
      </c>
      <c r="H278" s="195">
        <v>325.5</v>
      </c>
      <c r="I278" s="196">
        <v>0</v>
      </c>
      <c r="J278" s="195">
        <v>7322.07</v>
      </c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  <c r="DB278" s="195"/>
      <c r="DC278" s="195"/>
      <c r="DD278" s="195"/>
      <c r="DE278" s="195"/>
      <c r="DF278" s="195"/>
      <c r="DG278" s="195"/>
      <c r="DH278" s="195"/>
      <c r="DI278" s="195"/>
      <c r="DJ278" s="195"/>
      <c r="DK278" s="195"/>
      <c r="DL278" s="195"/>
      <c r="DM278" s="195"/>
      <c r="DN278" s="195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196">
        <v>0</v>
      </c>
      <c r="F279" s="195">
        <v>0</v>
      </c>
      <c r="G279" s="196">
        <v>0</v>
      </c>
      <c r="H279" s="195">
        <v>0</v>
      </c>
      <c r="I279" s="196">
        <v>0</v>
      </c>
      <c r="J279" s="195">
        <v>0</v>
      </c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  <c r="DB279" s="195"/>
      <c r="DC279" s="195"/>
      <c r="DD279" s="195"/>
      <c r="DE279" s="195"/>
      <c r="DF279" s="195"/>
      <c r="DG279" s="195"/>
      <c r="DH279" s="195"/>
      <c r="DI279" s="195"/>
      <c r="DJ279" s="195"/>
      <c r="DK279" s="195"/>
      <c r="DL279" s="195"/>
      <c r="DM279" s="195"/>
      <c r="DN279" s="195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196">
        <v>0</v>
      </c>
      <c r="F280" s="195">
        <v>0</v>
      </c>
      <c r="G280" s="196">
        <v>0</v>
      </c>
      <c r="H280" s="195">
        <v>0</v>
      </c>
      <c r="I280" s="196">
        <v>0</v>
      </c>
      <c r="J280" s="195">
        <v>0</v>
      </c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  <c r="DB280" s="195"/>
      <c r="DC280" s="195"/>
      <c r="DD280" s="195"/>
      <c r="DE280" s="195"/>
      <c r="DF280" s="195"/>
      <c r="DG280" s="195"/>
      <c r="DH280" s="195"/>
      <c r="DI280" s="195"/>
      <c r="DJ280" s="195"/>
      <c r="DK280" s="195"/>
      <c r="DL280" s="195"/>
      <c r="DM280" s="195"/>
      <c r="DN280" s="195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196">
        <v>0</v>
      </c>
      <c r="F281" s="195">
        <v>0</v>
      </c>
      <c r="G281" s="196">
        <v>0</v>
      </c>
      <c r="H281" s="195">
        <v>0</v>
      </c>
      <c r="I281" s="196">
        <v>0</v>
      </c>
      <c r="J281" s="195">
        <v>0</v>
      </c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  <c r="DB281" s="195"/>
      <c r="DC281" s="195"/>
      <c r="DD281" s="195"/>
      <c r="DE281" s="195"/>
      <c r="DF281" s="195"/>
      <c r="DG281" s="195"/>
      <c r="DH281" s="195"/>
      <c r="DI281" s="195"/>
      <c r="DJ281" s="195"/>
      <c r="DK281" s="195"/>
      <c r="DL281" s="195"/>
      <c r="DM281" s="195"/>
      <c r="DN281" s="195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196">
        <v>0</v>
      </c>
      <c r="F282" s="195">
        <v>0</v>
      </c>
      <c r="G282" s="196">
        <v>0</v>
      </c>
      <c r="H282" s="195">
        <v>0</v>
      </c>
      <c r="I282" s="196">
        <v>0</v>
      </c>
      <c r="J282" s="195">
        <v>0</v>
      </c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  <c r="DB282" s="195"/>
      <c r="DC282" s="195"/>
      <c r="DD282" s="195"/>
      <c r="DE282" s="195"/>
      <c r="DF282" s="195"/>
      <c r="DG282" s="195"/>
      <c r="DH282" s="195"/>
      <c r="DI282" s="195"/>
      <c r="DJ282" s="195"/>
      <c r="DK282" s="195"/>
      <c r="DL282" s="195"/>
      <c r="DM282" s="195"/>
      <c r="DN282" s="195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196">
        <v>0</v>
      </c>
      <c r="F283" s="195">
        <v>178764.39</v>
      </c>
      <c r="G283" s="196">
        <v>0</v>
      </c>
      <c r="H283" s="195">
        <v>0</v>
      </c>
      <c r="I283" s="196">
        <v>0</v>
      </c>
      <c r="J283" s="195">
        <v>0</v>
      </c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  <c r="DB283" s="195"/>
      <c r="DC283" s="195"/>
      <c r="DD283" s="195"/>
      <c r="DE283" s="195"/>
      <c r="DF283" s="195"/>
      <c r="DG283" s="195"/>
      <c r="DH283" s="195"/>
      <c r="DI283" s="195"/>
      <c r="DJ283" s="195"/>
      <c r="DK283" s="195"/>
      <c r="DL283" s="195"/>
      <c r="DM283" s="195"/>
      <c r="DN283" s="195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196">
        <v>40570134</v>
      </c>
      <c r="F284" s="195">
        <v>93396561.969999999</v>
      </c>
      <c r="G284" s="196">
        <v>109860</v>
      </c>
      <c r="H284" s="195">
        <v>300137.69</v>
      </c>
      <c r="I284" s="196">
        <v>587446</v>
      </c>
      <c r="J284" s="195">
        <v>1539107.45</v>
      </c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  <c r="DB284" s="195"/>
      <c r="DC284" s="195"/>
      <c r="DD284" s="195"/>
      <c r="DE284" s="195"/>
      <c r="DF284" s="195"/>
      <c r="DG284" s="195"/>
      <c r="DH284" s="195"/>
      <c r="DI284" s="195"/>
      <c r="DJ284" s="195"/>
      <c r="DK284" s="195"/>
      <c r="DL284" s="195"/>
      <c r="DM284" s="195"/>
      <c r="DN284" s="195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196">
        <v>0</v>
      </c>
      <c r="F285" s="195">
        <v>0</v>
      </c>
      <c r="G285" s="196">
        <v>0</v>
      </c>
      <c r="H285" s="195">
        <v>0</v>
      </c>
      <c r="I285" s="196">
        <v>0</v>
      </c>
      <c r="J285" s="195">
        <v>0</v>
      </c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  <c r="DB285" s="195"/>
      <c r="DC285" s="195"/>
      <c r="DD285" s="195"/>
      <c r="DE285" s="195"/>
      <c r="DF285" s="195"/>
      <c r="DG285" s="195"/>
      <c r="DH285" s="195"/>
      <c r="DI285" s="195"/>
      <c r="DJ285" s="195"/>
      <c r="DK285" s="195"/>
      <c r="DL285" s="195"/>
      <c r="DM285" s="195"/>
      <c r="DN285" s="195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196">
        <v>2626805</v>
      </c>
      <c r="F286" s="195">
        <v>7083468</v>
      </c>
      <c r="G286" s="196">
        <v>-1848417</v>
      </c>
      <c r="H286" s="195">
        <v>-4924959</v>
      </c>
      <c r="I286" s="196">
        <v>21808</v>
      </c>
      <c r="J286" s="195">
        <v>60632</v>
      </c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  <c r="DB286" s="195"/>
      <c r="DC286" s="195"/>
      <c r="DD286" s="195"/>
      <c r="DE286" s="195"/>
      <c r="DF286" s="195"/>
      <c r="DG286" s="195"/>
      <c r="DH286" s="195"/>
      <c r="DI286" s="195"/>
      <c r="DJ286" s="195"/>
      <c r="DK286" s="195"/>
      <c r="DL286" s="195"/>
      <c r="DM286" s="195"/>
      <c r="DN286" s="195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196">
        <v>0</v>
      </c>
      <c r="F287" s="195">
        <v>0</v>
      </c>
      <c r="G287" s="196">
        <v>0</v>
      </c>
      <c r="H287" s="195">
        <v>0</v>
      </c>
      <c r="I287" s="196">
        <v>0</v>
      </c>
      <c r="J287" s="195">
        <v>0</v>
      </c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  <c r="DB287" s="195"/>
      <c r="DC287" s="195"/>
      <c r="DD287" s="195"/>
      <c r="DE287" s="195"/>
      <c r="DF287" s="195"/>
      <c r="DG287" s="195"/>
      <c r="DH287" s="195"/>
      <c r="DI287" s="195"/>
      <c r="DJ287" s="195"/>
      <c r="DK287" s="195"/>
      <c r="DL287" s="195"/>
      <c r="DM287" s="195"/>
      <c r="DN287" s="195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196">
        <v>0</v>
      </c>
      <c r="F288" s="195">
        <v>-4500</v>
      </c>
      <c r="G288" s="196">
        <v>0</v>
      </c>
      <c r="H288" s="195">
        <v>0</v>
      </c>
      <c r="I288" s="196">
        <v>0</v>
      </c>
      <c r="J288" s="195">
        <v>0</v>
      </c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  <c r="DB288" s="195"/>
      <c r="DC288" s="195"/>
      <c r="DD288" s="195"/>
      <c r="DE288" s="195"/>
      <c r="DF288" s="195"/>
      <c r="DG288" s="195"/>
      <c r="DH288" s="195"/>
      <c r="DI288" s="195"/>
      <c r="DJ288" s="195"/>
      <c r="DK288" s="195"/>
      <c r="DL288" s="195"/>
      <c r="DM288" s="195"/>
      <c r="DN288" s="195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196">
        <v>-42744457</v>
      </c>
      <c r="F289" s="195">
        <v>-106014637.7</v>
      </c>
      <c r="G289" s="196">
        <v>77734</v>
      </c>
      <c r="H289" s="195">
        <v>-73065.119999999995</v>
      </c>
      <c r="I289" s="196">
        <v>-587453</v>
      </c>
      <c r="J289" s="195">
        <v>-1539126.86</v>
      </c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  <c r="DB289" s="195"/>
      <c r="DC289" s="195"/>
      <c r="DD289" s="195"/>
      <c r="DE289" s="195"/>
      <c r="DF289" s="195"/>
      <c r="DG289" s="195"/>
      <c r="DH289" s="195"/>
      <c r="DI289" s="195"/>
      <c r="DJ289" s="195"/>
      <c r="DK289" s="195"/>
      <c r="DL289" s="195"/>
      <c r="DM289" s="195"/>
      <c r="DN289" s="195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196">
        <v>0</v>
      </c>
      <c r="F290" s="195">
        <v>0</v>
      </c>
      <c r="G290" s="196">
        <v>0</v>
      </c>
      <c r="H290" s="195">
        <v>0</v>
      </c>
      <c r="I290" s="196">
        <v>0</v>
      </c>
      <c r="J290" s="195">
        <v>0</v>
      </c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  <c r="DB290" s="195"/>
      <c r="DC290" s="195"/>
      <c r="DD290" s="195"/>
      <c r="DE290" s="195"/>
      <c r="DF290" s="195"/>
      <c r="DG290" s="195"/>
      <c r="DH290" s="195"/>
      <c r="DI290" s="195"/>
      <c r="DJ290" s="195"/>
      <c r="DK290" s="195"/>
      <c r="DL290" s="195"/>
      <c r="DM290" s="195"/>
      <c r="DN290" s="195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196">
        <v>-1740000</v>
      </c>
      <c r="F291" s="195">
        <v>-4619700</v>
      </c>
      <c r="G291" s="196">
        <v>1383598</v>
      </c>
      <c r="H291" s="195">
        <v>3606503</v>
      </c>
      <c r="I291" s="196">
        <v>0</v>
      </c>
      <c r="J291" s="195">
        <v>0</v>
      </c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  <c r="DB291" s="195"/>
      <c r="DC291" s="195"/>
      <c r="DD291" s="195"/>
      <c r="DE291" s="195"/>
      <c r="DF291" s="195"/>
      <c r="DG291" s="195"/>
      <c r="DH291" s="195"/>
      <c r="DI291" s="195"/>
      <c r="DJ291" s="195"/>
      <c r="DK291" s="195"/>
      <c r="DL291" s="195"/>
      <c r="DM291" s="195"/>
      <c r="DN291" s="195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196">
        <v>0</v>
      </c>
      <c r="F292" s="195">
        <v>0</v>
      </c>
      <c r="G292" s="196">
        <v>0</v>
      </c>
      <c r="H292" s="195">
        <v>0</v>
      </c>
      <c r="I292" s="196">
        <v>0</v>
      </c>
      <c r="J292" s="195">
        <v>0</v>
      </c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  <c r="DB292" s="195"/>
      <c r="DC292" s="195"/>
      <c r="DD292" s="195"/>
      <c r="DE292" s="195"/>
      <c r="DF292" s="195"/>
      <c r="DG292" s="195"/>
      <c r="DH292" s="195"/>
      <c r="DI292" s="195"/>
      <c r="DJ292" s="195"/>
      <c r="DK292" s="195"/>
      <c r="DL292" s="195"/>
      <c r="DM292" s="195"/>
      <c r="DN292" s="195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196">
        <v>29330</v>
      </c>
      <c r="F293" s="195">
        <v>80364.2</v>
      </c>
      <c r="G293" s="196">
        <v>31424</v>
      </c>
      <c r="H293" s="195">
        <v>86101.759999999995</v>
      </c>
      <c r="I293" s="196">
        <v>0</v>
      </c>
      <c r="J293" s="195">
        <v>0</v>
      </c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  <c r="DB293" s="195"/>
      <c r="DC293" s="195"/>
      <c r="DD293" s="195"/>
      <c r="DE293" s="195"/>
      <c r="DF293" s="195"/>
      <c r="DG293" s="195"/>
      <c r="DH293" s="195"/>
      <c r="DI293" s="195"/>
      <c r="DJ293" s="195"/>
      <c r="DK293" s="195"/>
      <c r="DL293" s="195"/>
      <c r="DM293" s="195"/>
      <c r="DN293" s="195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196">
        <v>0</v>
      </c>
      <c r="F294" s="195">
        <v>0</v>
      </c>
      <c r="G294" s="196">
        <v>0</v>
      </c>
      <c r="H294" s="195">
        <v>0</v>
      </c>
      <c r="I294" s="196">
        <v>0</v>
      </c>
      <c r="J294" s="195">
        <v>0</v>
      </c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  <c r="DB294" s="195"/>
      <c r="DC294" s="195"/>
      <c r="DD294" s="195"/>
      <c r="DE294" s="195"/>
      <c r="DF294" s="195"/>
      <c r="DG294" s="195"/>
      <c r="DH294" s="195"/>
      <c r="DI294" s="195"/>
      <c r="DJ294" s="195"/>
      <c r="DK294" s="195"/>
      <c r="DL294" s="195"/>
      <c r="DM294" s="195"/>
      <c r="DN294" s="195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196">
        <v>0</v>
      </c>
      <c r="F295" s="195">
        <v>0</v>
      </c>
      <c r="G295" s="196">
        <v>0</v>
      </c>
      <c r="H295" s="195">
        <v>0</v>
      </c>
      <c r="I295" s="196">
        <v>0</v>
      </c>
      <c r="J295" s="195">
        <v>0</v>
      </c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  <c r="DB295" s="195"/>
      <c r="DC295" s="195"/>
      <c r="DD295" s="195"/>
      <c r="DE295" s="195"/>
      <c r="DF295" s="195"/>
      <c r="DG295" s="195"/>
      <c r="DH295" s="195"/>
      <c r="DI295" s="195"/>
      <c r="DJ295" s="195"/>
      <c r="DK295" s="195"/>
      <c r="DL295" s="195"/>
      <c r="DM295" s="195"/>
      <c r="DN295" s="195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196">
        <v>691544</v>
      </c>
      <c r="F296" s="195">
        <v>1894830.56</v>
      </c>
      <c r="G296" s="196">
        <v>156925</v>
      </c>
      <c r="H296" s="195">
        <v>429974.5</v>
      </c>
      <c r="I296" s="196">
        <v>-24223</v>
      </c>
      <c r="J296" s="195">
        <v>-66371.02</v>
      </c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  <c r="DB296" s="195"/>
      <c r="DC296" s="195"/>
      <c r="DD296" s="195"/>
      <c r="DE296" s="195"/>
      <c r="DF296" s="195"/>
      <c r="DG296" s="195"/>
      <c r="DH296" s="195"/>
      <c r="DI296" s="195"/>
      <c r="DJ296" s="195"/>
      <c r="DK296" s="195"/>
      <c r="DL296" s="195"/>
      <c r="DM296" s="195"/>
      <c r="DN296" s="195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196">
        <v>0</v>
      </c>
      <c r="F297" s="195">
        <v>0</v>
      </c>
      <c r="G297" s="196">
        <v>0</v>
      </c>
      <c r="H297" s="195">
        <v>0</v>
      </c>
      <c r="I297" s="196">
        <v>0</v>
      </c>
      <c r="J297" s="195">
        <v>0</v>
      </c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  <c r="DB297" s="195"/>
      <c r="DC297" s="195"/>
      <c r="DD297" s="195"/>
      <c r="DE297" s="195"/>
      <c r="DF297" s="195"/>
      <c r="DG297" s="195"/>
      <c r="DH297" s="195"/>
      <c r="DI297" s="195"/>
      <c r="DJ297" s="195"/>
      <c r="DK297" s="195"/>
      <c r="DL297" s="195"/>
      <c r="DM297" s="195"/>
      <c r="DN297" s="195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196">
        <v>0</v>
      </c>
      <c r="F298" s="195">
        <v>0</v>
      </c>
      <c r="G298" s="196">
        <v>0</v>
      </c>
      <c r="H298" s="195">
        <v>0</v>
      </c>
      <c r="I298" s="196">
        <v>0</v>
      </c>
      <c r="J298" s="195">
        <v>0</v>
      </c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  <c r="DB298" s="195"/>
      <c r="DC298" s="195"/>
      <c r="DD298" s="195"/>
      <c r="DE298" s="195"/>
      <c r="DF298" s="195"/>
      <c r="DG298" s="195"/>
      <c r="DH298" s="195"/>
      <c r="DI298" s="195"/>
      <c r="DJ298" s="195"/>
      <c r="DK298" s="195"/>
      <c r="DL298" s="195"/>
      <c r="DM298" s="195"/>
      <c r="DN298" s="195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196">
        <v>0</v>
      </c>
      <c r="F299" s="195">
        <v>0</v>
      </c>
      <c r="G299" s="196">
        <v>0</v>
      </c>
      <c r="H299" s="195">
        <v>0</v>
      </c>
      <c r="I299" s="196">
        <v>0</v>
      </c>
      <c r="J299" s="195">
        <v>0</v>
      </c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/>
      <c r="DC299" s="195"/>
      <c r="DD299" s="195"/>
      <c r="DE299" s="195"/>
      <c r="DF299" s="195"/>
      <c r="DG299" s="195"/>
      <c r="DH299" s="195"/>
      <c r="DI299" s="195"/>
      <c r="DJ299" s="195"/>
      <c r="DK299" s="195"/>
      <c r="DL299" s="195"/>
      <c r="DM299" s="195"/>
      <c r="DN299" s="195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196">
        <v>0</v>
      </c>
      <c r="F300" s="195">
        <v>0</v>
      </c>
      <c r="G300" s="196">
        <v>0</v>
      </c>
      <c r="H300" s="195">
        <v>0</v>
      </c>
      <c r="I300" s="196">
        <v>0</v>
      </c>
      <c r="J300" s="195">
        <v>0</v>
      </c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  <c r="DB300" s="195"/>
      <c r="DC300" s="195"/>
      <c r="DD300" s="195"/>
      <c r="DE300" s="195"/>
      <c r="DF300" s="195"/>
      <c r="DG300" s="195"/>
      <c r="DH300" s="195"/>
      <c r="DI300" s="195"/>
      <c r="DJ300" s="195"/>
      <c r="DK300" s="195"/>
      <c r="DL300" s="195"/>
      <c r="DM300" s="195"/>
      <c r="DN300" s="195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196">
        <v>0</v>
      </c>
      <c r="F301" s="195">
        <v>0</v>
      </c>
      <c r="G301" s="196">
        <v>0</v>
      </c>
      <c r="H301" s="195">
        <v>0</v>
      </c>
      <c r="I301" s="196">
        <v>0</v>
      </c>
      <c r="J301" s="195">
        <v>0</v>
      </c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  <c r="DB301" s="195"/>
      <c r="DC301" s="195"/>
      <c r="DD301" s="195"/>
      <c r="DE301" s="195"/>
      <c r="DF301" s="195"/>
      <c r="DG301" s="195"/>
      <c r="DH301" s="195"/>
      <c r="DI301" s="195"/>
      <c r="DJ301" s="195"/>
      <c r="DK301" s="195"/>
      <c r="DL301" s="195"/>
      <c r="DM301" s="195"/>
      <c r="DN301" s="195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196">
        <v>0</v>
      </c>
      <c r="F302" s="195">
        <v>0</v>
      </c>
      <c r="G302" s="196">
        <v>0</v>
      </c>
      <c r="H302" s="195">
        <v>0</v>
      </c>
      <c r="I302" s="196">
        <v>0</v>
      </c>
      <c r="J302" s="195">
        <v>0</v>
      </c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  <c r="DB302" s="195"/>
      <c r="DC302" s="195"/>
      <c r="DD302" s="195"/>
      <c r="DE302" s="195"/>
      <c r="DF302" s="195"/>
      <c r="DG302" s="195"/>
      <c r="DH302" s="195"/>
      <c r="DI302" s="195"/>
      <c r="DJ302" s="195"/>
      <c r="DK302" s="195"/>
      <c r="DL302" s="195"/>
      <c r="DM302" s="195"/>
      <c r="DN302" s="195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196">
        <v>0</v>
      </c>
      <c r="F303" s="195">
        <v>0</v>
      </c>
      <c r="G303" s="196">
        <v>0</v>
      </c>
      <c r="H303" s="195">
        <v>0</v>
      </c>
      <c r="I303" s="196">
        <v>0</v>
      </c>
      <c r="J303" s="195">
        <v>0</v>
      </c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  <c r="DB303" s="195"/>
      <c r="DC303" s="195"/>
      <c r="DD303" s="195"/>
      <c r="DE303" s="195"/>
      <c r="DF303" s="195"/>
      <c r="DG303" s="195"/>
      <c r="DH303" s="195"/>
      <c r="DI303" s="195"/>
      <c r="DJ303" s="195"/>
      <c r="DK303" s="195"/>
      <c r="DL303" s="195"/>
      <c r="DM303" s="195"/>
      <c r="DN303" s="195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196">
        <v>0</v>
      </c>
      <c r="F304" s="195">
        <v>0</v>
      </c>
      <c r="G304" s="196">
        <v>0</v>
      </c>
      <c r="H304" s="195">
        <v>0</v>
      </c>
      <c r="I304" s="196">
        <v>0</v>
      </c>
      <c r="J304" s="195">
        <v>0</v>
      </c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  <c r="DB304" s="195"/>
      <c r="DC304" s="195"/>
      <c r="DD304" s="195"/>
      <c r="DE304" s="195"/>
      <c r="DF304" s="195"/>
      <c r="DG304" s="195"/>
      <c r="DH304" s="195"/>
      <c r="DI304" s="195"/>
      <c r="DJ304" s="195"/>
      <c r="DK304" s="195"/>
      <c r="DL304" s="195"/>
      <c r="DM304" s="195"/>
      <c r="DN304" s="195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196">
        <v>566644</v>
      </c>
      <c r="F305" s="195">
        <v>1552604.56</v>
      </c>
      <c r="G305" s="196">
        <v>88876</v>
      </c>
      <c r="H305" s="195">
        <v>243520.24</v>
      </c>
      <c r="I305" s="196">
        <v>2422</v>
      </c>
      <c r="J305" s="195">
        <v>6636.28</v>
      </c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  <c r="DB305" s="195"/>
      <c r="DC305" s="195"/>
      <c r="DD305" s="195"/>
      <c r="DE305" s="195"/>
      <c r="DF305" s="195"/>
      <c r="DG305" s="195"/>
      <c r="DH305" s="195"/>
      <c r="DI305" s="195"/>
      <c r="DJ305" s="195"/>
      <c r="DK305" s="195"/>
      <c r="DL305" s="195"/>
      <c r="DM305" s="195"/>
      <c r="DN305" s="195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196">
        <v>-29330</v>
      </c>
      <c r="F306" s="195">
        <v>-80364.2</v>
      </c>
      <c r="G306" s="196">
        <v>-31424</v>
      </c>
      <c r="H306" s="195">
        <v>-86101.759999999995</v>
      </c>
      <c r="I306" s="196">
        <v>0</v>
      </c>
      <c r="J306" s="195">
        <v>0</v>
      </c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  <c r="DB306" s="195"/>
      <c r="DC306" s="195"/>
      <c r="DD306" s="195"/>
      <c r="DE306" s="195"/>
      <c r="DF306" s="195"/>
      <c r="DG306" s="195"/>
      <c r="DH306" s="195"/>
      <c r="DI306" s="195"/>
      <c r="DJ306" s="195"/>
      <c r="DK306" s="195"/>
      <c r="DL306" s="195"/>
      <c r="DM306" s="195"/>
      <c r="DN306" s="195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196">
        <v>0</v>
      </c>
      <c r="F307" s="195">
        <v>0</v>
      </c>
      <c r="G307" s="196">
        <v>0</v>
      </c>
      <c r="H307" s="195">
        <v>-252.5</v>
      </c>
      <c r="I307" s="196">
        <v>0</v>
      </c>
      <c r="J307" s="195">
        <v>-150736.43</v>
      </c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  <c r="DB307" s="195"/>
      <c r="DC307" s="195"/>
      <c r="DD307" s="195"/>
      <c r="DE307" s="195"/>
      <c r="DF307" s="195"/>
      <c r="DG307" s="195"/>
      <c r="DH307" s="195"/>
      <c r="DI307" s="195"/>
      <c r="DJ307" s="195"/>
      <c r="DK307" s="195"/>
      <c r="DL307" s="195"/>
      <c r="DM307" s="195"/>
      <c r="DN307" s="195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196">
        <v>0</v>
      </c>
      <c r="F308" s="195">
        <v>0</v>
      </c>
      <c r="G308" s="196">
        <v>0</v>
      </c>
      <c r="H308" s="195">
        <v>0</v>
      </c>
      <c r="I308" s="196">
        <v>0</v>
      </c>
      <c r="J308" s="195">
        <v>0</v>
      </c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  <c r="DB308" s="195"/>
      <c r="DC308" s="195"/>
      <c r="DD308" s="195"/>
      <c r="DE308" s="195"/>
      <c r="DF308" s="195"/>
      <c r="DG308" s="195"/>
      <c r="DH308" s="195"/>
      <c r="DI308" s="195"/>
      <c r="DJ308" s="195"/>
      <c r="DK308" s="195"/>
      <c r="DL308" s="195"/>
      <c r="DM308" s="195"/>
      <c r="DN308" s="195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196">
        <v>0</v>
      </c>
      <c r="F309" s="195">
        <v>0</v>
      </c>
      <c r="G309" s="196">
        <v>0</v>
      </c>
      <c r="H309" s="195">
        <v>0</v>
      </c>
      <c r="I309" s="196">
        <v>0</v>
      </c>
      <c r="J309" s="195">
        <v>0</v>
      </c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  <c r="DB309" s="195"/>
      <c r="DC309" s="195"/>
      <c r="DD309" s="195"/>
      <c r="DE309" s="195"/>
      <c r="DF309" s="195"/>
      <c r="DG309" s="195"/>
      <c r="DH309" s="195"/>
      <c r="DI309" s="195"/>
      <c r="DJ309" s="195"/>
      <c r="DK309" s="195"/>
      <c r="DL309" s="195"/>
      <c r="DM309" s="195"/>
      <c r="DN309" s="195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196">
        <v>0</v>
      </c>
      <c r="F310" s="195">
        <v>0</v>
      </c>
      <c r="G310" s="196">
        <v>0</v>
      </c>
      <c r="H310" s="195">
        <v>0</v>
      </c>
      <c r="I310" s="196">
        <v>0</v>
      </c>
      <c r="J310" s="195">
        <v>0</v>
      </c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  <c r="DB310" s="195"/>
      <c r="DC310" s="195"/>
      <c r="DD310" s="195"/>
      <c r="DE310" s="195"/>
      <c r="DF310" s="195"/>
      <c r="DG310" s="195"/>
      <c r="DH310" s="195"/>
      <c r="DI310" s="195"/>
      <c r="DJ310" s="195"/>
      <c r="DK310" s="195"/>
      <c r="DL310" s="195"/>
      <c r="DM310" s="195"/>
      <c r="DN310" s="195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196">
        <v>0</v>
      </c>
      <c r="F311" s="195">
        <v>0</v>
      </c>
      <c r="G311" s="196">
        <v>0</v>
      </c>
      <c r="H311" s="195">
        <v>0</v>
      </c>
      <c r="I311" s="196">
        <v>0</v>
      </c>
      <c r="J311" s="195">
        <v>0</v>
      </c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  <c r="DB311" s="195"/>
      <c r="DC311" s="195"/>
      <c r="DD311" s="195"/>
      <c r="DE311" s="195"/>
      <c r="DF311" s="195"/>
      <c r="DG311" s="195"/>
      <c r="DH311" s="195"/>
      <c r="DI311" s="195"/>
      <c r="DJ311" s="195"/>
      <c r="DK311" s="195"/>
      <c r="DL311" s="195"/>
      <c r="DM311" s="195"/>
      <c r="DN311" s="195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196">
        <v>0</v>
      </c>
      <c r="F312" s="195">
        <v>0</v>
      </c>
      <c r="G312" s="196">
        <v>0</v>
      </c>
      <c r="H312" s="195">
        <v>0</v>
      </c>
      <c r="I312" s="196">
        <v>0</v>
      </c>
      <c r="J312" s="195">
        <v>0</v>
      </c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  <c r="DB312" s="195"/>
      <c r="DC312" s="195"/>
      <c r="DD312" s="195"/>
      <c r="DE312" s="195"/>
      <c r="DF312" s="195"/>
      <c r="DG312" s="195"/>
      <c r="DH312" s="195"/>
      <c r="DI312" s="195"/>
      <c r="DJ312" s="195"/>
      <c r="DK312" s="195"/>
      <c r="DL312" s="195"/>
      <c r="DM312" s="195"/>
      <c r="DN312" s="195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196">
        <v>0</v>
      </c>
      <c r="F313" s="195">
        <v>0</v>
      </c>
      <c r="G313" s="196">
        <v>0</v>
      </c>
      <c r="H313" s="195">
        <v>0</v>
      </c>
      <c r="I313" s="196">
        <v>0</v>
      </c>
      <c r="J313" s="195">
        <v>0</v>
      </c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  <c r="DB313" s="195"/>
      <c r="DC313" s="195"/>
      <c r="DD313" s="195"/>
      <c r="DE313" s="195"/>
      <c r="DF313" s="195"/>
      <c r="DG313" s="195"/>
      <c r="DH313" s="195"/>
      <c r="DI313" s="195"/>
      <c r="DJ313" s="195"/>
      <c r="DK313" s="195"/>
      <c r="DL313" s="195"/>
      <c r="DM313" s="195"/>
      <c r="DN313" s="195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196">
        <v>0</v>
      </c>
      <c r="F314" s="195">
        <v>0</v>
      </c>
      <c r="G314" s="196">
        <v>0</v>
      </c>
      <c r="H314" s="195">
        <v>0</v>
      </c>
      <c r="I314" s="196">
        <v>0</v>
      </c>
      <c r="J314" s="195">
        <v>0</v>
      </c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  <c r="DB314" s="195"/>
      <c r="DC314" s="195"/>
      <c r="DD314" s="195"/>
      <c r="DE314" s="195"/>
      <c r="DF314" s="195"/>
      <c r="DG314" s="195"/>
      <c r="DH314" s="195"/>
      <c r="DI314" s="195"/>
      <c r="DJ314" s="195"/>
      <c r="DK314" s="195"/>
      <c r="DL314" s="195"/>
      <c r="DM314" s="195"/>
      <c r="DN314" s="195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196">
        <v>0</v>
      </c>
      <c r="F315" s="195">
        <v>0</v>
      </c>
      <c r="G315" s="196">
        <v>0</v>
      </c>
      <c r="H315" s="195">
        <v>0</v>
      </c>
      <c r="I315" s="196">
        <v>0</v>
      </c>
      <c r="J315" s="195">
        <v>0</v>
      </c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  <c r="DB315" s="195"/>
      <c r="DC315" s="195"/>
      <c r="DD315" s="195"/>
      <c r="DE315" s="195"/>
      <c r="DF315" s="195"/>
      <c r="DG315" s="195"/>
      <c r="DH315" s="195"/>
      <c r="DI315" s="195"/>
      <c r="DJ315" s="195"/>
      <c r="DK315" s="195"/>
      <c r="DL315" s="195"/>
      <c r="DM315" s="195"/>
      <c r="DN315" s="195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196">
        <v>0</v>
      </c>
      <c r="F316" s="195">
        <v>0</v>
      </c>
      <c r="G316" s="196">
        <v>0</v>
      </c>
      <c r="H316" s="195">
        <v>0</v>
      </c>
      <c r="I316" s="196">
        <v>0</v>
      </c>
      <c r="J316" s="195">
        <v>0</v>
      </c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  <c r="DB316" s="195"/>
      <c r="DC316" s="195"/>
      <c r="DD316" s="195"/>
      <c r="DE316" s="195"/>
      <c r="DF316" s="195"/>
      <c r="DG316" s="195"/>
      <c r="DH316" s="195"/>
      <c r="DI316" s="195"/>
      <c r="DJ316" s="195"/>
      <c r="DK316" s="195"/>
      <c r="DL316" s="195"/>
      <c r="DM316" s="195"/>
      <c r="DN316" s="195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196">
        <v>0</v>
      </c>
      <c r="F317" s="195">
        <v>0</v>
      </c>
      <c r="G317" s="196">
        <v>0</v>
      </c>
      <c r="H317" s="195">
        <v>0</v>
      </c>
      <c r="I317" s="196">
        <v>0</v>
      </c>
      <c r="J317" s="195">
        <v>0</v>
      </c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  <c r="DB317" s="195"/>
      <c r="DC317" s="195"/>
      <c r="DD317" s="195"/>
      <c r="DE317" s="195"/>
      <c r="DF317" s="195"/>
      <c r="DG317" s="195"/>
      <c r="DH317" s="195"/>
      <c r="DI317" s="195"/>
      <c r="DJ317" s="195"/>
      <c r="DK317" s="195"/>
      <c r="DL317" s="195"/>
      <c r="DM317" s="195"/>
      <c r="DN317" s="195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196">
        <v>0</v>
      </c>
      <c r="F318" s="195">
        <v>-976.75</v>
      </c>
      <c r="G318" s="196">
        <v>0</v>
      </c>
      <c r="H318" s="195">
        <v>-72.5</v>
      </c>
      <c r="I318" s="196">
        <v>0</v>
      </c>
      <c r="J318" s="195">
        <v>0</v>
      </c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  <c r="DB318" s="195"/>
      <c r="DC318" s="195"/>
      <c r="DD318" s="195"/>
      <c r="DE318" s="195"/>
      <c r="DF318" s="195"/>
      <c r="DG318" s="195"/>
      <c r="DH318" s="195"/>
      <c r="DI318" s="195"/>
      <c r="DJ318" s="195"/>
      <c r="DK318" s="195"/>
      <c r="DL318" s="195"/>
      <c r="DM318" s="195"/>
      <c r="DN318" s="195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196">
        <v>0</v>
      </c>
      <c r="F319" s="195">
        <v>0</v>
      </c>
      <c r="G319" s="196">
        <v>0</v>
      </c>
      <c r="H319" s="195">
        <v>0</v>
      </c>
      <c r="I319" s="196">
        <v>0</v>
      </c>
      <c r="J319" s="195">
        <v>0</v>
      </c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  <c r="DB319" s="195"/>
      <c r="DC319" s="195"/>
      <c r="DD319" s="195"/>
      <c r="DE319" s="195"/>
      <c r="DF319" s="195"/>
      <c r="DG319" s="195"/>
      <c r="DH319" s="195"/>
      <c r="DI319" s="195"/>
      <c r="DJ319" s="195"/>
      <c r="DK319" s="195"/>
      <c r="DL319" s="195"/>
      <c r="DM319" s="195"/>
      <c r="DN319" s="195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196">
        <v>0</v>
      </c>
      <c r="F320" s="195">
        <v>0</v>
      </c>
      <c r="G320" s="196">
        <v>0</v>
      </c>
      <c r="H320" s="195">
        <v>0</v>
      </c>
      <c r="I320" s="196">
        <v>0</v>
      </c>
      <c r="J320" s="195">
        <v>0</v>
      </c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  <c r="DB320" s="195"/>
      <c r="DC320" s="195"/>
      <c r="DD320" s="195"/>
      <c r="DE320" s="195"/>
      <c r="DF320" s="195"/>
      <c r="DG320" s="195"/>
      <c r="DH320" s="195"/>
      <c r="DI320" s="195"/>
      <c r="DJ320" s="195"/>
      <c r="DK320" s="195"/>
      <c r="DL320" s="195"/>
      <c r="DM320" s="195"/>
      <c r="DN320" s="195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196">
        <v>0</v>
      </c>
      <c r="F321" s="195">
        <v>0</v>
      </c>
      <c r="G321" s="196">
        <v>0</v>
      </c>
      <c r="H321" s="195">
        <v>0</v>
      </c>
      <c r="I321" s="196">
        <v>0</v>
      </c>
      <c r="J321" s="195">
        <v>0</v>
      </c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  <c r="DB321" s="195"/>
      <c r="DC321" s="195"/>
      <c r="DD321" s="195"/>
      <c r="DE321" s="195"/>
      <c r="DF321" s="195"/>
      <c r="DG321" s="195"/>
      <c r="DH321" s="195"/>
      <c r="DI321" s="195"/>
      <c r="DJ321" s="195"/>
      <c r="DK321" s="195"/>
      <c r="DL321" s="195"/>
      <c r="DM321" s="195"/>
      <c r="DN321" s="195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196">
        <v>0</v>
      </c>
      <c r="F322" s="195">
        <v>0</v>
      </c>
      <c r="G322" s="196">
        <v>0</v>
      </c>
      <c r="H322" s="195">
        <v>0</v>
      </c>
      <c r="I322" s="196">
        <v>0</v>
      </c>
      <c r="J322" s="195">
        <v>0</v>
      </c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  <c r="DB322" s="195"/>
      <c r="DC322" s="195"/>
      <c r="DD322" s="195"/>
      <c r="DE322" s="195"/>
      <c r="DF322" s="195"/>
      <c r="DG322" s="195"/>
      <c r="DH322" s="195"/>
      <c r="DI322" s="195"/>
      <c r="DJ322" s="195"/>
      <c r="DK322" s="195"/>
      <c r="DL322" s="195"/>
      <c r="DM322" s="195"/>
      <c r="DN322" s="195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196">
        <v>0</v>
      </c>
      <c r="F323" s="195">
        <v>0</v>
      </c>
      <c r="G323" s="196">
        <v>0</v>
      </c>
      <c r="H323" s="195">
        <v>0</v>
      </c>
      <c r="I323" s="196">
        <v>0</v>
      </c>
      <c r="J323" s="195">
        <v>0</v>
      </c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  <c r="DB323" s="195"/>
      <c r="DC323" s="195"/>
      <c r="DD323" s="195"/>
      <c r="DE323" s="195"/>
      <c r="DF323" s="195"/>
      <c r="DG323" s="195"/>
      <c r="DH323" s="195"/>
      <c r="DI323" s="195"/>
      <c r="DJ323" s="195"/>
      <c r="DK323" s="195"/>
      <c r="DL323" s="195"/>
      <c r="DM323" s="195"/>
      <c r="DN323" s="195"/>
    </row>
    <row r="324" spans="1:118" x14ac:dyDescent="0.25">
      <c r="A324" s="33" t="s">
        <v>140</v>
      </c>
      <c r="B324" s="33" t="s">
        <v>204</v>
      </c>
      <c r="C324" s="33">
        <v>1</v>
      </c>
      <c r="D324" s="33" t="s">
        <v>25</v>
      </c>
      <c r="E324" s="196">
        <v>15465468</v>
      </c>
      <c r="F324" s="195">
        <v>40902217.390000001</v>
      </c>
      <c r="G324" s="196">
        <v>-499990</v>
      </c>
      <c r="H324" s="195">
        <v>-1287348.51</v>
      </c>
      <c r="I324" s="196">
        <v>499989</v>
      </c>
      <c r="J324" s="195">
        <v>1324970.8500000001</v>
      </c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  <c r="DB324" s="195"/>
      <c r="DC324" s="195"/>
      <c r="DD324" s="195"/>
      <c r="DE324" s="195"/>
      <c r="DF324" s="195"/>
      <c r="DG324" s="195"/>
      <c r="DH324" s="195"/>
      <c r="DI324" s="195"/>
      <c r="DJ324" s="195"/>
      <c r="DK324" s="195"/>
      <c r="DL324" s="195"/>
      <c r="DM324" s="195"/>
      <c r="DN324" s="195"/>
    </row>
    <row r="325" spans="1:118" x14ac:dyDescent="0.25">
      <c r="A325" s="33" t="s">
        <v>140</v>
      </c>
      <c r="B325" s="33" t="s">
        <v>204</v>
      </c>
      <c r="C325" s="33">
        <v>2</v>
      </c>
      <c r="D325" s="33" t="s">
        <v>26</v>
      </c>
      <c r="E325" s="196">
        <v>0</v>
      </c>
      <c r="F325" s="195">
        <v>0</v>
      </c>
      <c r="G325" s="196">
        <v>0</v>
      </c>
      <c r="H325" s="195">
        <v>0</v>
      </c>
      <c r="I325" s="196">
        <v>0</v>
      </c>
      <c r="J325" s="195">
        <v>0</v>
      </c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  <c r="DB325" s="195"/>
      <c r="DC325" s="195"/>
      <c r="DD325" s="195"/>
      <c r="DE325" s="195"/>
      <c r="DF325" s="195"/>
      <c r="DG325" s="195"/>
      <c r="DH325" s="195"/>
      <c r="DI325" s="195"/>
      <c r="DJ325" s="195"/>
      <c r="DK325" s="195"/>
      <c r="DL325" s="195"/>
      <c r="DM325" s="195"/>
      <c r="DN325" s="195"/>
    </row>
    <row r="326" spans="1:118" x14ac:dyDescent="0.25">
      <c r="A326" s="33" t="s">
        <v>140</v>
      </c>
      <c r="B326" s="33" t="s">
        <v>204</v>
      </c>
      <c r="C326" s="33">
        <v>3</v>
      </c>
      <c r="D326" s="33" t="s">
        <v>27</v>
      </c>
      <c r="E326" s="196">
        <v>21293649</v>
      </c>
      <c r="F326" s="195">
        <v>55351498</v>
      </c>
      <c r="G326" s="196">
        <v>-16542349</v>
      </c>
      <c r="H326" s="195">
        <v>-42779513</v>
      </c>
      <c r="I326" s="196">
        <v>0</v>
      </c>
      <c r="J326" s="195">
        <v>0</v>
      </c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  <c r="DB326" s="195"/>
      <c r="DC326" s="195"/>
      <c r="DD326" s="195"/>
      <c r="DE326" s="195"/>
      <c r="DF326" s="195"/>
      <c r="DG326" s="195"/>
      <c r="DH326" s="195"/>
      <c r="DI326" s="195"/>
      <c r="DJ326" s="195"/>
      <c r="DK326" s="195"/>
      <c r="DL326" s="195"/>
      <c r="DM326" s="195"/>
      <c r="DN326" s="195"/>
    </row>
    <row r="327" spans="1:118" x14ac:dyDescent="0.25">
      <c r="A327" s="33" t="s">
        <v>140</v>
      </c>
      <c r="B327" s="33" t="s">
        <v>204</v>
      </c>
      <c r="C327" s="33">
        <v>4</v>
      </c>
      <c r="D327" s="33" t="s">
        <v>28</v>
      </c>
      <c r="E327" s="196">
        <v>0</v>
      </c>
      <c r="F327" s="195">
        <v>0</v>
      </c>
      <c r="G327" s="196">
        <v>0</v>
      </c>
      <c r="H327" s="195">
        <v>0</v>
      </c>
      <c r="I327" s="196">
        <v>0</v>
      </c>
      <c r="J327" s="195">
        <v>0</v>
      </c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  <c r="DB327" s="195"/>
      <c r="DC327" s="195"/>
      <c r="DD327" s="195"/>
      <c r="DE327" s="195"/>
      <c r="DF327" s="195"/>
      <c r="DG327" s="195"/>
      <c r="DH327" s="195"/>
      <c r="DI327" s="195"/>
      <c r="DJ327" s="195"/>
      <c r="DK327" s="195"/>
      <c r="DL327" s="195"/>
      <c r="DM327" s="195"/>
      <c r="DN327" s="195"/>
    </row>
    <row r="328" spans="1:118" x14ac:dyDescent="0.25">
      <c r="A328" s="33" t="s">
        <v>140</v>
      </c>
      <c r="B328" s="33" t="s">
        <v>204</v>
      </c>
      <c r="C328" s="33">
        <v>5</v>
      </c>
      <c r="D328" s="33" t="s">
        <v>125</v>
      </c>
      <c r="E328" s="196">
        <v>0</v>
      </c>
      <c r="F328" s="195">
        <v>3056503</v>
      </c>
      <c r="G328" s="196">
        <v>0</v>
      </c>
      <c r="H328" s="195">
        <v>-58125</v>
      </c>
      <c r="I328" s="196">
        <v>0</v>
      </c>
      <c r="J328" s="195">
        <v>0</v>
      </c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  <c r="DB328" s="195"/>
      <c r="DC328" s="195"/>
      <c r="DD328" s="195"/>
      <c r="DE328" s="195"/>
      <c r="DF328" s="195"/>
      <c r="DG328" s="195"/>
      <c r="DH328" s="195"/>
      <c r="DI328" s="195"/>
      <c r="DJ328" s="195"/>
      <c r="DK328" s="195"/>
      <c r="DL328" s="195"/>
      <c r="DM328" s="195"/>
      <c r="DN328" s="195"/>
    </row>
    <row r="329" spans="1:118" x14ac:dyDescent="0.25">
      <c r="A329" s="33" t="s">
        <v>140</v>
      </c>
      <c r="B329" s="33" t="s">
        <v>204</v>
      </c>
      <c r="C329" s="33">
        <v>6</v>
      </c>
      <c r="D329" s="33" t="s">
        <v>25</v>
      </c>
      <c r="E329" s="196">
        <v>-8950787</v>
      </c>
      <c r="F329" s="195">
        <v>-23121884.869999997</v>
      </c>
      <c r="G329" s="196">
        <v>9</v>
      </c>
      <c r="H329" s="195">
        <v>-32018.99</v>
      </c>
      <c r="I329" s="196">
        <v>-9</v>
      </c>
      <c r="J329" s="195">
        <v>2.23</v>
      </c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  <c r="DB329" s="195"/>
      <c r="DC329" s="195"/>
      <c r="DD329" s="195"/>
      <c r="DE329" s="195"/>
      <c r="DF329" s="195"/>
      <c r="DG329" s="195"/>
      <c r="DH329" s="195"/>
      <c r="DI329" s="195"/>
      <c r="DJ329" s="195"/>
      <c r="DK329" s="195"/>
      <c r="DL329" s="195"/>
      <c r="DM329" s="195"/>
      <c r="DN329" s="195"/>
    </row>
    <row r="330" spans="1:118" x14ac:dyDescent="0.25">
      <c r="A330" s="33" t="s">
        <v>140</v>
      </c>
      <c r="B330" s="33" t="s">
        <v>204</v>
      </c>
      <c r="C330" s="33">
        <v>7</v>
      </c>
      <c r="D330" s="33" t="s">
        <v>26</v>
      </c>
      <c r="E330" s="196">
        <v>0</v>
      </c>
      <c r="F330" s="195">
        <v>0</v>
      </c>
      <c r="G330" s="196">
        <v>0</v>
      </c>
      <c r="H330" s="195">
        <v>0</v>
      </c>
      <c r="I330" s="196">
        <v>0</v>
      </c>
      <c r="J330" s="195">
        <v>0</v>
      </c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  <c r="DB330" s="195"/>
      <c r="DC330" s="195"/>
      <c r="DD330" s="195"/>
      <c r="DE330" s="195"/>
      <c r="DF330" s="195"/>
      <c r="DG330" s="195"/>
      <c r="DH330" s="195"/>
      <c r="DI330" s="195"/>
      <c r="DJ330" s="195"/>
      <c r="DK330" s="195"/>
      <c r="DL330" s="195"/>
      <c r="DM330" s="195"/>
      <c r="DN330" s="195"/>
    </row>
    <row r="331" spans="1:118" x14ac:dyDescent="0.25">
      <c r="A331" s="33" t="s">
        <v>140</v>
      </c>
      <c r="B331" s="33" t="s">
        <v>204</v>
      </c>
      <c r="C331" s="33">
        <v>8</v>
      </c>
      <c r="D331" s="33" t="s">
        <v>27</v>
      </c>
      <c r="E331" s="196">
        <v>-28092979</v>
      </c>
      <c r="F331" s="195">
        <v>-73058871</v>
      </c>
      <c r="G331" s="196">
        <v>16512349</v>
      </c>
      <c r="H331" s="195">
        <v>42702414</v>
      </c>
      <c r="I331" s="196">
        <v>0</v>
      </c>
      <c r="J331" s="195">
        <v>0</v>
      </c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  <c r="DB331" s="195"/>
      <c r="DC331" s="195"/>
      <c r="DD331" s="195"/>
      <c r="DE331" s="195"/>
      <c r="DF331" s="195"/>
      <c r="DG331" s="195"/>
      <c r="DH331" s="195"/>
      <c r="DI331" s="195"/>
      <c r="DJ331" s="195"/>
      <c r="DK331" s="195"/>
      <c r="DL331" s="195"/>
      <c r="DM331" s="195"/>
      <c r="DN331" s="195"/>
    </row>
    <row r="332" spans="1:118" x14ac:dyDescent="0.25">
      <c r="A332" s="33" t="s">
        <v>140</v>
      </c>
      <c r="B332" s="33" t="s">
        <v>204</v>
      </c>
      <c r="C332" s="33">
        <v>9</v>
      </c>
      <c r="D332" s="33" t="s">
        <v>28</v>
      </c>
      <c r="E332" s="196">
        <v>0</v>
      </c>
      <c r="F332" s="195">
        <v>0</v>
      </c>
      <c r="G332" s="196">
        <v>0</v>
      </c>
      <c r="H332" s="195">
        <v>0</v>
      </c>
      <c r="I332" s="196">
        <v>0</v>
      </c>
      <c r="J332" s="195">
        <v>0</v>
      </c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  <c r="DB332" s="195"/>
      <c r="DC332" s="195"/>
      <c r="DD332" s="195"/>
      <c r="DE332" s="195"/>
      <c r="DF332" s="195"/>
      <c r="DG332" s="195"/>
      <c r="DH332" s="195"/>
      <c r="DI332" s="195"/>
      <c r="DJ332" s="195"/>
      <c r="DK332" s="195"/>
      <c r="DL332" s="195"/>
      <c r="DM332" s="195"/>
      <c r="DN332" s="195"/>
    </row>
    <row r="333" spans="1:118" x14ac:dyDescent="0.25">
      <c r="A333" s="33" t="s">
        <v>140</v>
      </c>
      <c r="B333" s="33" t="s">
        <v>204</v>
      </c>
      <c r="C333" s="33">
        <v>10</v>
      </c>
      <c r="D333" s="33" t="s">
        <v>32</v>
      </c>
      <c r="E333" s="196">
        <v>0</v>
      </c>
      <c r="F333" s="195">
        <v>0</v>
      </c>
      <c r="G333" s="196">
        <v>0</v>
      </c>
      <c r="H333" s="195">
        <v>0</v>
      </c>
      <c r="I333" s="196">
        <v>0</v>
      </c>
      <c r="J333" s="195">
        <v>0</v>
      </c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  <c r="DB333" s="195"/>
      <c r="DC333" s="195"/>
      <c r="DD333" s="195"/>
      <c r="DE333" s="195"/>
      <c r="DF333" s="195"/>
      <c r="DG333" s="195"/>
      <c r="DH333" s="195"/>
      <c r="DI333" s="195"/>
      <c r="DJ333" s="195"/>
      <c r="DK333" s="195"/>
      <c r="DL333" s="195"/>
      <c r="DM333" s="195"/>
      <c r="DN333" s="195"/>
    </row>
    <row r="334" spans="1:118" x14ac:dyDescent="0.25">
      <c r="A334" s="33" t="s">
        <v>140</v>
      </c>
      <c r="B334" s="33" t="s">
        <v>204</v>
      </c>
      <c r="C334" s="33">
        <v>11</v>
      </c>
      <c r="D334" s="33" t="s">
        <v>35</v>
      </c>
      <c r="E334" s="196">
        <v>0</v>
      </c>
      <c r="F334" s="195">
        <v>0</v>
      </c>
      <c r="G334" s="196">
        <v>0</v>
      </c>
      <c r="H334" s="195">
        <v>0</v>
      </c>
      <c r="I334" s="196">
        <v>0</v>
      </c>
      <c r="J334" s="195">
        <v>0</v>
      </c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  <c r="DB334" s="195"/>
      <c r="DC334" s="195"/>
      <c r="DD334" s="195"/>
      <c r="DE334" s="195"/>
      <c r="DF334" s="195"/>
      <c r="DG334" s="195"/>
      <c r="DH334" s="195"/>
      <c r="DI334" s="195"/>
      <c r="DJ334" s="195"/>
      <c r="DK334" s="195"/>
      <c r="DL334" s="195"/>
      <c r="DM334" s="195"/>
      <c r="DN334" s="195"/>
    </row>
    <row r="335" spans="1:118" x14ac:dyDescent="0.25">
      <c r="A335" s="33" t="s">
        <v>140</v>
      </c>
      <c r="B335" s="33" t="s">
        <v>204</v>
      </c>
      <c r="C335" s="33">
        <v>12</v>
      </c>
      <c r="D335" s="33" t="s">
        <v>36</v>
      </c>
      <c r="E335" s="196">
        <v>0</v>
      </c>
      <c r="F335" s="195">
        <v>0</v>
      </c>
      <c r="G335" s="196">
        <v>0</v>
      </c>
      <c r="H335" s="195">
        <v>0</v>
      </c>
      <c r="I335" s="196">
        <v>0</v>
      </c>
      <c r="J335" s="195">
        <v>0</v>
      </c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  <c r="DB335" s="195"/>
      <c r="DC335" s="195"/>
      <c r="DD335" s="195"/>
      <c r="DE335" s="195"/>
      <c r="DF335" s="195"/>
      <c r="DG335" s="195"/>
      <c r="DH335" s="195"/>
      <c r="DI335" s="195"/>
      <c r="DJ335" s="195"/>
      <c r="DK335" s="195"/>
      <c r="DL335" s="195"/>
      <c r="DM335" s="195"/>
      <c r="DN335" s="195"/>
    </row>
    <row r="336" spans="1:118" x14ac:dyDescent="0.25">
      <c r="A336" s="33" t="s">
        <v>140</v>
      </c>
      <c r="B336" s="33" t="s">
        <v>204</v>
      </c>
      <c r="C336" s="33">
        <v>13</v>
      </c>
      <c r="D336" s="33" t="s">
        <v>39</v>
      </c>
      <c r="E336" s="196">
        <v>0</v>
      </c>
      <c r="F336" s="195">
        <v>0</v>
      </c>
      <c r="G336" s="196">
        <v>0</v>
      </c>
      <c r="H336" s="195">
        <v>0</v>
      </c>
      <c r="I336" s="196">
        <v>0</v>
      </c>
      <c r="J336" s="195">
        <v>0</v>
      </c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  <c r="DB336" s="195"/>
      <c r="DC336" s="195"/>
      <c r="DD336" s="195"/>
      <c r="DE336" s="195"/>
      <c r="DF336" s="195"/>
      <c r="DG336" s="195"/>
      <c r="DH336" s="195"/>
      <c r="DI336" s="195"/>
      <c r="DJ336" s="195"/>
      <c r="DK336" s="195"/>
      <c r="DL336" s="195"/>
      <c r="DM336" s="195"/>
      <c r="DN336" s="195"/>
    </row>
    <row r="337" spans="1:118" x14ac:dyDescent="0.25">
      <c r="A337" s="33" t="s">
        <v>140</v>
      </c>
      <c r="B337" s="33" t="s">
        <v>204</v>
      </c>
      <c r="C337" s="33">
        <v>14</v>
      </c>
      <c r="D337" s="33" t="s">
        <v>40</v>
      </c>
      <c r="E337" s="196">
        <v>0</v>
      </c>
      <c r="F337" s="195">
        <v>0</v>
      </c>
      <c r="G337" s="196">
        <v>0</v>
      </c>
      <c r="H337" s="195">
        <v>0</v>
      </c>
      <c r="I337" s="196">
        <v>0</v>
      </c>
      <c r="J337" s="195">
        <v>0</v>
      </c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  <c r="DB337" s="195"/>
      <c r="DC337" s="195"/>
      <c r="DD337" s="195"/>
      <c r="DE337" s="195"/>
      <c r="DF337" s="195"/>
      <c r="DG337" s="195"/>
      <c r="DH337" s="195"/>
      <c r="DI337" s="195"/>
      <c r="DJ337" s="195"/>
      <c r="DK337" s="195"/>
      <c r="DL337" s="195"/>
      <c r="DM337" s="195"/>
      <c r="DN337" s="195"/>
    </row>
    <row r="338" spans="1:118" x14ac:dyDescent="0.25">
      <c r="A338" s="33" t="s">
        <v>140</v>
      </c>
      <c r="B338" s="33" t="s">
        <v>204</v>
      </c>
      <c r="C338" s="33">
        <v>15</v>
      </c>
      <c r="D338" s="33" t="s">
        <v>41</v>
      </c>
      <c r="E338" s="196">
        <v>0</v>
      </c>
      <c r="F338" s="195">
        <v>0</v>
      </c>
      <c r="G338" s="196">
        <v>0</v>
      </c>
      <c r="H338" s="195">
        <v>0</v>
      </c>
      <c r="I338" s="196">
        <v>0</v>
      </c>
      <c r="J338" s="195">
        <v>0</v>
      </c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  <c r="DB338" s="195"/>
      <c r="DC338" s="195"/>
      <c r="DD338" s="195"/>
      <c r="DE338" s="195"/>
      <c r="DF338" s="195"/>
      <c r="DG338" s="195"/>
      <c r="DH338" s="195"/>
      <c r="DI338" s="195"/>
      <c r="DJ338" s="195"/>
      <c r="DK338" s="195"/>
      <c r="DL338" s="195"/>
      <c r="DM338" s="195"/>
      <c r="DN338" s="195"/>
    </row>
    <row r="339" spans="1:118" x14ac:dyDescent="0.25">
      <c r="A339" s="33" t="s">
        <v>140</v>
      </c>
      <c r="B339" s="33" t="s">
        <v>204</v>
      </c>
      <c r="C339" s="33">
        <v>16</v>
      </c>
      <c r="D339" s="33" t="s">
        <v>42</v>
      </c>
      <c r="E339" s="196">
        <v>0</v>
      </c>
      <c r="F339" s="195">
        <v>0</v>
      </c>
      <c r="G339" s="196">
        <v>0</v>
      </c>
      <c r="H339" s="195">
        <v>0</v>
      </c>
      <c r="I339" s="196">
        <v>0</v>
      </c>
      <c r="J339" s="195">
        <v>0</v>
      </c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  <c r="DB339" s="195"/>
      <c r="DC339" s="195"/>
      <c r="DD339" s="195"/>
      <c r="DE339" s="195"/>
      <c r="DF339" s="195"/>
      <c r="DG339" s="195"/>
      <c r="DH339" s="195"/>
      <c r="DI339" s="195"/>
      <c r="DJ339" s="195"/>
      <c r="DK339" s="195"/>
      <c r="DL339" s="195"/>
      <c r="DM339" s="195"/>
      <c r="DN339" s="195"/>
    </row>
    <row r="340" spans="1:118" x14ac:dyDescent="0.25">
      <c r="A340" s="33" t="s">
        <v>140</v>
      </c>
      <c r="B340" s="33" t="s">
        <v>204</v>
      </c>
      <c r="C340" s="33">
        <v>17</v>
      </c>
      <c r="D340" s="33" t="s">
        <v>126</v>
      </c>
      <c r="E340" s="196">
        <v>0</v>
      </c>
      <c r="F340" s="195">
        <v>0</v>
      </c>
      <c r="G340" s="196">
        <v>0</v>
      </c>
      <c r="H340" s="195">
        <v>0</v>
      </c>
      <c r="I340" s="196">
        <v>0</v>
      </c>
      <c r="J340" s="195">
        <v>0</v>
      </c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  <c r="DB340" s="195"/>
      <c r="DC340" s="195"/>
      <c r="DD340" s="195"/>
      <c r="DE340" s="195"/>
      <c r="DF340" s="195"/>
      <c r="DG340" s="195"/>
      <c r="DH340" s="195"/>
      <c r="DI340" s="195"/>
      <c r="DJ340" s="195"/>
      <c r="DK340" s="195"/>
      <c r="DL340" s="195"/>
      <c r="DM340" s="195"/>
      <c r="DN340" s="195"/>
    </row>
    <row r="341" spans="1:118" s="197" customFormat="1" x14ac:dyDescent="0.25">
      <c r="A341" s="197" t="s">
        <v>140</v>
      </c>
      <c r="B341" s="197" t="s">
        <v>204</v>
      </c>
      <c r="C341" s="197">
        <v>18</v>
      </c>
      <c r="D341" s="197" t="s">
        <v>127</v>
      </c>
      <c r="E341" s="196">
        <v>0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  <c r="BP341" s="196"/>
      <c r="BQ341" s="196"/>
      <c r="BR341" s="196"/>
      <c r="BS341" s="196"/>
      <c r="BT341" s="196"/>
      <c r="BU341" s="196"/>
      <c r="BV341" s="196"/>
      <c r="BW341" s="196"/>
      <c r="BX341" s="196"/>
      <c r="BY341" s="196"/>
      <c r="BZ341" s="196"/>
      <c r="CA341" s="196"/>
      <c r="CB341" s="196"/>
      <c r="CC341" s="196"/>
      <c r="CD341" s="196"/>
      <c r="CE341" s="196"/>
      <c r="CF341" s="196"/>
      <c r="CG341" s="196"/>
      <c r="CH341" s="196"/>
      <c r="CI341" s="196"/>
      <c r="CJ341" s="196"/>
      <c r="CK341" s="196"/>
      <c r="CL341" s="196"/>
      <c r="CM341" s="196"/>
      <c r="CN341" s="196"/>
      <c r="CO341" s="196"/>
      <c r="CP341" s="196"/>
      <c r="CQ341" s="196"/>
      <c r="CR341" s="196"/>
      <c r="CS341" s="196"/>
      <c r="CT341" s="196"/>
      <c r="CU341" s="196"/>
      <c r="CV341" s="196"/>
      <c r="CW341" s="196"/>
      <c r="CX341" s="196"/>
      <c r="CY341" s="196"/>
      <c r="CZ341" s="196"/>
      <c r="DA341" s="196"/>
      <c r="DB341" s="196"/>
      <c r="DC341" s="196"/>
      <c r="DD341" s="196"/>
      <c r="DE341" s="196"/>
      <c r="DF341" s="196"/>
      <c r="DG341" s="196"/>
      <c r="DH341" s="196"/>
      <c r="DI341" s="196"/>
      <c r="DJ341" s="196"/>
      <c r="DK341" s="196"/>
      <c r="DL341" s="196"/>
      <c r="DM341" s="196"/>
      <c r="DN341" s="196"/>
    </row>
    <row r="342" spans="1:118" x14ac:dyDescent="0.25">
      <c r="A342" s="33" t="s">
        <v>140</v>
      </c>
      <c r="B342" s="33" t="s">
        <v>204</v>
      </c>
      <c r="C342" s="33">
        <v>19</v>
      </c>
      <c r="D342" s="33" t="s">
        <v>47</v>
      </c>
      <c r="E342" s="196">
        <v>0</v>
      </c>
      <c r="F342" s="195">
        <v>0</v>
      </c>
      <c r="G342" s="196">
        <v>0</v>
      </c>
      <c r="H342" s="195">
        <v>0</v>
      </c>
      <c r="I342" s="196">
        <v>0</v>
      </c>
      <c r="J342" s="195">
        <v>0</v>
      </c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  <c r="DB342" s="195"/>
      <c r="DC342" s="195"/>
      <c r="DD342" s="195"/>
      <c r="DE342" s="195"/>
      <c r="DF342" s="195"/>
      <c r="DG342" s="195"/>
      <c r="DH342" s="195"/>
      <c r="DI342" s="195"/>
      <c r="DJ342" s="195"/>
      <c r="DK342" s="195"/>
      <c r="DL342" s="195"/>
      <c r="DM342" s="195"/>
      <c r="DN342" s="195"/>
    </row>
    <row r="343" spans="1:118" x14ac:dyDescent="0.25">
      <c r="A343" s="33" t="s">
        <v>140</v>
      </c>
      <c r="B343" s="33" t="s">
        <v>204</v>
      </c>
      <c r="C343" s="33">
        <v>20</v>
      </c>
      <c r="D343" s="33" t="s">
        <v>128</v>
      </c>
      <c r="E343" s="196">
        <v>0</v>
      </c>
      <c r="F343" s="195">
        <v>0</v>
      </c>
      <c r="G343" s="196">
        <v>0</v>
      </c>
      <c r="H343" s="195">
        <v>0</v>
      </c>
      <c r="I343" s="196">
        <v>0</v>
      </c>
      <c r="J343" s="195">
        <v>0</v>
      </c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  <c r="DB343" s="195"/>
      <c r="DC343" s="195"/>
      <c r="DD343" s="195"/>
      <c r="DE343" s="195"/>
      <c r="DF343" s="195"/>
      <c r="DG343" s="195"/>
      <c r="DH343" s="195"/>
      <c r="DI343" s="195"/>
      <c r="DJ343" s="195"/>
      <c r="DK343" s="195"/>
      <c r="DL343" s="195"/>
      <c r="DM343" s="195"/>
      <c r="DN343" s="195"/>
    </row>
    <row r="344" spans="1:118" x14ac:dyDescent="0.25">
      <c r="A344" s="33" t="s">
        <v>140</v>
      </c>
      <c r="B344" s="33" t="s">
        <v>204</v>
      </c>
      <c r="C344" s="33">
        <v>21</v>
      </c>
      <c r="D344" s="33" t="s">
        <v>129</v>
      </c>
      <c r="E344" s="196">
        <v>0</v>
      </c>
      <c r="F344" s="195">
        <v>0</v>
      </c>
      <c r="G344" s="196">
        <v>0</v>
      </c>
      <c r="H344" s="195">
        <v>0</v>
      </c>
      <c r="I344" s="196">
        <v>0</v>
      </c>
      <c r="J344" s="195">
        <v>0</v>
      </c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  <c r="DB344" s="195"/>
      <c r="DC344" s="195"/>
      <c r="DD344" s="195"/>
      <c r="DE344" s="195"/>
      <c r="DF344" s="195"/>
      <c r="DG344" s="195"/>
      <c r="DH344" s="195"/>
      <c r="DI344" s="195"/>
      <c r="DJ344" s="195"/>
      <c r="DK344" s="195"/>
      <c r="DL344" s="195"/>
      <c r="DM344" s="195"/>
      <c r="DN344" s="195"/>
    </row>
    <row r="345" spans="1:118" x14ac:dyDescent="0.25">
      <c r="A345" s="33" t="s">
        <v>140</v>
      </c>
      <c r="B345" s="33" t="s">
        <v>204</v>
      </c>
      <c r="C345" s="33">
        <v>22</v>
      </c>
      <c r="D345" s="33" t="s">
        <v>130</v>
      </c>
      <c r="E345" s="196">
        <v>284649</v>
      </c>
      <c r="F345" s="195">
        <v>745495.73100000003</v>
      </c>
      <c r="G345" s="196">
        <v>529981</v>
      </c>
      <c r="H345" s="195">
        <v>1388020.2390000001</v>
      </c>
      <c r="I345" s="196">
        <v>-499980</v>
      </c>
      <c r="J345" s="195">
        <v>-1309447.6200000001</v>
      </c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  <c r="DB345" s="195"/>
      <c r="DC345" s="195"/>
      <c r="DD345" s="195"/>
      <c r="DE345" s="195"/>
      <c r="DF345" s="195"/>
      <c r="DG345" s="195"/>
      <c r="DH345" s="195"/>
      <c r="DI345" s="195"/>
      <c r="DJ345" s="195"/>
      <c r="DK345" s="195"/>
      <c r="DL345" s="195"/>
      <c r="DM345" s="195"/>
      <c r="DN345" s="195"/>
    </row>
    <row r="346" spans="1:118" x14ac:dyDescent="0.25">
      <c r="A346" s="33" t="s">
        <v>140</v>
      </c>
      <c r="B346" s="33" t="s">
        <v>204</v>
      </c>
      <c r="C346" s="33">
        <v>23</v>
      </c>
      <c r="D346" s="33" t="s">
        <v>131</v>
      </c>
      <c r="E346" s="196">
        <v>0</v>
      </c>
      <c r="F346" s="195">
        <v>0</v>
      </c>
      <c r="G346" s="196">
        <v>0</v>
      </c>
      <c r="H346" s="195">
        <v>0</v>
      </c>
      <c r="I346" s="196">
        <v>0</v>
      </c>
      <c r="J346" s="195">
        <v>0</v>
      </c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  <c r="DB346" s="195"/>
      <c r="DC346" s="195"/>
      <c r="DD346" s="195"/>
      <c r="DE346" s="195"/>
      <c r="DF346" s="195"/>
      <c r="DG346" s="195"/>
      <c r="DH346" s="195"/>
      <c r="DI346" s="195"/>
      <c r="DJ346" s="195"/>
      <c r="DK346" s="195"/>
      <c r="DL346" s="195"/>
      <c r="DM346" s="195"/>
      <c r="DN346" s="195"/>
    </row>
    <row r="347" spans="1:118" x14ac:dyDescent="0.25">
      <c r="A347" s="33" t="s">
        <v>140</v>
      </c>
      <c r="B347" s="33" t="s">
        <v>204</v>
      </c>
      <c r="C347" s="33">
        <v>24</v>
      </c>
      <c r="D347" s="33" t="s">
        <v>55</v>
      </c>
      <c r="E347" s="196">
        <v>-7934262</v>
      </c>
      <c r="F347" s="195">
        <v>-147726.75</v>
      </c>
      <c r="G347" s="196">
        <v>-758</v>
      </c>
      <c r="H347" s="195">
        <v>1.05</v>
      </c>
      <c r="I347" s="196">
        <v>0</v>
      </c>
      <c r="J347" s="195">
        <v>0</v>
      </c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  <c r="DB347" s="195"/>
      <c r="DC347" s="195"/>
      <c r="DD347" s="195"/>
      <c r="DE347" s="195"/>
      <c r="DF347" s="195"/>
      <c r="DG347" s="195"/>
      <c r="DH347" s="195"/>
      <c r="DI347" s="195"/>
      <c r="DJ347" s="195"/>
      <c r="DK347" s="195"/>
      <c r="DL347" s="195"/>
      <c r="DM347" s="195"/>
      <c r="DN347" s="195"/>
    </row>
    <row r="348" spans="1:118" x14ac:dyDescent="0.25">
      <c r="A348" s="33" t="s">
        <v>140</v>
      </c>
      <c r="B348" s="33" t="s">
        <v>204</v>
      </c>
      <c r="C348" s="33">
        <v>25</v>
      </c>
      <c r="D348" s="33" t="s">
        <v>56</v>
      </c>
      <c r="E348" s="196">
        <v>0</v>
      </c>
      <c r="F348" s="195">
        <v>-2193141.02</v>
      </c>
      <c r="G348" s="196">
        <v>0</v>
      </c>
      <c r="H348" s="195">
        <v>-697829.18</v>
      </c>
      <c r="I348" s="196">
        <v>0</v>
      </c>
      <c r="J348" s="195">
        <v>-547052.16</v>
      </c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  <c r="DB348" s="195"/>
      <c r="DC348" s="195"/>
      <c r="DD348" s="195"/>
      <c r="DE348" s="195"/>
      <c r="DF348" s="195"/>
      <c r="DG348" s="195"/>
      <c r="DH348" s="195"/>
      <c r="DI348" s="195"/>
      <c r="DJ348" s="195"/>
      <c r="DK348" s="195"/>
      <c r="DL348" s="195"/>
      <c r="DM348" s="195"/>
      <c r="DN348" s="195"/>
    </row>
    <row r="349" spans="1:118" x14ac:dyDescent="0.25">
      <c r="A349" s="33" t="s">
        <v>140</v>
      </c>
      <c r="B349" s="33" t="s">
        <v>204</v>
      </c>
      <c r="C349" s="33">
        <v>26</v>
      </c>
      <c r="D349" s="33" t="s">
        <v>132</v>
      </c>
      <c r="E349" s="196">
        <v>0</v>
      </c>
      <c r="F349" s="195">
        <v>0</v>
      </c>
      <c r="G349" s="196">
        <v>0</v>
      </c>
      <c r="H349" s="195">
        <v>0</v>
      </c>
      <c r="I349" s="196">
        <v>0</v>
      </c>
      <c r="J349" s="195">
        <v>0</v>
      </c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  <c r="DB349" s="195"/>
      <c r="DC349" s="195"/>
      <c r="DD349" s="195"/>
      <c r="DE349" s="195"/>
      <c r="DF349" s="195"/>
      <c r="DG349" s="195"/>
      <c r="DH349" s="195"/>
      <c r="DI349" s="195"/>
      <c r="DJ349" s="195"/>
      <c r="DK349" s="195"/>
      <c r="DL349" s="195"/>
      <c r="DM349" s="195"/>
      <c r="DN349" s="195"/>
    </row>
    <row r="350" spans="1:118" x14ac:dyDescent="0.25">
      <c r="A350" s="33" t="s">
        <v>140</v>
      </c>
      <c r="B350" s="33" t="s">
        <v>204</v>
      </c>
      <c r="C350" s="33">
        <v>27</v>
      </c>
      <c r="D350" s="33" t="s">
        <v>133</v>
      </c>
      <c r="E350" s="196">
        <v>0</v>
      </c>
      <c r="F350" s="195">
        <v>0</v>
      </c>
      <c r="G350" s="196">
        <v>0</v>
      </c>
      <c r="H350" s="195">
        <v>0</v>
      </c>
      <c r="I350" s="196">
        <v>0</v>
      </c>
      <c r="J350" s="195">
        <v>0</v>
      </c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  <c r="DB350" s="195"/>
      <c r="DC350" s="195"/>
      <c r="DD350" s="195"/>
      <c r="DE350" s="195"/>
      <c r="DF350" s="195"/>
      <c r="DG350" s="195"/>
      <c r="DH350" s="195"/>
      <c r="DI350" s="195"/>
      <c r="DJ350" s="195"/>
      <c r="DK350" s="195"/>
      <c r="DL350" s="195"/>
      <c r="DM350" s="195"/>
      <c r="DN350" s="195"/>
    </row>
    <row r="351" spans="1:118" x14ac:dyDescent="0.25">
      <c r="A351" s="33" t="s">
        <v>140</v>
      </c>
      <c r="B351" s="33" t="s">
        <v>204</v>
      </c>
      <c r="C351" s="33">
        <v>28</v>
      </c>
      <c r="D351" s="33" t="s">
        <v>134</v>
      </c>
      <c r="E351" s="201">
        <v>0</v>
      </c>
      <c r="F351" s="202">
        <v>0</v>
      </c>
      <c r="G351" s="201">
        <v>0</v>
      </c>
      <c r="H351" s="202">
        <v>0</v>
      </c>
      <c r="I351" s="201">
        <v>0</v>
      </c>
      <c r="J351" s="202">
        <v>0</v>
      </c>
      <c r="K351" s="202">
        <f>SUM(L639:L648)-L643-L647</f>
        <v>0</v>
      </c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  <c r="DB351" s="195"/>
      <c r="DC351" s="195"/>
      <c r="DD351" s="195"/>
      <c r="DE351" s="195"/>
      <c r="DF351" s="195"/>
      <c r="DG351" s="195"/>
      <c r="DH351" s="195"/>
      <c r="DI351" s="195"/>
      <c r="DJ351" s="195"/>
      <c r="DK351" s="195"/>
      <c r="DL351" s="195"/>
      <c r="DM351" s="195"/>
      <c r="DN351" s="195"/>
    </row>
    <row r="352" spans="1:118" x14ac:dyDescent="0.25">
      <c r="A352" s="33" t="s">
        <v>140</v>
      </c>
      <c r="B352" s="33" t="s">
        <v>204</v>
      </c>
      <c r="C352" s="33">
        <v>29</v>
      </c>
      <c r="D352" s="33" t="s">
        <v>135</v>
      </c>
      <c r="E352" s="196">
        <v>0</v>
      </c>
      <c r="F352" s="195">
        <v>0</v>
      </c>
      <c r="G352" s="196">
        <v>0</v>
      </c>
      <c r="H352" s="195">
        <v>0</v>
      </c>
      <c r="I352" s="196">
        <v>0</v>
      </c>
      <c r="J352" s="195">
        <v>0</v>
      </c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  <c r="DB352" s="195"/>
      <c r="DC352" s="195"/>
      <c r="DD352" s="195"/>
      <c r="DE352" s="195"/>
      <c r="DF352" s="195"/>
      <c r="DG352" s="195"/>
      <c r="DH352" s="195"/>
      <c r="DI352" s="195"/>
      <c r="DJ352" s="195"/>
      <c r="DK352" s="195"/>
      <c r="DL352" s="195"/>
      <c r="DM352" s="195"/>
      <c r="DN352" s="195"/>
    </row>
    <row r="353" spans="1:118" x14ac:dyDescent="0.25">
      <c r="A353" s="33" t="s">
        <v>140</v>
      </c>
      <c r="B353" s="33" t="s">
        <v>204</v>
      </c>
      <c r="C353" s="33">
        <v>30</v>
      </c>
      <c r="D353" s="33" t="s">
        <v>136</v>
      </c>
      <c r="E353" s="196">
        <v>0</v>
      </c>
      <c r="F353" s="195">
        <v>0</v>
      </c>
      <c r="G353" s="196">
        <v>0</v>
      </c>
      <c r="H353" s="195">
        <v>0</v>
      </c>
      <c r="I353" s="196">
        <v>0</v>
      </c>
      <c r="J353" s="195">
        <v>0</v>
      </c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  <c r="DB353" s="195"/>
      <c r="DC353" s="195"/>
      <c r="DD353" s="195"/>
      <c r="DE353" s="195"/>
      <c r="DF353" s="195"/>
      <c r="DG353" s="195"/>
      <c r="DH353" s="195"/>
      <c r="DI353" s="195"/>
      <c r="DJ353" s="195"/>
      <c r="DK353" s="195"/>
      <c r="DL353" s="195"/>
      <c r="DM353" s="195"/>
      <c r="DN353" s="195"/>
    </row>
    <row r="354" spans="1:118" x14ac:dyDescent="0.25">
      <c r="A354" s="33" t="s">
        <v>140</v>
      </c>
      <c r="B354" s="33" t="s">
        <v>204</v>
      </c>
      <c r="C354" s="33">
        <v>31</v>
      </c>
      <c r="D354" s="33" t="s">
        <v>137</v>
      </c>
      <c r="E354" s="196">
        <v>0</v>
      </c>
      <c r="F354" s="195">
        <v>0</v>
      </c>
      <c r="G354" s="196">
        <v>0</v>
      </c>
      <c r="H354" s="195">
        <v>0</v>
      </c>
      <c r="I354" s="196">
        <v>0</v>
      </c>
      <c r="J354" s="195">
        <v>0</v>
      </c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  <c r="DB354" s="195"/>
      <c r="DC354" s="195"/>
      <c r="DD354" s="195"/>
      <c r="DE354" s="195"/>
      <c r="DF354" s="195"/>
      <c r="DG354" s="195"/>
      <c r="DH354" s="195"/>
      <c r="DI354" s="195"/>
      <c r="DJ354" s="195"/>
      <c r="DK354" s="195"/>
      <c r="DL354" s="195"/>
      <c r="DM354" s="195"/>
      <c r="DN354" s="195"/>
    </row>
    <row r="355" spans="1:118" x14ac:dyDescent="0.25">
      <c r="A355" s="33" t="s">
        <v>140</v>
      </c>
      <c r="B355" s="33" t="s">
        <v>204</v>
      </c>
      <c r="C355" s="33">
        <v>32</v>
      </c>
      <c r="D355" s="33" t="s">
        <v>70</v>
      </c>
      <c r="E355" s="196">
        <v>0</v>
      </c>
      <c r="F355" s="195">
        <v>0</v>
      </c>
      <c r="G355" s="196">
        <v>0</v>
      </c>
      <c r="H355" s="195">
        <v>0</v>
      </c>
      <c r="I355" s="196">
        <v>0</v>
      </c>
      <c r="J355" s="195">
        <v>0</v>
      </c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  <c r="DB355" s="195"/>
      <c r="DC355" s="195"/>
      <c r="DD355" s="195"/>
      <c r="DE355" s="195"/>
      <c r="DF355" s="195"/>
      <c r="DG355" s="195"/>
      <c r="DH355" s="195"/>
      <c r="DI355" s="195"/>
      <c r="DJ355" s="195"/>
      <c r="DK355" s="195"/>
      <c r="DL355" s="195"/>
      <c r="DM355" s="195"/>
      <c r="DN355" s="195"/>
    </row>
    <row r="356" spans="1:118" x14ac:dyDescent="0.25">
      <c r="A356" s="33" t="s">
        <v>140</v>
      </c>
      <c r="B356" s="33" t="s">
        <v>204</v>
      </c>
      <c r="C356" s="33">
        <v>33</v>
      </c>
      <c r="D356" s="33" t="s">
        <v>71</v>
      </c>
      <c r="E356" s="196">
        <v>0</v>
      </c>
      <c r="F356" s="195">
        <v>0</v>
      </c>
      <c r="G356" s="196">
        <v>0</v>
      </c>
      <c r="H356" s="195">
        <v>0</v>
      </c>
      <c r="I356" s="196">
        <v>0</v>
      </c>
      <c r="J356" s="195">
        <v>0</v>
      </c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  <c r="DB356" s="195"/>
      <c r="DC356" s="195"/>
      <c r="DD356" s="195"/>
      <c r="DE356" s="195"/>
      <c r="DF356" s="195"/>
      <c r="DG356" s="195"/>
      <c r="DH356" s="195"/>
      <c r="DI356" s="195"/>
      <c r="DJ356" s="195"/>
      <c r="DK356" s="195"/>
      <c r="DL356" s="195"/>
      <c r="DM356" s="195"/>
      <c r="DN356" s="195"/>
    </row>
    <row r="357" spans="1:118" x14ac:dyDescent="0.25">
      <c r="A357" s="33" t="s">
        <v>140</v>
      </c>
      <c r="B357" s="33" t="s">
        <v>204</v>
      </c>
      <c r="C357" s="33">
        <v>34</v>
      </c>
      <c r="D357" s="33" t="s">
        <v>72</v>
      </c>
      <c r="E357" s="196">
        <v>0</v>
      </c>
      <c r="F357" s="195">
        <v>0</v>
      </c>
      <c r="G357" s="196">
        <v>0</v>
      </c>
      <c r="H357" s="195">
        <v>0</v>
      </c>
      <c r="I357" s="196">
        <v>0</v>
      </c>
      <c r="J357" s="195">
        <v>0</v>
      </c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  <c r="DB357" s="195"/>
      <c r="DC357" s="195"/>
      <c r="DD357" s="195"/>
      <c r="DE357" s="195"/>
      <c r="DF357" s="195"/>
      <c r="DG357" s="195"/>
      <c r="DH357" s="195"/>
      <c r="DI357" s="195"/>
      <c r="DJ357" s="195"/>
      <c r="DK357" s="195"/>
      <c r="DL357" s="195"/>
      <c r="DM357" s="195"/>
      <c r="DN357" s="195"/>
    </row>
    <row r="358" spans="1:118" x14ac:dyDescent="0.25">
      <c r="A358" s="33" t="s">
        <v>140</v>
      </c>
      <c r="B358" s="33" t="s">
        <v>204</v>
      </c>
      <c r="C358" s="33">
        <v>35</v>
      </c>
      <c r="D358" s="33" t="s">
        <v>73</v>
      </c>
      <c r="E358" s="196">
        <v>0</v>
      </c>
      <c r="F358" s="195">
        <v>0</v>
      </c>
      <c r="G358" s="196">
        <v>0</v>
      </c>
      <c r="H358" s="195">
        <v>0</v>
      </c>
      <c r="I358" s="196">
        <v>0</v>
      </c>
      <c r="J358" s="195">
        <v>0</v>
      </c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  <c r="DB358" s="195"/>
      <c r="DC358" s="195"/>
      <c r="DD358" s="195"/>
      <c r="DE358" s="195"/>
      <c r="DF358" s="195"/>
      <c r="DG358" s="195"/>
      <c r="DH358" s="195"/>
      <c r="DI358" s="195"/>
      <c r="DJ358" s="195"/>
      <c r="DK358" s="195"/>
      <c r="DL358" s="195"/>
      <c r="DM358" s="195"/>
      <c r="DN358" s="195"/>
    </row>
    <row r="359" spans="1:118" x14ac:dyDescent="0.25">
      <c r="A359" s="33" t="s">
        <v>140</v>
      </c>
      <c r="B359" s="33" t="s">
        <v>204</v>
      </c>
      <c r="C359" s="33">
        <v>36</v>
      </c>
      <c r="D359" s="33" t="s">
        <v>74</v>
      </c>
      <c r="E359" s="196">
        <v>0</v>
      </c>
      <c r="F359" s="195">
        <v>0</v>
      </c>
      <c r="G359" s="196">
        <v>0</v>
      </c>
      <c r="H359" s="195">
        <v>0</v>
      </c>
      <c r="I359" s="196">
        <v>0</v>
      </c>
      <c r="J359" s="195">
        <v>0</v>
      </c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  <c r="DB359" s="195"/>
      <c r="DC359" s="195"/>
      <c r="DD359" s="195"/>
      <c r="DE359" s="195"/>
      <c r="DF359" s="195"/>
      <c r="DG359" s="195"/>
      <c r="DH359" s="195"/>
      <c r="DI359" s="195"/>
      <c r="DJ359" s="195"/>
      <c r="DK359" s="195"/>
      <c r="DL359" s="195"/>
      <c r="DM359" s="195"/>
      <c r="DN359" s="195"/>
    </row>
    <row r="360" spans="1:118" x14ac:dyDescent="0.25">
      <c r="A360" s="33" t="s">
        <v>140</v>
      </c>
      <c r="B360" s="33" t="s">
        <v>204</v>
      </c>
      <c r="C360" s="33">
        <v>37</v>
      </c>
      <c r="D360" s="33" t="s">
        <v>75</v>
      </c>
      <c r="E360" s="196">
        <v>0</v>
      </c>
      <c r="F360" s="195">
        <v>0</v>
      </c>
      <c r="G360" s="196">
        <v>0</v>
      </c>
      <c r="H360" s="195">
        <v>0</v>
      </c>
      <c r="I360" s="196">
        <v>0</v>
      </c>
      <c r="J360" s="195">
        <v>0</v>
      </c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  <c r="DB360" s="195"/>
      <c r="DC360" s="195"/>
      <c r="DD360" s="195"/>
      <c r="DE360" s="195"/>
      <c r="DF360" s="195"/>
      <c r="DG360" s="195"/>
      <c r="DH360" s="195"/>
      <c r="DI360" s="195"/>
      <c r="DJ360" s="195"/>
      <c r="DK360" s="195"/>
      <c r="DL360" s="195"/>
      <c r="DM360" s="195"/>
      <c r="DN360" s="195"/>
    </row>
    <row r="361" spans="1:118" x14ac:dyDescent="0.25">
      <c r="A361" s="33" t="s">
        <v>140</v>
      </c>
      <c r="B361" s="33" t="s">
        <v>204</v>
      </c>
      <c r="C361" s="33">
        <v>38</v>
      </c>
      <c r="D361" s="33" t="s">
        <v>76</v>
      </c>
      <c r="E361" s="196">
        <v>0</v>
      </c>
      <c r="F361" s="195">
        <v>0</v>
      </c>
      <c r="G361" s="196">
        <v>0</v>
      </c>
      <c r="H361" s="195">
        <v>0</v>
      </c>
      <c r="I361" s="196">
        <v>0</v>
      </c>
      <c r="J361" s="195">
        <v>0</v>
      </c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  <c r="DB361" s="195"/>
      <c r="DC361" s="195"/>
      <c r="DD361" s="195"/>
      <c r="DE361" s="195"/>
      <c r="DF361" s="195"/>
      <c r="DG361" s="195"/>
      <c r="DH361" s="195"/>
      <c r="DI361" s="195"/>
      <c r="DJ361" s="195"/>
      <c r="DK361" s="195"/>
      <c r="DL361" s="195"/>
      <c r="DM361" s="195"/>
      <c r="DN361" s="195"/>
    </row>
    <row r="362" spans="1:118" x14ac:dyDescent="0.25">
      <c r="A362" s="33" t="s">
        <v>140</v>
      </c>
      <c r="B362" s="33" t="s">
        <v>204</v>
      </c>
      <c r="C362" s="33">
        <v>39</v>
      </c>
      <c r="D362" s="33" t="s">
        <v>77</v>
      </c>
      <c r="E362" s="196">
        <v>0</v>
      </c>
      <c r="F362" s="195">
        <v>0</v>
      </c>
      <c r="G362" s="196">
        <v>0</v>
      </c>
      <c r="H362" s="195">
        <v>0</v>
      </c>
      <c r="I362" s="196">
        <v>0</v>
      </c>
      <c r="J362" s="195">
        <v>0</v>
      </c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  <c r="DB362" s="195"/>
      <c r="DC362" s="195"/>
      <c r="DD362" s="195"/>
      <c r="DE362" s="195"/>
      <c r="DF362" s="195"/>
      <c r="DG362" s="195"/>
      <c r="DH362" s="195"/>
      <c r="DI362" s="195"/>
      <c r="DJ362" s="195"/>
      <c r="DK362" s="195"/>
      <c r="DL362" s="195"/>
      <c r="DM362" s="195"/>
      <c r="DN362" s="195"/>
    </row>
    <row r="363" spans="1:118" x14ac:dyDescent="0.25">
      <c r="A363" s="33" t="s">
        <v>140</v>
      </c>
      <c r="B363" s="33" t="s">
        <v>204</v>
      </c>
      <c r="C363" s="33">
        <v>40</v>
      </c>
      <c r="D363" s="33" t="s">
        <v>78</v>
      </c>
      <c r="E363" s="196">
        <v>0</v>
      </c>
      <c r="F363" s="195">
        <v>0</v>
      </c>
      <c r="G363" s="196">
        <v>0</v>
      </c>
      <c r="H363" s="195">
        <v>0</v>
      </c>
      <c r="I363" s="196">
        <v>0</v>
      </c>
      <c r="J363" s="195">
        <v>0</v>
      </c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  <c r="DB363" s="195"/>
      <c r="DC363" s="195"/>
      <c r="DD363" s="195"/>
      <c r="DE363" s="195"/>
      <c r="DF363" s="195"/>
      <c r="DG363" s="195"/>
      <c r="DH363" s="195"/>
      <c r="DI363" s="195"/>
      <c r="DJ363" s="195"/>
      <c r="DK363" s="195"/>
      <c r="DL363" s="195"/>
      <c r="DM363" s="195"/>
      <c r="DN363" s="195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196">
        <v>0</v>
      </c>
      <c r="F364" s="195">
        <v>0</v>
      </c>
      <c r="G364" s="196">
        <v>0</v>
      </c>
      <c r="H364" s="195">
        <v>0</v>
      </c>
      <c r="I364" s="196">
        <v>0</v>
      </c>
      <c r="J364" s="195">
        <v>0</v>
      </c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  <c r="DB364" s="195"/>
      <c r="DC364" s="195"/>
      <c r="DD364" s="195"/>
      <c r="DE364" s="195"/>
      <c r="DF364" s="195"/>
      <c r="DG364" s="195"/>
      <c r="DH364" s="195"/>
      <c r="DI364" s="195"/>
      <c r="DJ364" s="195"/>
      <c r="DK364" s="195"/>
      <c r="DL364" s="195"/>
      <c r="DM364" s="195"/>
      <c r="DN364" s="195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196">
        <v>0</v>
      </c>
      <c r="F365" s="195">
        <v>0</v>
      </c>
      <c r="G365" s="196">
        <v>0</v>
      </c>
      <c r="H365" s="195">
        <v>0</v>
      </c>
      <c r="I365" s="196">
        <v>0</v>
      </c>
      <c r="J365" s="195">
        <v>0</v>
      </c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  <c r="DB365" s="195"/>
      <c r="DC365" s="195"/>
      <c r="DD365" s="195"/>
      <c r="DE365" s="195"/>
      <c r="DF365" s="195"/>
      <c r="DG365" s="195"/>
      <c r="DH365" s="195"/>
      <c r="DI365" s="195"/>
      <c r="DJ365" s="195"/>
      <c r="DK365" s="195"/>
      <c r="DL365" s="195"/>
      <c r="DM365" s="195"/>
      <c r="DN365" s="195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196">
        <v>0</v>
      </c>
      <c r="F366" s="195">
        <v>0</v>
      </c>
      <c r="G366" s="196">
        <v>0</v>
      </c>
      <c r="H366" s="195">
        <v>0</v>
      </c>
      <c r="I366" s="196">
        <v>0</v>
      </c>
      <c r="J366" s="195">
        <v>0</v>
      </c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  <c r="DB366" s="195"/>
      <c r="DC366" s="195"/>
      <c r="DD366" s="195"/>
      <c r="DE366" s="195"/>
      <c r="DF366" s="195"/>
      <c r="DG366" s="195"/>
      <c r="DH366" s="195"/>
      <c r="DI366" s="195"/>
      <c r="DJ366" s="195"/>
      <c r="DK366" s="195"/>
      <c r="DL366" s="195"/>
      <c r="DM366" s="195"/>
      <c r="DN366" s="195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196">
        <v>0</v>
      </c>
      <c r="F367" s="195">
        <v>0</v>
      </c>
      <c r="G367" s="196">
        <v>0</v>
      </c>
      <c r="H367" s="195">
        <v>0</v>
      </c>
      <c r="I367" s="196">
        <v>0</v>
      </c>
      <c r="J367" s="195">
        <v>0</v>
      </c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  <c r="DB367" s="195"/>
      <c r="DC367" s="195"/>
      <c r="DD367" s="195"/>
      <c r="DE367" s="195"/>
      <c r="DF367" s="195"/>
      <c r="DG367" s="195"/>
      <c r="DH367" s="195"/>
      <c r="DI367" s="195"/>
      <c r="DJ367" s="195"/>
      <c r="DK367" s="195"/>
      <c r="DL367" s="195"/>
      <c r="DM367" s="195"/>
      <c r="DN367" s="195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196">
        <v>0</v>
      </c>
      <c r="F368" s="195">
        <v>0</v>
      </c>
      <c r="G368" s="196">
        <v>0</v>
      </c>
      <c r="H368" s="195">
        <v>0</v>
      </c>
      <c r="I368" s="196">
        <v>0</v>
      </c>
      <c r="J368" s="195">
        <v>0</v>
      </c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  <c r="DB368" s="195"/>
      <c r="DC368" s="195"/>
      <c r="DD368" s="195"/>
      <c r="DE368" s="195"/>
      <c r="DF368" s="195"/>
      <c r="DG368" s="195"/>
      <c r="DH368" s="195"/>
      <c r="DI368" s="195"/>
      <c r="DJ368" s="195"/>
      <c r="DK368" s="195"/>
      <c r="DL368" s="195"/>
      <c r="DM368" s="195"/>
      <c r="DN368" s="195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196">
        <v>0</v>
      </c>
      <c r="F369" s="195">
        <v>0</v>
      </c>
      <c r="G369" s="196">
        <v>0</v>
      </c>
      <c r="H369" s="195">
        <v>0</v>
      </c>
      <c r="I369" s="196">
        <v>0</v>
      </c>
      <c r="J369" s="195">
        <v>0</v>
      </c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  <c r="DB369" s="195"/>
      <c r="DC369" s="195"/>
      <c r="DD369" s="195"/>
      <c r="DE369" s="195"/>
      <c r="DF369" s="195"/>
      <c r="DG369" s="195"/>
      <c r="DH369" s="195"/>
      <c r="DI369" s="195"/>
      <c r="DJ369" s="195"/>
      <c r="DK369" s="195"/>
      <c r="DL369" s="195"/>
      <c r="DM369" s="195"/>
      <c r="DN369" s="195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196">
        <v>0</v>
      </c>
      <c r="F370" s="195">
        <v>0</v>
      </c>
      <c r="G370" s="196">
        <v>0</v>
      </c>
      <c r="H370" s="195">
        <v>0</v>
      </c>
      <c r="I370" s="196">
        <v>0</v>
      </c>
      <c r="J370" s="195">
        <v>0</v>
      </c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  <c r="DB370" s="195"/>
      <c r="DC370" s="195"/>
      <c r="DD370" s="195"/>
      <c r="DE370" s="195"/>
      <c r="DF370" s="195"/>
      <c r="DG370" s="195"/>
      <c r="DH370" s="195"/>
      <c r="DI370" s="195"/>
      <c r="DJ370" s="195"/>
      <c r="DK370" s="195"/>
      <c r="DL370" s="195"/>
      <c r="DM370" s="195"/>
      <c r="DN370" s="195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196">
        <v>0</v>
      </c>
      <c r="F371" s="195">
        <v>0</v>
      </c>
      <c r="G371" s="196">
        <v>0</v>
      </c>
      <c r="H371" s="195">
        <v>0</v>
      </c>
      <c r="I371" s="196">
        <v>0</v>
      </c>
      <c r="J371" s="195">
        <v>0</v>
      </c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  <c r="DB371" s="195"/>
      <c r="DC371" s="195"/>
      <c r="DD371" s="195"/>
      <c r="DE371" s="195"/>
      <c r="DF371" s="195"/>
      <c r="DG371" s="195"/>
      <c r="DH371" s="195"/>
      <c r="DI371" s="195"/>
      <c r="DJ371" s="195"/>
      <c r="DK371" s="195"/>
      <c r="DL371" s="195"/>
      <c r="DM371" s="195"/>
      <c r="DN371" s="195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196">
        <v>0</v>
      </c>
      <c r="F372" s="195">
        <v>0</v>
      </c>
      <c r="G372" s="196">
        <v>0</v>
      </c>
      <c r="H372" s="195">
        <v>0</v>
      </c>
      <c r="I372" s="196">
        <v>0</v>
      </c>
      <c r="J372" s="195">
        <v>0</v>
      </c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  <c r="DB372" s="195"/>
      <c r="DC372" s="195"/>
      <c r="DD372" s="195"/>
      <c r="DE372" s="195"/>
      <c r="DF372" s="195"/>
      <c r="DG372" s="195"/>
      <c r="DH372" s="195"/>
      <c r="DI372" s="195"/>
      <c r="DJ372" s="195"/>
      <c r="DK372" s="195"/>
      <c r="DL372" s="195"/>
      <c r="DM372" s="195"/>
      <c r="DN372" s="195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196">
        <v>0</v>
      </c>
      <c r="F373" s="195">
        <v>0</v>
      </c>
      <c r="G373" s="196">
        <v>0</v>
      </c>
      <c r="H373" s="195">
        <v>0</v>
      </c>
      <c r="I373" s="196">
        <v>0</v>
      </c>
      <c r="J373" s="195">
        <v>0</v>
      </c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  <c r="DB373" s="195"/>
      <c r="DC373" s="195"/>
      <c r="DD373" s="195"/>
      <c r="DE373" s="195"/>
      <c r="DF373" s="195"/>
      <c r="DG373" s="195"/>
      <c r="DH373" s="195"/>
      <c r="DI373" s="195"/>
      <c r="DJ373" s="195"/>
      <c r="DK373" s="195"/>
      <c r="DL373" s="195"/>
      <c r="DM373" s="195"/>
      <c r="DN373" s="195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196">
        <v>0</v>
      </c>
      <c r="F374" s="195">
        <v>0</v>
      </c>
      <c r="G374" s="196">
        <v>0</v>
      </c>
      <c r="H374" s="195">
        <v>0</v>
      </c>
      <c r="I374" s="196">
        <v>0</v>
      </c>
      <c r="J374" s="195">
        <v>0</v>
      </c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  <c r="DB374" s="195"/>
      <c r="DC374" s="195"/>
      <c r="DD374" s="195"/>
      <c r="DE374" s="195"/>
      <c r="DF374" s="195"/>
      <c r="DG374" s="195"/>
      <c r="DH374" s="195"/>
      <c r="DI374" s="195"/>
      <c r="DJ374" s="195"/>
      <c r="DK374" s="195"/>
      <c r="DL374" s="195"/>
      <c r="DM374" s="195"/>
      <c r="DN374" s="195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196">
        <v>0</v>
      </c>
      <c r="F375" s="195">
        <v>0</v>
      </c>
      <c r="G375" s="196">
        <v>0</v>
      </c>
      <c r="H375" s="195">
        <v>0</v>
      </c>
      <c r="I375" s="196">
        <v>0</v>
      </c>
      <c r="J375" s="195">
        <v>0</v>
      </c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  <c r="DB375" s="195"/>
      <c r="DC375" s="195"/>
      <c r="DD375" s="195"/>
      <c r="DE375" s="195"/>
      <c r="DF375" s="195"/>
      <c r="DG375" s="195"/>
      <c r="DH375" s="195"/>
      <c r="DI375" s="195"/>
      <c r="DJ375" s="195"/>
      <c r="DK375" s="195"/>
      <c r="DL375" s="195"/>
      <c r="DM375" s="195"/>
      <c r="DN375" s="195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196">
        <v>0</v>
      </c>
      <c r="F376" s="195">
        <v>0</v>
      </c>
      <c r="G376" s="196">
        <v>0</v>
      </c>
      <c r="H376" s="195">
        <v>0</v>
      </c>
      <c r="I376" s="196">
        <v>0</v>
      </c>
      <c r="J376" s="195">
        <v>0</v>
      </c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  <c r="DB376" s="195"/>
      <c r="DC376" s="195"/>
      <c r="DD376" s="195"/>
      <c r="DE376" s="195"/>
      <c r="DF376" s="195"/>
      <c r="DG376" s="195"/>
      <c r="DH376" s="195"/>
      <c r="DI376" s="195"/>
      <c r="DJ376" s="195"/>
      <c r="DK376" s="195"/>
      <c r="DL376" s="195"/>
      <c r="DM376" s="195"/>
      <c r="DN376" s="195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196">
        <v>0</v>
      </c>
      <c r="F377" s="195">
        <v>0</v>
      </c>
      <c r="G377" s="196">
        <v>0</v>
      </c>
      <c r="H377" s="195">
        <v>0</v>
      </c>
      <c r="I377" s="196">
        <v>0</v>
      </c>
      <c r="J377" s="195">
        <v>0</v>
      </c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  <c r="DB377" s="195"/>
      <c r="DC377" s="195"/>
      <c r="DD377" s="195"/>
      <c r="DE377" s="195"/>
      <c r="DF377" s="195"/>
      <c r="DG377" s="195"/>
      <c r="DH377" s="195"/>
      <c r="DI377" s="195"/>
      <c r="DJ377" s="195"/>
      <c r="DK377" s="195"/>
      <c r="DL377" s="195"/>
      <c r="DM377" s="195"/>
      <c r="DN377" s="195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196">
        <v>0</v>
      </c>
      <c r="F378" s="195">
        <v>0</v>
      </c>
      <c r="G378" s="196">
        <v>0</v>
      </c>
      <c r="H378" s="195">
        <v>0</v>
      </c>
      <c r="I378" s="196">
        <v>0</v>
      </c>
      <c r="J378" s="195">
        <v>0</v>
      </c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  <c r="DB378" s="195"/>
      <c r="DC378" s="195"/>
      <c r="DD378" s="195"/>
      <c r="DE378" s="195"/>
      <c r="DF378" s="195"/>
      <c r="DG378" s="195"/>
      <c r="DH378" s="195"/>
      <c r="DI378" s="195"/>
      <c r="DJ378" s="195"/>
      <c r="DK378" s="195"/>
      <c r="DL378" s="195"/>
      <c r="DM378" s="195"/>
      <c r="DN378" s="195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196">
        <v>0</v>
      </c>
      <c r="F379" s="195">
        <v>0</v>
      </c>
      <c r="G379" s="196">
        <v>0</v>
      </c>
      <c r="H379" s="195">
        <v>0</v>
      </c>
      <c r="I379" s="196">
        <v>0</v>
      </c>
      <c r="J379" s="195">
        <v>0</v>
      </c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  <c r="DB379" s="195"/>
      <c r="DC379" s="195"/>
      <c r="DD379" s="195"/>
      <c r="DE379" s="195"/>
      <c r="DF379" s="195"/>
      <c r="DG379" s="195"/>
      <c r="DH379" s="195"/>
      <c r="DI379" s="195"/>
      <c r="DJ379" s="195"/>
      <c r="DK379" s="195"/>
      <c r="DL379" s="195"/>
      <c r="DM379" s="195"/>
      <c r="DN379" s="195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196">
        <v>0</v>
      </c>
      <c r="F380" s="195">
        <v>0</v>
      </c>
      <c r="G380" s="196">
        <v>0</v>
      </c>
      <c r="H380" s="195">
        <v>0</v>
      </c>
      <c r="I380" s="196">
        <v>0</v>
      </c>
      <c r="J380" s="195">
        <v>0</v>
      </c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  <c r="DB380" s="195"/>
      <c r="DC380" s="195"/>
      <c r="DD380" s="195"/>
      <c r="DE380" s="195"/>
      <c r="DF380" s="195"/>
      <c r="DG380" s="195"/>
      <c r="DH380" s="195"/>
      <c r="DI380" s="195"/>
      <c r="DJ380" s="195"/>
      <c r="DK380" s="195"/>
      <c r="DL380" s="195"/>
      <c r="DM380" s="195"/>
      <c r="DN380" s="195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196">
        <v>0</v>
      </c>
      <c r="F381" s="195">
        <v>0</v>
      </c>
      <c r="G381" s="196">
        <v>0</v>
      </c>
      <c r="H381" s="195">
        <v>0</v>
      </c>
      <c r="I381" s="196">
        <v>0</v>
      </c>
      <c r="J381" s="195">
        <v>0</v>
      </c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  <c r="DB381" s="195"/>
      <c r="DC381" s="195"/>
      <c r="DD381" s="195"/>
      <c r="DE381" s="195"/>
      <c r="DF381" s="195"/>
      <c r="DG381" s="195"/>
      <c r="DH381" s="195"/>
      <c r="DI381" s="195"/>
      <c r="DJ381" s="195"/>
      <c r="DK381" s="195"/>
      <c r="DL381" s="195"/>
      <c r="DM381" s="195"/>
      <c r="DN381" s="195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196">
        <v>0</v>
      </c>
      <c r="F382" s="195">
        <v>0</v>
      </c>
      <c r="G382" s="196">
        <v>0</v>
      </c>
      <c r="H382" s="195">
        <v>0</v>
      </c>
      <c r="I382" s="196">
        <v>0</v>
      </c>
      <c r="J382" s="195">
        <v>0</v>
      </c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  <c r="DB382" s="195"/>
      <c r="DC382" s="195"/>
      <c r="DD382" s="195"/>
      <c r="DE382" s="195"/>
      <c r="DF382" s="195"/>
      <c r="DG382" s="195"/>
      <c r="DH382" s="195"/>
      <c r="DI382" s="195"/>
      <c r="DJ382" s="195"/>
      <c r="DK382" s="195"/>
      <c r="DL382" s="195"/>
      <c r="DM382" s="195"/>
      <c r="DN382" s="195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196">
        <v>0</v>
      </c>
      <c r="F383" s="195">
        <v>0</v>
      </c>
      <c r="G383" s="196">
        <v>0</v>
      </c>
      <c r="H383" s="195">
        <v>0</v>
      </c>
      <c r="I383" s="196">
        <v>0</v>
      </c>
      <c r="J383" s="195">
        <v>0</v>
      </c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  <c r="DB383" s="195"/>
      <c r="DC383" s="195"/>
      <c r="DD383" s="195"/>
      <c r="DE383" s="195"/>
      <c r="DF383" s="195"/>
      <c r="DG383" s="195"/>
      <c r="DH383" s="195"/>
      <c r="DI383" s="195"/>
      <c r="DJ383" s="195"/>
      <c r="DK383" s="195"/>
      <c r="DL383" s="195"/>
      <c r="DM383" s="195"/>
      <c r="DN383" s="195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196">
        <v>0</v>
      </c>
      <c r="F384" s="195">
        <v>0</v>
      </c>
      <c r="G384" s="196">
        <v>0</v>
      </c>
      <c r="H384" s="195">
        <v>0</v>
      </c>
      <c r="I384" s="196">
        <v>0</v>
      </c>
      <c r="J384" s="195">
        <v>0</v>
      </c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  <c r="DB384" s="195"/>
      <c r="DC384" s="195"/>
      <c r="DD384" s="195"/>
      <c r="DE384" s="195"/>
      <c r="DF384" s="195"/>
      <c r="DG384" s="195"/>
      <c r="DH384" s="195"/>
      <c r="DI384" s="195"/>
      <c r="DJ384" s="195"/>
      <c r="DK384" s="195"/>
      <c r="DL384" s="195"/>
      <c r="DM384" s="195"/>
      <c r="DN384" s="195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196">
        <v>0</v>
      </c>
      <c r="F385" s="195">
        <v>0</v>
      </c>
      <c r="G385" s="196">
        <v>0</v>
      </c>
      <c r="H385" s="195">
        <v>0</v>
      </c>
      <c r="I385" s="196">
        <v>0</v>
      </c>
      <c r="J385" s="195">
        <v>0</v>
      </c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  <c r="DB385" s="195"/>
      <c r="DC385" s="195"/>
      <c r="DD385" s="195"/>
      <c r="DE385" s="195"/>
      <c r="DF385" s="195"/>
      <c r="DG385" s="195"/>
      <c r="DH385" s="195"/>
      <c r="DI385" s="195"/>
      <c r="DJ385" s="195"/>
      <c r="DK385" s="195"/>
      <c r="DL385" s="195"/>
      <c r="DM385" s="195"/>
      <c r="DN385" s="195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196">
        <v>0</v>
      </c>
      <c r="F386" s="195">
        <v>0</v>
      </c>
      <c r="G386" s="196">
        <v>0</v>
      </c>
      <c r="H386" s="195">
        <v>0</v>
      </c>
      <c r="I386" s="196">
        <v>0</v>
      </c>
      <c r="J386" s="195">
        <v>0</v>
      </c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  <c r="DB386" s="195"/>
      <c r="DC386" s="195"/>
      <c r="DD386" s="195"/>
      <c r="DE386" s="195"/>
      <c r="DF386" s="195"/>
      <c r="DG386" s="195"/>
      <c r="DH386" s="195"/>
      <c r="DI386" s="195"/>
      <c r="DJ386" s="195"/>
      <c r="DK386" s="195"/>
      <c r="DL386" s="195"/>
      <c r="DM386" s="195"/>
      <c r="DN386" s="195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196">
        <v>0</v>
      </c>
      <c r="F387" s="195">
        <v>0</v>
      </c>
      <c r="G387" s="196">
        <v>0</v>
      </c>
      <c r="H387" s="195">
        <v>0</v>
      </c>
      <c r="I387" s="196">
        <v>0</v>
      </c>
      <c r="J387" s="195">
        <v>0</v>
      </c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  <c r="DB387" s="195"/>
      <c r="DC387" s="195"/>
      <c r="DD387" s="195"/>
      <c r="DE387" s="195"/>
      <c r="DF387" s="195"/>
      <c r="DG387" s="195"/>
      <c r="DH387" s="195"/>
      <c r="DI387" s="195"/>
      <c r="DJ387" s="195"/>
      <c r="DK387" s="195"/>
      <c r="DL387" s="195"/>
      <c r="DM387" s="195"/>
      <c r="DN387" s="195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196">
        <v>0</v>
      </c>
      <c r="F388" s="195">
        <v>0</v>
      </c>
      <c r="G388" s="196">
        <v>0</v>
      </c>
      <c r="H388" s="195">
        <v>0</v>
      </c>
      <c r="I388" s="196">
        <v>0</v>
      </c>
      <c r="J388" s="195">
        <v>0</v>
      </c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  <c r="DB388" s="195"/>
      <c r="DC388" s="195"/>
      <c r="DD388" s="195"/>
      <c r="DE388" s="195"/>
      <c r="DF388" s="195"/>
      <c r="DG388" s="195"/>
      <c r="DH388" s="195"/>
      <c r="DI388" s="195"/>
      <c r="DJ388" s="195"/>
      <c r="DK388" s="195"/>
      <c r="DL388" s="195"/>
      <c r="DM388" s="195"/>
      <c r="DN388" s="195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196">
        <v>0</v>
      </c>
      <c r="F389" s="195">
        <v>0</v>
      </c>
      <c r="G389" s="196">
        <v>0</v>
      </c>
      <c r="H389" s="195">
        <v>0</v>
      </c>
      <c r="I389" s="196">
        <v>0</v>
      </c>
      <c r="J389" s="195">
        <v>0</v>
      </c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  <c r="DB389" s="195"/>
      <c r="DC389" s="195"/>
      <c r="DD389" s="195"/>
      <c r="DE389" s="195"/>
      <c r="DF389" s="195"/>
      <c r="DG389" s="195"/>
      <c r="DH389" s="195"/>
      <c r="DI389" s="195"/>
      <c r="DJ389" s="195"/>
      <c r="DK389" s="195"/>
      <c r="DL389" s="195"/>
      <c r="DM389" s="195"/>
      <c r="DN389" s="195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196">
        <v>0</v>
      </c>
      <c r="F390" s="195">
        <v>0</v>
      </c>
      <c r="G390" s="196">
        <v>0</v>
      </c>
      <c r="H390" s="195">
        <v>0</v>
      </c>
      <c r="I390" s="196">
        <v>0</v>
      </c>
      <c r="J390" s="195">
        <v>0</v>
      </c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  <c r="DB390" s="195"/>
      <c r="DC390" s="195"/>
      <c r="DD390" s="195"/>
      <c r="DE390" s="195"/>
      <c r="DF390" s="195"/>
      <c r="DG390" s="195"/>
      <c r="DH390" s="195"/>
      <c r="DI390" s="195"/>
      <c r="DJ390" s="195"/>
      <c r="DK390" s="195"/>
      <c r="DL390" s="195"/>
      <c r="DM390" s="195"/>
      <c r="DN390" s="195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196">
        <v>0</v>
      </c>
      <c r="F391" s="195">
        <v>0</v>
      </c>
      <c r="G391" s="196">
        <v>0</v>
      </c>
      <c r="H391" s="195">
        <v>0</v>
      </c>
      <c r="I391" s="196">
        <v>0</v>
      </c>
      <c r="J391" s="195">
        <v>0</v>
      </c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  <c r="DB391" s="195"/>
      <c r="DC391" s="195"/>
      <c r="DD391" s="195"/>
      <c r="DE391" s="195"/>
      <c r="DF391" s="195"/>
      <c r="DG391" s="195"/>
      <c r="DH391" s="195"/>
      <c r="DI391" s="195"/>
      <c r="DJ391" s="195"/>
      <c r="DK391" s="195"/>
      <c r="DL391" s="195"/>
      <c r="DM391" s="195"/>
      <c r="DN391" s="195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196">
        <v>0</v>
      </c>
      <c r="F392" s="195">
        <v>0</v>
      </c>
      <c r="G392" s="196">
        <v>0</v>
      </c>
      <c r="H392" s="195">
        <v>0</v>
      </c>
      <c r="I392" s="196">
        <v>0</v>
      </c>
      <c r="J392" s="195">
        <v>0</v>
      </c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  <c r="DB392" s="195"/>
      <c r="DC392" s="195"/>
      <c r="DD392" s="195"/>
      <c r="DE392" s="195"/>
      <c r="DF392" s="195"/>
      <c r="DG392" s="195"/>
      <c r="DH392" s="195"/>
      <c r="DI392" s="195"/>
      <c r="DJ392" s="195"/>
      <c r="DK392" s="195"/>
      <c r="DL392" s="195"/>
      <c r="DM392" s="195"/>
      <c r="DN392" s="195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196">
        <v>0</v>
      </c>
      <c r="F393" s="195">
        <v>0</v>
      </c>
      <c r="G393" s="196">
        <v>0</v>
      </c>
      <c r="H393" s="195">
        <v>0</v>
      </c>
      <c r="I393" s="196">
        <v>0</v>
      </c>
      <c r="J393" s="195">
        <v>0</v>
      </c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  <c r="DB393" s="195"/>
      <c r="DC393" s="195"/>
      <c r="DD393" s="195"/>
      <c r="DE393" s="195"/>
      <c r="DF393" s="195"/>
      <c r="DG393" s="195"/>
      <c r="DH393" s="195"/>
      <c r="DI393" s="195"/>
      <c r="DJ393" s="195"/>
      <c r="DK393" s="195"/>
      <c r="DL393" s="195"/>
      <c r="DM393" s="195"/>
      <c r="DN393" s="195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196">
        <v>0</v>
      </c>
      <c r="F394" s="195">
        <v>0</v>
      </c>
      <c r="G394" s="196">
        <v>0</v>
      </c>
      <c r="H394" s="195">
        <v>0</v>
      </c>
      <c r="I394" s="196">
        <v>0</v>
      </c>
      <c r="J394" s="195">
        <v>0</v>
      </c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  <c r="DB394" s="195"/>
      <c r="DC394" s="195"/>
      <c r="DD394" s="195"/>
      <c r="DE394" s="195"/>
      <c r="DF394" s="195"/>
      <c r="DG394" s="195"/>
      <c r="DH394" s="195"/>
      <c r="DI394" s="195"/>
      <c r="DJ394" s="195"/>
      <c r="DK394" s="195"/>
      <c r="DL394" s="195"/>
      <c r="DM394" s="195"/>
      <c r="DN394" s="195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196">
        <v>0</v>
      </c>
      <c r="F395" s="195">
        <v>0</v>
      </c>
      <c r="G395" s="196">
        <v>0</v>
      </c>
      <c r="H395" s="195">
        <v>0</v>
      </c>
      <c r="I395" s="196">
        <v>0</v>
      </c>
      <c r="J395" s="195">
        <v>0</v>
      </c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  <c r="DB395" s="195"/>
      <c r="DC395" s="195"/>
      <c r="DD395" s="195"/>
      <c r="DE395" s="195"/>
      <c r="DF395" s="195"/>
      <c r="DG395" s="195"/>
      <c r="DH395" s="195"/>
      <c r="DI395" s="195"/>
      <c r="DJ395" s="195"/>
      <c r="DK395" s="195"/>
      <c r="DL395" s="195"/>
      <c r="DM395" s="195"/>
      <c r="DN395" s="195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196">
        <v>0</v>
      </c>
      <c r="F396" s="195">
        <v>0</v>
      </c>
      <c r="G396" s="196">
        <v>0</v>
      </c>
      <c r="H396" s="195">
        <v>0</v>
      </c>
      <c r="I396" s="196">
        <v>0</v>
      </c>
      <c r="J396" s="195">
        <v>0</v>
      </c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  <c r="DB396" s="195"/>
      <c r="DC396" s="195"/>
      <c r="DD396" s="195"/>
      <c r="DE396" s="195"/>
      <c r="DF396" s="195"/>
      <c r="DG396" s="195"/>
      <c r="DH396" s="195"/>
      <c r="DI396" s="195"/>
      <c r="DJ396" s="195"/>
      <c r="DK396" s="195"/>
      <c r="DL396" s="195"/>
      <c r="DM396" s="195"/>
      <c r="DN396" s="195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196">
        <v>0</v>
      </c>
      <c r="F397" s="195">
        <v>0</v>
      </c>
      <c r="G397" s="196">
        <v>0</v>
      </c>
      <c r="H397" s="195">
        <v>0</v>
      </c>
      <c r="I397" s="196">
        <v>0</v>
      </c>
      <c r="J397" s="195">
        <v>0</v>
      </c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  <c r="DB397" s="195"/>
      <c r="DC397" s="195"/>
      <c r="DD397" s="195"/>
      <c r="DE397" s="195"/>
      <c r="DF397" s="195"/>
      <c r="DG397" s="195"/>
      <c r="DH397" s="195"/>
      <c r="DI397" s="195"/>
      <c r="DJ397" s="195"/>
      <c r="DK397" s="195"/>
      <c r="DL397" s="195"/>
      <c r="DM397" s="195"/>
      <c r="DN397" s="195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196">
        <v>0</v>
      </c>
      <c r="F398" s="195">
        <v>0</v>
      </c>
      <c r="G398" s="196">
        <v>0</v>
      </c>
      <c r="H398" s="195">
        <v>0</v>
      </c>
      <c r="I398" s="196">
        <v>0</v>
      </c>
      <c r="J398" s="195">
        <v>0</v>
      </c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  <c r="DB398" s="195"/>
      <c r="DC398" s="195"/>
      <c r="DD398" s="195"/>
      <c r="DE398" s="195"/>
      <c r="DF398" s="195"/>
      <c r="DG398" s="195"/>
      <c r="DH398" s="195"/>
      <c r="DI398" s="195"/>
      <c r="DJ398" s="195"/>
      <c r="DK398" s="195"/>
      <c r="DL398" s="195"/>
      <c r="DM398" s="195"/>
      <c r="DN398" s="195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196">
        <v>0</v>
      </c>
      <c r="F399" s="195">
        <v>0</v>
      </c>
      <c r="G399" s="196">
        <v>0</v>
      </c>
      <c r="H399" s="195">
        <v>0</v>
      </c>
      <c r="I399" s="196">
        <v>0</v>
      </c>
      <c r="J399" s="195">
        <v>0</v>
      </c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  <c r="DB399" s="195"/>
      <c r="DC399" s="195"/>
      <c r="DD399" s="195"/>
      <c r="DE399" s="195"/>
      <c r="DF399" s="195"/>
      <c r="DG399" s="195"/>
      <c r="DH399" s="195"/>
      <c r="DI399" s="195"/>
      <c r="DJ399" s="195"/>
      <c r="DK399" s="195"/>
      <c r="DL399" s="195"/>
      <c r="DM399" s="195"/>
      <c r="DN399" s="195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196">
        <v>0</v>
      </c>
      <c r="F400" s="195">
        <v>0</v>
      </c>
      <c r="G400" s="196">
        <v>0</v>
      </c>
      <c r="H400" s="195">
        <v>0</v>
      </c>
      <c r="I400" s="196">
        <v>0</v>
      </c>
      <c r="J400" s="195">
        <v>0</v>
      </c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  <c r="DB400" s="195"/>
      <c r="DC400" s="195"/>
      <c r="DD400" s="195"/>
      <c r="DE400" s="195"/>
      <c r="DF400" s="195"/>
      <c r="DG400" s="195"/>
      <c r="DH400" s="195"/>
      <c r="DI400" s="195"/>
      <c r="DJ400" s="195"/>
      <c r="DK400" s="195"/>
      <c r="DL400" s="195"/>
      <c r="DM400" s="195"/>
      <c r="DN400" s="195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196">
        <v>0</v>
      </c>
      <c r="F401" s="195">
        <v>0</v>
      </c>
      <c r="G401" s="196">
        <v>0</v>
      </c>
      <c r="H401" s="195">
        <v>0</v>
      </c>
      <c r="I401" s="196">
        <v>0</v>
      </c>
      <c r="J401" s="195">
        <v>0</v>
      </c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  <c r="DB401" s="195"/>
      <c r="DC401" s="195"/>
      <c r="DD401" s="195"/>
      <c r="DE401" s="195"/>
      <c r="DF401" s="195"/>
      <c r="DG401" s="195"/>
      <c r="DH401" s="195"/>
      <c r="DI401" s="195"/>
      <c r="DJ401" s="195"/>
      <c r="DK401" s="195"/>
      <c r="DL401" s="195"/>
      <c r="DM401" s="195"/>
      <c r="DN401" s="195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196">
        <v>0</v>
      </c>
      <c r="F402" s="195">
        <v>0</v>
      </c>
      <c r="G402" s="196">
        <v>0</v>
      </c>
      <c r="H402" s="195">
        <v>0</v>
      </c>
      <c r="I402" s="196">
        <v>0</v>
      </c>
      <c r="J402" s="195">
        <v>0</v>
      </c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  <c r="DB402" s="195"/>
      <c r="DC402" s="195"/>
      <c r="DD402" s="195"/>
      <c r="DE402" s="195"/>
      <c r="DF402" s="195"/>
      <c r="DG402" s="195"/>
      <c r="DH402" s="195"/>
      <c r="DI402" s="195"/>
      <c r="DJ402" s="195"/>
      <c r="DK402" s="195"/>
      <c r="DL402" s="195"/>
      <c r="DM402" s="195"/>
      <c r="DN402" s="195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196">
        <v>0</v>
      </c>
      <c r="F403" s="195">
        <v>0</v>
      </c>
      <c r="G403" s="196">
        <v>0</v>
      </c>
      <c r="H403" s="195">
        <v>0</v>
      </c>
      <c r="I403" s="196">
        <v>0</v>
      </c>
      <c r="J403" s="195">
        <v>0</v>
      </c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  <c r="DB403" s="195"/>
      <c r="DC403" s="195"/>
      <c r="DD403" s="195"/>
      <c r="DE403" s="195"/>
      <c r="DF403" s="195"/>
      <c r="DG403" s="195"/>
      <c r="DH403" s="195"/>
      <c r="DI403" s="195"/>
      <c r="DJ403" s="195"/>
      <c r="DK403" s="195"/>
      <c r="DL403" s="195"/>
      <c r="DM403" s="195"/>
      <c r="DN403" s="195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196">
        <v>5709814</v>
      </c>
      <c r="F404" s="195">
        <v>19378552.57</v>
      </c>
      <c r="G404" s="196">
        <v>-805</v>
      </c>
      <c r="H404" s="195">
        <v>-3269253.79</v>
      </c>
      <c r="I404" s="196">
        <v>0</v>
      </c>
      <c r="J404" s="195">
        <v>0</v>
      </c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  <c r="DB404" s="195"/>
      <c r="DC404" s="195"/>
      <c r="DD404" s="195"/>
      <c r="DE404" s="195"/>
      <c r="DF404" s="195"/>
      <c r="DG404" s="195"/>
      <c r="DH404" s="195"/>
      <c r="DI404" s="195"/>
      <c r="DJ404" s="195"/>
      <c r="DK404" s="195"/>
      <c r="DL404" s="195"/>
      <c r="DM404" s="195"/>
      <c r="DN404" s="195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196">
        <v>0</v>
      </c>
      <c r="F405" s="195">
        <v>0</v>
      </c>
      <c r="G405" s="196">
        <v>0</v>
      </c>
      <c r="H405" s="195">
        <v>0</v>
      </c>
      <c r="I405" s="196">
        <v>0</v>
      </c>
      <c r="J405" s="195">
        <v>0</v>
      </c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  <c r="DB405" s="195"/>
      <c r="DC405" s="195"/>
      <c r="DD405" s="195"/>
      <c r="DE405" s="195"/>
      <c r="DF405" s="195"/>
      <c r="DG405" s="195"/>
      <c r="DH405" s="195"/>
      <c r="DI405" s="195"/>
      <c r="DJ405" s="195"/>
      <c r="DK405" s="195"/>
      <c r="DL405" s="195"/>
      <c r="DM405" s="195"/>
      <c r="DN405" s="195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196">
        <v>4527333</v>
      </c>
      <c r="F406" s="195">
        <v>12032946</v>
      </c>
      <c r="G406" s="196">
        <v>-4155698</v>
      </c>
      <c r="H406" s="195">
        <v>-10975725</v>
      </c>
      <c r="I406" s="196">
        <v>0</v>
      </c>
      <c r="J406" s="195">
        <v>0</v>
      </c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196">
        <v>0</v>
      </c>
      <c r="F407" s="195">
        <v>0</v>
      </c>
      <c r="G407" s="196">
        <v>0</v>
      </c>
      <c r="H407" s="195">
        <v>0</v>
      </c>
      <c r="I407" s="196">
        <v>0</v>
      </c>
      <c r="J407" s="195">
        <v>0</v>
      </c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  <c r="DB407" s="195"/>
      <c r="DC407" s="195"/>
      <c r="DD407" s="195"/>
      <c r="DE407" s="195"/>
      <c r="DF407" s="195"/>
      <c r="DG407" s="195"/>
      <c r="DH407" s="195"/>
      <c r="DI407" s="195"/>
      <c r="DJ407" s="195"/>
      <c r="DK407" s="195"/>
      <c r="DL407" s="195"/>
      <c r="DM407" s="195"/>
      <c r="DN407" s="195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196">
        <v>0</v>
      </c>
      <c r="F408" s="195">
        <v>0</v>
      </c>
      <c r="G408" s="196">
        <v>0</v>
      </c>
      <c r="H408" s="195">
        <v>0</v>
      </c>
      <c r="I408" s="196">
        <v>0</v>
      </c>
      <c r="J408" s="195">
        <v>0</v>
      </c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  <c r="DB408" s="195"/>
      <c r="DC408" s="195"/>
      <c r="DD408" s="195"/>
      <c r="DE408" s="195"/>
      <c r="DF408" s="195"/>
      <c r="DG408" s="195"/>
      <c r="DH408" s="195"/>
      <c r="DI408" s="195"/>
      <c r="DJ408" s="195"/>
      <c r="DK408" s="195"/>
      <c r="DL408" s="195"/>
      <c r="DM408" s="195"/>
      <c r="DN408" s="195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196">
        <v>-953683</v>
      </c>
      <c r="F409" s="195">
        <v>-3328698.97</v>
      </c>
      <c r="G409" s="196">
        <v>-51927</v>
      </c>
      <c r="H409" s="195">
        <v>206199.02</v>
      </c>
      <c r="I409" s="196">
        <v>0</v>
      </c>
      <c r="J409" s="195">
        <v>0</v>
      </c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  <c r="DB409" s="195"/>
      <c r="DC409" s="195"/>
      <c r="DD409" s="195"/>
      <c r="DE409" s="195"/>
      <c r="DF409" s="195"/>
      <c r="DG409" s="195"/>
      <c r="DH409" s="195"/>
      <c r="DI409" s="195"/>
      <c r="DJ409" s="195"/>
      <c r="DK409" s="195"/>
      <c r="DL409" s="195"/>
      <c r="DM409" s="195"/>
      <c r="DN409" s="195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196">
        <v>0</v>
      </c>
      <c r="F410" s="195">
        <v>0</v>
      </c>
      <c r="G410" s="196">
        <v>0</v>
      </c>
      <c r="H410" s="195">
        <v>0</v>
      </c>
      <c r="I410" s="196">
        <v>0</v>
      </c>
      <c r="J410" s="195">
        <v>0</v>
      </c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  <c r="DB410" s="195"/>
      <c r="DC410" s="195"/>
      <c r="DD410" s="195"/>
      <c r="DE410" s="195"/>
      <c r="DF410" s="195"/>
      <c r="DG410" s="195"/>
      <c r="DH410" s="195"/>
      <c r="DI410" s="195"/>
      <c r="DJ410" s="195"/>
      <c r="DK410" s="195"/>
      <c r="DL410" s="195"/>
      <c r="DM410" s="195"/>
      <c r="DN410" s="195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196">
        <v>-9553121</v>
      </c>
      <c r="F411" s="195">
        <v>-25028042</v>
      </c>
      <c r="G411" s="196">
        <v>7025667</v>
      </c>
      <c r="H411" s="195">
        <v>18404854</v>
      </c>
      <c r="I411" s="196">
        <v>-10672</v>
      </c>
      <c r="J411" s="195">
        <v>-27703</v>
      </c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  <c r="DB411" s="195"/>
      <c r="DC411" s="195"/>
      <c r="DD411" s="195"/>
      <c r="DE411" s="195"/>
      <c r="DF411" s="195"/>
      <c r="DG411" s="195"/>
      <c r="DH411" s="195"/>
      <c r="DI411" s="195"/>
      <c r="DJ411" s="195"/>
      <c r="DK411" s="195"/>
      <c r="DL411" s="195"/>
      <c r="DM411" s="195"/>
      <c r="DN411" s="195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196">
        <v>0</v>
      </c>
      <c r="F412" s="195">
        <v>0</v>
      </c>
      <c r="G412" s="196">
        <v>0</v>
      </c>
      <c r="H412" s="195">
        <v>0</v>
      </c>
      <c r="I412" s="196">
        <v>0</v>
      </c>
      <c r="J412" s="195">
        <v>0</v>
      </c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  <c r="DB412" s="195"/>
      <c r="DC412" s="195"/>
      <c r="DD412" s="195"/>
      <c r="DE412" s="195"/>
      <c r="DF412" s="195"/>
      <c r="DG412" s="195"/>
      <c r="DH412" s="195"/>
      <c r="DI412" s="195"/>
      <c r="DJ412" s="195"/>
      <c r="DK412" s="195"/>
      <c r="DL412" s="195"/>
      <c r="DM412" s="195"/>
      <c r="DN412" s="195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196">
        <v>0</v>
      </c>
      <c r="F413" s="195">
        <v>0</v>
      </c>
      <c r="G413" s="196">
        <v>0</v>
      </c>
      <c r="H413" s="195">
        <v>0</v>
      </c>
      <c r="I413" s="196">
        <v>0</v>
      </c>
      <c r="J413" s="195">
        <v>0</v>
      </c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  <c r="DB413" s="195"/>
      <c r="DC413" s="195"/>
      <c r="DD413" s="195"/>
      <c r="DE413" s="195"/>
      <c r="DF413" s="195"/>
      <c r="DG413" s="195"/>
      <c r="DH413" s="195"/>
      <c r="DI413" s="195"/>
      <c r="DJ413" s="195"/>
      <c r="DK413" s="195"/>
      <c r="DL413" s="195"/>
      <c r="DM413" s="195"/>
      <c r="DN413" s="195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196">
        <v>0</v>
      </c>
      <c r="F414" s="195">
        <v>0</v>
      </c>
      <c r="G414" s="196">
        <v>0</v>
      </c>
      <c r="H414" s="195">
        <v>0</v>
      </c>
      <c r="I414" s="196">
        <v>0</v>
      </c>
      <c r="J414" s="195">
        <v>0</v>
      </c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  <c r="DB414" s="195"/>
      <c r="DC414" s="195"/>
      <c r="DD414" s="195"/>
      <c r="DE414" s="195"/>
      <c r="DF414" s="195"/>
      <c r="DG414" s="195"/>
      <c r="DH414" s="195"/>
      <c r="DI414" s="195"/>
      <c r="DJ414" s="195"/>
      <c r="DK414" s="195"/>
      <c r="DL414" s="195"/>
      <c r="DM414" s="195"/>
      <c r="DN414" s="195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196">
        <v>0</v>
      </c>
      <c r="F415" s="195">
        <v>0</v>
      </c>
      <c r="G415" s="196">
        <v>0</v>
      </c>
      <c r="H415" s="195">
        <v>0</v>
      </c>
      <c r="I415" s="196">
        <v>0</v>
      </c>
      <c r="J415" s="195">
        <v>0</v>
      </c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  <c r="DB415" s="195"/>
      <c r="DC415" s="195"/>
      <c r="DD415" s="195"/>
      <c r="DE415" s="195"/>
      <c r="DF415" s="195"/>
      <c r="DG415" s="195"/>
      <c r="DH415" s="195"/>
      <c r="DI415" s="195"/>
      <c r="DJ415" s="195"/>
      <c r="DK415" s="195"/>
      <c r="DL415" s="195"/>
      <c r="DM415" s="195"/>
      <c r="DN415" s="195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196">
        <v>0</v>
      </c>
      <c r="F416" s="195">
        <v>0</v>
      </c>
      <c r="G416" s="196">
        <v>0</v>
      </c>
      <c r="H416" s="195">
        <v>0</v>
      </c>
      <c r="I416" s="196">
        <v>0</v>
      </c>
      <c r="J416" s="195">
        <v>0</v>
      </c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  <c r="DB416" s="195"/>
      <c r="DC416" s="195"/>
      <c r="DD416" s="195"/>
      <c r="DE416" s="195"/>
      <c r="DF416" s="195"/>
      <c r="DG416" s="195"/>
      <c r="DH416" s="195"/>
      <c r="DI416" s="195"/>
      <c r="DJ416" s="195"/>
      <c r="DK416" s="195"/>
      <c r="DL416" s="195"/>
      <c r="DM416" s="195"/>
      <c r="DN416" s="195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196">
        <v>0</v>
      </c>
      <c r="F417" s="195">
        <v>0</v>
      </c>
      <c r="G417" s="196">
        <v>0</v>
      </c>
      <c r="H417" s="195">
        <v>0</v>
      </c>
      <c r="I417" s="196">
        <v>0</v>
      </c>
      <c r="J417" s="195">
        <v>0</v>
      </c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  <c r="DB417" s="195"/>
      <c r="DC417" s="195"/>
      <c r="DD417" s="195"/>
      <c r="DE417" s="195"/>
      <c r="DF417" s="195"/>
      <c r="DG417" s="195"/>
      <c r="DH417" s="195"/>
      <c r="DI417" s="195"/>
      <c r="DJ417" s="195"/>
      <c r="DK417" s="195"/>
      <c r="DL417" s="195"/>
      <c r="DM417" s="195"/>
      <c r="DN417" s="195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196">
        <v>0</v>
      </c>
      <c r="F418" s="195">
        <v>0</v>
      </c>
      <c r="G418" s="196">
        <v>0</v>
      </c>
      <c r="H418" s="195">
        <v>0</v>
      </c>
      <c r="I418" s="196">
        <v>0</v>
      </c>
      <c r="J418" s="195">
        <v>0</v>
      </c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  <c r="DB418" s="195"/>
      <c r="DC418" s="195"/>
      <c r="DD418" s="195"/>
      <c r="DE418" s="195"/>
      <c r="DF418" s="195"/>
      <c r="DG418" s="195"/>
      <c r="DH418" s="195"/>
      <c r="DI418" s="195"/>
      <c r="DJ418" s="195"/>
      <c r="DK418" s="195"/>
      <c r="DL418" s="195"/>
      <c r="DM418" s="195"/>
      <c r="DN418" s="195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196">
        <v>0</v>
      </c>
      <c r="F419" s="195">
        <v>0</v>
      </c>
      <c r="G419" s="196">
        <v>0</v>
      </c>
      <c r="H419" s="195">
        <v>0</v>
      </c>
      <c r="I419" s="196">
        <v>0</v>
      </c>
      <c r="J419" s="195">
        <v>0</v>
      </c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  <c r="DB419" s="195"/>
      <c r="DC419" s="195"/>
      <c r="DD419" s="195"/>
      <c r="DE419" s="195"/>
      <c r="DF419" s="195"/>
      <c r="DG419" s="195"/>
      <c r="DH419" s="195"/>
      <c r="DI419" s="195"/>
      <c r="DJ419" s="195"/>
      <c r="DK419" s="195"/>
      <c r="DL419" s="195"/>
      <c r="DM419" s="195"/>
      <c r="DN419" s="195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196">
        <v>0</v>
      </c>
      <c r="F420" s="195">
        <v>0</v>
      </c>
      <c r="G420" s="196">
        <v>0</v>
      </c>
      <c r="H420" s="195">
        <v>0</v>
      </c>
      <c r="I420" s="196">
        <v>0</v>
      </c>
      <c r="J420" s="195">
        <v>0</v>
      </c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  <c r="DB420" s="195"/>
      <c r="DC420" s="195"/>
      <c r="DD420" s="195"/>
      <c r="DE420" s="195"/>
      <c r="DF420" s="195"/>
      <c r="DG420" s="195"/>
      <c r="DH420" s="195"/>
      <c r="DI420" s="195"/>
      <c r="DJ420" s="195"/>
      <c r="DK420" s="195"/>
      <c r="DL420" s="195"/>
      <c r="DM420" s="195"/>
      <c r="DN420" s="195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196">
        <v>0</v>
      </c>
      <c r="F421" s="195">
        <v>0</v>
      </c>
      <c r="G421" s="196">
        <v>0</v>
      </c>
      <c r="H421" s="195">
        <v>0</v>
      </c>
      <c r="I421" s="196">
        <v>0</v>
      </c>
      <c r="J421" s="195">
        <v>0</v>
      </c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  <c r="DB421" s="195"/>
      <c r="DC421" s="195"/>
      <c r="DD421" s="195"/>
      <c r="DE421" s="195"/>
      <c r="DF421" s="195"/>
      <c r="DG421" s="195"/>
      <c r="DH421" s="195"/>
      <c r="DI421" s="195"/>
      <c r="DJ421" s="195"/>
      <c r="DK421" s="195"/>
      <c r="DL421" s="195"/>
      <c r="DM421" s="195"/>
      <c r="DN421" s="195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196">
        <v>0</v>
      </c>
      <c r="F422" s="195">
        <v>0</v>
      </c>
      <c r="G422" s="196">
        <v>0</v>
      </c>
      <c r="H422" s="195">
        <v>0</v>
      </c>
      <c r="I422" s="196">
        <v>0</v>
      </c>
      <c r="J422" s="195">
        <v>0</v>
      </c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  <c r="DB422" s="195"/>
      <c r="DC422" s="195"/>
      <c r="DD422" s="195"/>
      <c r="DE422" s="195"/>
      <c r="DF422" s="195"/>
      <c r="DG422" s="195"/>
      <c r="DH422" s="195"/>
      <c r="DI422" s="195"/>
      <c r="DJ422" s="195"/>
      <c r="DK422" s="195"/>
      <c r="DL422" s="195"/>
      <c r="DM422" s="195"/>
      <c r="DN422" s="195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196">
        <v>0</v>
      </c>
      <c r="F423" s="195">
        <v>0</v>
      </c>
      <c r="G423" s="196">
        <v>0</v>
      </c>
      <c r="H423" s="195">
        <v>0</v>
      </c>
      <c r="I423" s="196">
        <v>0</v>
      </c>
      <c r="J423" s="195">
        <v>0</v>
      </c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  <c r="DB423" s="195"/>
      <c r="DC423" s="195"/>
      <c r="DD423" s="195"/>
      <c r="DE423" s="195"/>
      <c r="DF423" s="195"/>
      <c r="DG423" s="195"/>
      <c r="DH423" s="195"/>
      <c r="DI423" s="195"/>
      <c r="DJ423" s="195"/>
      <c r="DK423" s="195"/>
      <c r="DL423" s="195"/>
      <c r="DM423" s="195"/>
      <c r="DN423" s="195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196">
        <v>0</v>
      </c>
      <c r="F424" s="195">
        <v>0</v>
      </c>
      <c r="G424" s="196">
        <v>0</v>
      </c>
      <c r="H424" s="195">
        <v>0</v>
      </c>
      <c r="I424" s="196">
        <v>0</v>
      </c>
      <c r="J424" s="195">
        <v>0</v>
      </c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  <c r="DB424" s="195"/>
      <c r="DC424" s="195"/>
      <c r="DD424" s="195"/>
      <c r="DE424" s="195"/>
      <c r="DF424" s="195"/>
      <c r="DG424" s="195"/>
      <c r="DH424" s="195"/>
      <c r="DI424" s="195"/>
      <c r="DJ424" s="195"/>
      <c r="DK424" s="195"/>
      <c r="DL424" s="195"/>
      <c r="DM424" s="195"/>
      <c r="DN424" s="195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196">
        <v>269657</v>
      </c>
      <c r="F425" s="195">
        <v>686007.40800000005</v>
      </c>
      <c r="G425" s="196">
        <v>-2817237</v>
      </c>
      <c r="H425" s="195">
        <v>-7167050.9279999994</v>
      </c>
      <c r="I425" s="196">
        <v>10672</v>
      </c>
      <c r="J425" s="195">
        <v>27149.567999999999</v>
      </c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  <c r="DB425" s="195"/>
      <c r="DC425" s="195"/>
      <c r="DD425" s="195"/>
      <c r="DE425" s="195"/>
      <c r="DF425" s="195"/>
      <c r="DG425" s="195"/>
      <c r="DH425" s="195"/>
      <c r="DI425" s="195"/>
      <c r="DJ425" s="195"/>
      <c r="DK425" s="195"/>
      <c r="DL425" s="195"/>
      <c r="DM425" s="195"/>
      <c r="DN425" s="195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196">
        <v>0</v>
      </c>
      <c r="F426" s="195">
        <v>0</v>
      </c>
      <c r="G426" s="196">
        <v>0</v>
      </c>
      <c r="H426" s="195">
        <v>0</v>
      </c>
      <c r="I426" s="196">
        <v>0</v>
      </c>
      <c r="J426" s="195">
        <v>0</v>
      </c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  <c r="DB426" s="195"/>
      <c r="DC426" s="195"/>
      <c r="DD426" s="195"/>
      <c r="DE426" s="195"/>
      <c r="DF426" s="195"/>
      <c r="DG426" s="195"/>
      <c r="DH426" s="195"/>
      <c r="DI426" s="195"/>
      <c r="DJ426" s="195"/>
      <c r="DK426" s="195"/>
      <c r="DL426" s="195"/>
      <c r="DM426" s="195"/>
      <c r="DN426" s="195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196">
        <v>0</v>
      </c>
      <c r="F427" s="195">
        <v>0</v>
      </c>
      <c r="G427" s="196">
        <v>0</v>
      </c>
      <c r="H427" s="195">
        <v>0</v>
      </c>
      <c r="I427" s="196">
        <v>0</v>
      </c>
      <c r="J427" s="195">
        <v>0</v>
      </c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  <c r="DB427" s="195"/>
      <c r="DC427" s="195"/>
      <c r="DD427" s="195"/>
      <c r="DE427" s="195"/>
      <c r="DF427" s="195"/>
      <c r="DG427" s="195"/>
      <c r="DH427" s="195"/>
      <c r="DI427" s="195"/>
      <c r="DJ427" s="195"/>
      <c r="DK427" s="195"/>
      <c r="DL427" s="195"/>
      <c r="DM427" s="195"/>
      <c r="DN427" s="195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196">
        <v>0</v>
      </c>
      <c r="F428" s="195">
        <v>0</v>
      </c>
      <c r="G428" s="196">
        <v>0</v>
      </c>
      <c r="H428" s="195">
        <v>0</v>
      </c>
      <c r="I428" s="196">
        <v>0</v>
      </c>
      <c r="J428" s="195">
        <v>0</v>
      </c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  <c r="DB428" s="195"/>
      <c r="DC428" s="195"/>
      <c r="DD428" s="195"/>
      <c r="DE428" s="195"/>
      <c r="DF428" s="195"/>
      <c r="DG428" s="195"/>
      <c r="DH428" s="195"/>
      <c r="DI428" s="195"/>
      <c r="DJ428" s="195"/>
      <c r="DK428" s="195"/>
      <c r="DL428" s="195"/>
      <c r="DM428" s="195"/>
      <c r="DN428" s="195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196">
        <v>0</v>
      </c>
      <c r="F429" s="195">
        <v>0</v>
      </c>
      <c r="G429" s="196">
        <v>0</v>
      </c>
      <c r="H429" s="195">
        <v>0</v>
      </c>
      <c r="I429" s="196">
        <v>0</v>
      </c>
      <c r="J429" s="195">
        <v>0</v>
      </c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  <c r="DB429" s="195"/>
      <c r="DC429" s="195"/>
      <c r="DD429" s="195"/>
      <c r="DE429" s="195"/>
      <c r="DF429" s="195"/>
      <c r="DG429" s="195"/>
      <c r="DH429" s="195"/>
      <c r="DI429" s="195"/>
      <c r="DJ429" s="195"/>
      <c r="DK429" s="195"/>
      <c r="DL429" s="195"/>
      <c r="DM429" s="195"/>
      <c r="DN429" s="195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196">
        <v>0</v>
      </c>
      <c r="F430" s="195">
        <v>0</v>
      </c>
      <c r="G430" s="196">
        <v>0</v>
      </c>
      <c r="H430" s="195">
        <v>0</v>
      </c>
      <c r="I430" s="196">
        <v>0</v>
      </c>
      <c r="J430" s="195">
        <v>0</v>
      </c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  <c r="DB430" s="195"/>
      <c r="DC430" s="195"/>
      <c r="DD430" s="195"/>
      <c r="DE430" s="195"/>
      <c r="DF430" s="195"/>
      <c r="DG430" s="195"/>
      <c r="DH430" s="195"/>
      <c r="DI430" s="195"/>
      <c r="DJ430" s="195"/>
      <c r="DK430" s="195"/>
      <c r="DL430" s="195"/>
      <c r="DM430" s="195"/>
      <c r="DN430" s="195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196">
        <v>0</v>
      </c>
      <c r="F431" s="195">
        <v>0</v>
      </c>
      <c r="G431" s="196">
        <v>0</v>
      </c>
      <c r="H431" s="195">
        <v>0</v>
      </c>
      <c r="I431" s="196">
        <v>0</v>
      </c>
      <c r="J431" s="195">
        <v>0</v>
      </c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  <c r="DB431" s="195"/>
      <c r="DC431" s="195"/>
      <c r="DD431" s="195"/>
      <c r="DE431" s="195"/>
      <c r="DF431" s="195"/>
      <c r="DG431" s="195"/>
      <c r="DH431" s="195"/>
      <c r="DI431" s="195"/>
      <c r="DJ431" s="195"/>
      <c r="DK431" s="195"/>
      <c r="DL431" s="195"/>
      <c r="DM431" s="195"/>
      <c r="DN431" s="195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196">
        <v>0</v>
      </c>
      <c r="F432" s="195">
        <v>0</v>
      </c>
      <c r="G432" s="196">
        <v>0</v>
      </c>
      <c r="H432" s="195">
        <v>0</v>
      </c>
      <c r="I432" s="196">
        <v>0</v>
      </c>
      <c r="J432" s="195">
        <v>0</v>
      </c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  <c r="DB432" s="195"/>
      <c r="DC432" s="195"/>
      <c r="DD432" s="195"/>
      <c r="DE432" s="195"/>
      <c r="DF432" s="195"/>
      <c r="DG432" s="195"/>
      <c r="DH432" s="195"/>
      <c r="DI432" s="195"/>
      <c r="DJ432" s="195"/>
      <c r="DK432" s="195"/>
      <c r="DL432" s="195"/>
      <c r="DM432" s="195"/>
      <c r="DN432" s="195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196">
        <v>0</v>
      </c>
      <c r="F433" s="195">
        <v>0</v>
      </c>
      <c r="G433" s="196">
        <v>0</v>
      </c>
      <c r="H433" s="195">
        <v>0</v>
      </c>
      <c r="I433" s="196">
        <v>0</v>
      </c>
      <c r="J433" s="195">
        <v>0</v>
      </c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  <c r="DB433" s="195"/>
      <c r="DC433" s="195"/>
      <c r="DD433" s="195"/>
      <c r="DE433" s="195"/>
      <c r="DF433" s="195"/>
      <c r="DG433" s="195"/>
      <c r="DH433" s="195"/>
      <c r="DI433" s="195"/>
      <c r="DJ433" s="195"/>
      <c r="DK433" s="195"/>
      <c r="DL433" s="195"/>
      <c r="DM433" s="195"/>
      <c r="DN433" s="195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196">
        <v>0</v>
      </c>
      <c r="F434" s="195">
        <v>0</v>
      </c>
      <c r="G434" s="196">
        <v>0</v>
      </c>
      <c r="H434" s="195">
        <v>0</v>
      </c>
      <c r="I434" s="196">
        <v>0</v>
      </c>
      <c r="J434" s="195">
        <v>0</v>
      </c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  <c r="DB434" s="195"/>
      <c r="DC434" s="195"/>
      <c r="DD434" s="195"/>
      <c r="DE434" s="195"/>
      <c r="DF434" s="195"/>
      <c r="DG434" s="195"/>
      <c r="DH434" s="195"/>
      <c r="DI434" s="195"/>
      <c r="DJ434" s="195"/>
      <c r="DK434" s="195"/>
      <c r="DL434" s="195"/>
      <c r="DM434" s="195"/>
      <c r="DN434" s="195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196">
        <v>0</v>
      </c>
      <c r="F435" s="195">
        <v>0</v>
      </c>
      <c r="G435" s="196">
        <v>0</v>
      </c>
      <c r="H435" s="195">
        <v>0</v>
      </c>
      <c r="I435" s="196">
        <v>0</v>
      </c>
      <c r="J435" s="195">
        <v>0</v>
      </c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  <c r="DB435" s="195"/>
      <c r="DC435" s="195"/>
      <c r="DD435" s="195"/>
      <c r="DE435" s="195"/>
      <c r="DF435" s="195"/>
      <c r="DG435" s="195"/>
      <c r="DH435" s="195"/>
      <c r="DI435" s="195"/>
      <c r="DJ435" s="195"/>
      <c r="DK435" s="195"/>
      <c r="DL435" s="195"/>
      <c r="DM435" s="195"/>
      <c r="DN435" s="195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196">
        <v>0</v>
      </c>
      <c r="F436" s="195">
        <v>0</v>
      </c>
      <c r="G436" s="196">
        <v>0</v>
      </c>
      <c r="H436" s="195">
        <v>0</v>
      </c>
      <c r="I436" s="196">
        <v>0</v>
      </c>
      <c r="J436" s="195">
        <v>0</v>
      </c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  <c r="DB436" s="195"/>
      <c r="DC436" s="195"/>
      <c r="DD436" s="195"/>
      <c r="DE436" s="195"/>
      <c r="DF436" s="195"/>
      <c r="DG436" s="195"/>
      <c r="DH436" s="195"/>
      <c r="DI436" s="195"/>
      <c r="DJ436" s="195"/>
      <c r="DK436" s="195"/>
      <c r="DL436" s="195"/>
      <c r="DM436" s="195"/>
      <c r="DN436" s="195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196">
        <v>0</v>
      </c>
      <c r="F437" s="195">
        <v>0</v>
      </c>
      <c r="G437" s="196">
        <v>0</v>
      </c>
      <c r="H437" s="195">
        <v>0</v>
      </c>
      <c r="I437" s="196">
        <v>0</v>
      </c>
      <c r="J437" s="195">
        <v>0</v>
      </c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  <c r="DB437" s="195"/>
      <c r="DC437" s="195"/>
      <c r="DD437" s="195"/>
      <c r="DE437" s="195"/>
      <c r="DF437" s="195"/>
      <c r="DG437" s="195"/>
      <c r="DH437" s="195"/>
      <c r="DI437" s="195"/>
      <c r="DJ437" s="195"/>
      <c r="DK437" s="195"/>
      <c r="DL437" s="195"/>
      <c r="DM437" s="195"/>
      <c r="DN437" s="195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196">
        <v>0</v>
      </c>
      <c r="F438" s="195">
        <v>0</v>
      </c>
      <c r="G438" s="196">
        <v>0</v>
      </c>
      <c r="H438" s="195">
        <v>0</v>
      </c>
      <c r="I438" s="196">
        <v>0</v>
      </c>
      <c r="J438" s="195">
        <v>0</v>
      </c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  <c r="DB438" s="195"/>
      <c r="DC438" s="195"/>
      <c r="DD438" s="195"/>
      <c r="DE438" s="195"/>
      <c r="DF438" s="195"/>
      <c r="DG438" s="195"/>
      <c r="DH438" s="195"/>
      <c r="DI438" s="195"/>
      <c r="DJ438" s="195"/>
      <c r="DK438" s="195"/>
      <c r="DL438" s="195"/>
      <c r="DM438" s="195"/>
      <c r="DN438" s="195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196">
        <v>0</v>
      </c>
      <c r="F439" s="195">
        <v>0</v>
      </c>
      <c r="G439" s="196">
        <v>0</v>
      </c>
      <c r="H439" s="195">
        <v>0</v>
      </c>
      <c r="I439" s="196">
        <v>0</v>
      </c>
      <c r="J439" s="195">
        <v>0</v>
      </c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  <c r="DB439" s="195"/>
      <c r="DC439" s="195"/>
      <c r="DD439" s="195"/>
      <c r="DE439" s="195"/>
      <c r="DF439" s="195"/>
      <c r="DG439" s="195"/>
      <c r="DH439" s="195"/>
      <c r="DI439" s="195"/>
      <c r="DJ439" s="195"/>
      <c r="DK439" s="195"/>
      <c r="DL439" s="195"/>
      <c r="DM439" s="195"/>
      <c r="DN439" s="195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196">
        <v>0</v>
      </c>
      <c r="F440" s="195">
        <v>0</v>
      </c>
      <c r="G440" s="196">
        <v>0</v>
      </c>
      <c r="H440" s="195">
        <v>0</v>
      </c>
      <c r="I440" s="196">
        <v>0</v>
      </c>
      <c r="J440" s="195">
        <v>0</v>
      </c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  <c r="DB440" s="195"/>
      <c r="DC440" s="195"/>
      <c r="DD440" s="195"/>
      <c r="DE440" s="195"/>
      <c r="DF440" s="195"/>
      <c r="DG440" s="195"/>
      <c r="DH440" s="195"/>
      <c r="DI440" s="195"/>
      <c r="DJ440" s="195"/>
      <c r="DK440" s="195"/>
      <c r="DL440" s="195"/>
      <c r="DM440" s="195"/>
      <c r="DN440" s="195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196">
        <v>0</v>
      </c>
      <c r="F441" s="195">
        <v>0</v>
      </c>
      <c r="G441" s="196">
        <v>0</v>
      </c>
      <c r="H441" s="195">
        <v>0</v>
      </c>
      <c r="I441" s="196">
        <v>0</v>
      </c>
      <c r="J441" s="195">
        <v>0</v>
      </c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  <c r="DB441" s="195"/>
      <c r="DC441" s="195"/>
      <c r="DD441" s="195"/>
      <c r="DE441" s="195"/>
      <c r="DF441" s="195"/>
      <c r="DG441" s="195"/>
      <c r="DH441" s="195"/>
      <c r="DI441" s="195"/>
      <c r="DJ441" s="195"/>
      <c r="DK441" s="195"/>
      <c r="DL441" s="195"/>
      <c r="DM441" s="195"/>
      <c r="DN441" s="195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196">
        <v>0</v>
      </c>
      <c r="F442" s="195">
        <v>0</v>
      </c>
      <c r="G442" s="196">
        <v>0</v>
      </c>
      <c r="H442" s="195">
        <v>0</v>
      </c>
      <c r="I442" s="196">
        <v>0</v>
      </c>
      <c r="J442" s="195">
        <v>0</v>
      </c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  <c r="DB442" s="195"/>
      <c r="DC442" s="195"/>
      <c r="DD442" s="195"/>
      <c r="DE442" s="195"/>
      <c r="DF442" s="195"/>
      <c r="DG442" s="195"/>
      <c r="DH442" s="195"/>
      <c r="DI442" s="195"/>
      <c r="DJ442" s="195"/>
      <c r="DK442" s="195"/>
      <c r="DL442" s="195"/>
      <c r="DM442" s="195"/>
      <c r="DN442" s="195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196">
        <v>0</v>
      </c>
      <c r="F443" s="195">
        <v>0</v>
      </c>
      <c r="G443" s="196">
        <v>0</v>
      </c>
      <c r="H443" s="195">
        <v>0</v>
      </c>
      <c r="I443" s="196">
        <v>0</v>
      </c>
      <c r="J443" s="195">
        <v>0</v>
      </c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  <c r="DB443" s="195"/>
      <c r="DC443" s="195"/>
      <c r="DD443" s="195"/>
      <c r="DE443" s="195"/>
      <c r="DF443" s="195"/>
      <c r="DG443" s="195"/>
      <c r="DH443" s="195"/>
      <c r="DI443" s="195"/>
      <c r="DJ443" s="195"/>
      <c r="DK443" s="195"/>
      <c r="DL443" s="195"/>
      <c r="DM443" s="195"/>
      <c r="DN443" s="195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196">
        <v>14669792</v>
      </c>
      <c r="F444" s="195">
        <v>39816010.850000001</v>
      </c>
      <c r="G444" s="196">
        <v>110244</v>
      </c>
      <c r="H444" s="195">
        <v>121206.34</v>
      </c>
      <c r="I444" s="196">
        <v>-1064</v>
      </c>
      <c r="J444" s="195">
        <v>586146.02</v>
      </c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  <c r="DB444" s="195"/>
      <c r="DC444" s="195"/>
      <c r="DD444" s="195"/>
      <c r="DE444" s="195"/>
      <c r="DF444" s="195"/>
      <c r="DG444" s="195"/>
      <c r="DH444" s="195"/>
      <c r="DI444" s="195"/>
      <c r="DJ444" s="195"/>
      <c r="DK444" s="195"/>
      <c r="DL444" s="195"/>
      <c r="DM444" s="195"/>
      <c r="DN444" s="195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196">
        <v>0</v>
      </c>
      <c r="F445" s="195">
        <v>0</v>
      </c>
      <c r="G445" s="196">
        <v>0</v>
      </c>
      <c r="H445" s="195">
        <v>0</v>
      </c>
      <c r="I445" s="196">
        <v>0</v>
      </c>
      <c r="J445" s="195">
        <v>0</v>
      </c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  <c r="DB445" s="195"/>
      <c r="DC445" s="195"/>
      <c r="DD445" s="195"/>
      <c r="DE445" s="195"/>
      <c r="DF445" s="195"/>
      <c r="DG445" s="195"/>
      <c r="DH445" s="195"/>
      <c r="DI445" s="195"/>
      <c r="DJ445" s="195"/>
      <c r="DK445" s="195"/>
      <c r="DL445" s="195"/>
      <c r="DM445" s="195"/>
      <c r="DN445" s="195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196">
        <v>9128921</v>
      </c>
      <c r="F446" s="195">
        <v>23569012</v>
      </c>
      <c r="G446" s="196">
        <v>-8175373</v>
      </c>
      <c r="H446" s="195">
        <v>-21144119</v>
      </c>
      <c r="I446" s="196">
        <v>0</v>
      </c>
      <c r="J446" s="195">
        <v>0</v>
      </c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  <c r="DB446" s="195"/>
      <c r="DC446" s="195"/>
      <c r="DD446" s="195"/>
      <c r="DE446" s="195"/>
      <c r="DF446" s="195"/>
      <c r="DG446" s="195"/>
      <c r="DH446" s="195"/>
      <c r="DI446" s="195"/>
      <c r="DJ446" s="195"/>
      <c r="DK446" s="195"/>
      <c r="DL446" s="195"/>
      <c r="DM446" s="195"/>
      <c r="DN446" s="195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196">
        <v>0</v>
      </c>
      <c r="F447" s="195">
        <v>0</v>
      </c>
      <c r="G447" s="196">
        <v>0</v>
      </c>
      <c r="H447" s="195">
        <v>0</v>
      </c>
      <c r="I447" s="196">
        <v>0</v>
      </c>
      <c r="J447" s="195">
        <v>0</v>
      </c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195"/>
      <c r="DM447" s="195"/>
      <c r="DN447" s="195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196">
        <v>0</v>
      </c>
      <c r="F448" s="195">
        <v>2025070</v>
      </c>
      <c r="G448" s="196">
        <v>0</v>
      </c>
      <c r="H448" s="195">
        <v>15780</v>
      </c>
      <c r="I448" s="196">
        <v>0</v>
      </c>
      <c r="J448" s="195">
        <v>0</v>
      </c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195"/>
      <c r="DM448" s="195"/>
      <c r="DN448" s="195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196">
        <v>-3428091</v>
      </c>
      <c r="F449" s="195">
        <v>-8598836.1799999997</v>
      </c>
      <c r="G449" s="196">
        <v>-336402</v>
      </c>
      <c r="H449" s="195">
        <v>-825743.29</v>
      </c>
      <c r="I449" s="196">
        <v>26895</v>
      </c>
      <c r="J449" s="195">
        <v>61557.2</v>
      </c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195"/>
      <c r="DM449" s="195"/>
      <c r="DN449" s="195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196">
        <v>0</v>
      </c>
      <c r="F450" s="195">
        <v>0</v>
      </c>
      <c r="G450" s="196">
        <v>0</v>
      </c>
      <c r="H450" s="195">
        <v>0</v>
      </c>
      <c r="I450" s="196">
        <v>0</v>
      </c>
      <c r="J450" s="195">
        <v>0</v>
      </c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  <c r="DB450" s="195"/>
      <c r="DC450" s="195"/>
      <c r="DD450" s="195"/>
      <c r="DE450" s="195"/>
      <c r="DF450" s="195"/>
      <c r="DG450" s="195"/>
      <c r="DH450" s="195"/>
      <c r="DI450" s="195"/>
      <c r="DJ450" s="195"/>
      <c r="DK450" s="195"/>
      <c r="DL450" s="195"/>
      <c r="DM450" s="195"/>
      <c r="DN450" s="195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196">
        <v>-8188173</v>
      </c>
      <c r="F451" s="195">
        <v>-21176878</v>
      </c>
      <c r="G451" s="196">
        <v>8188173</v>
      </c>
      <c r="H451" s="195">
        <v>21176878</v>
      </c>
      <c r="I451" s="196">
        <v>0</v>
      </c>
      <c r="J451" s="195">
        <v>0</v>
      </c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  <c r="DB451" s="195"/>
      <c r="DC451" s="195"/>
      <c r="DD451" s="195"/>
      <c r="DE451" s="195"/>
      <c r="DF451" s="195"/>
      <c r="DG451" s="195"/>
      <c r="DH451" s="195"/>
      <c r="DI451" s="195"/>
      <c r="DJ451" s="195"/>
      <c r="DK451" s="195"/>
      <c r="DL451" s="195"/>
      <c r="DM451" s="195"/>
      <c r="DN451" s="195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196">
        <v>0</v>
      </c>
      <c r="F452" s="195">
        <v>0</v>
      </c>
      <c r="G452" s="196">
        <v>0</v>
      </c>
      <c r="H452" s="195">
        <v>0</v>
      </c>
      <c r="I452" s="196">
        <v>0</v>
      </c>
      <c r="J452" s="195">
        <v>0</v>
      </c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  <c r="DB452" s="195"/>
      <c r="DC452" s="195"/>
      <c r="DD452" s="195"/>
      <c r="DE452" s="195"/>
      <c r="DF452" s="195"/>
      <c r="DG452" s="195"/>
      <c r="DH452" s="195"/>
      <c r="DI452" s="195"/>
      <c r="DJ452" s="195"/>
      <c r="DK452" s="195"/>
      <c r="DL452" s="195"/>
      <c r="DM452" s="195"/>
      <c r="DN452" s="195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196">
        <v>10270</v>
      </c>
      <c r="F453" s="195">
        <v>25839.32</v>
      </c>
      <c r="G453" s="196">
        <v>108</v>
      </c>
      <c r="H453" s="195">
        <v>271.72800000000001</v>
      </c>
      <c r="I453" s="196">
        <v>-95</v>
      </c>
      <c r="J453" s="195">
        <v>-239.02</v>
      </c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  <c r="DB453" s="195"/>
      <c r="DC453" s="195"/>
      <c r="DD453" s="195"/>
      <c r="DE453" s="195"/>
      <c r="DF453" s="195"/>
      <c r="DG453" s="195"/>
      <c r="DH453" s="195"/>
      <c r="DI453" s="195"/>
      <c r="DJ453" s="195"/>
      <c r="DK453" s="195"/>
      <c r="DL453" s="195"/>
      <c r="DM453" s="195"/>
      <c r="DN453" s="195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196">
        <v>6050342</v>
      </c>
      <c r="F454" s="195">
        <v>15656095.050000001</v>
      </c>
      <c r="G454" s="196">
        <v>1957346</v>
      </c>
      <c r="H454" s="195">
        <v>5190814.07</v>
      </c>
      <c r="I454" s="196">
        <v>-37987</v>
      </c>
      <c r="J454" s="195">
        <v>-98287.99</v>
      </c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  <c r="DB454" s="195"/>
      <c r="DC454" s="195"/>
      <c r="DD454" s="195"/>
      <c r="DE454" s="195"/>
      <c r="DF454" s="195"/>
      <c r="DG454" s="195"/>
      <c r="DH454" s="195"/>
      <c r="DI454" s="195"/>
      <c r="DJ454" s="195"/>
      <c r="DK454" s="195"/>
      <c r="DL454" s="195"/>
      <c r="DM454" s="195"/>
      <c r="DN454" s="195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196">
        <v>-10785468</v>
      </c>
      <c r="F455" s="195">
        <v>-28066625.530000001</v>
      </c>
      <c r="G455" s="196">
        <v>-8804204</v>
      </c>
      <c r="H455" s="195">
        <v>-23001646.120000001</v>
      </c>
      <c r="I455" s="196">
        <v>278</v>
      </c>
      <c r="J455" s="195">
        <v>722.47</v>
      </c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  <c r="DB455" s="195"/>
      <c r="DC455" s="195"/>
      <c r="DD455" s="195"/>
      <c r="DE455" s="195"/>
      <c r="DF455" s="195"/>
      <c r="DG455" s="195"/>
      <c r="DH455" s="195"/>
      <c r="DI455" s="195"/>
      <c r="DJ455" s="195"/>
      <c r="DK455" s="195"/>
      <c r="DL455" s="195"/>
      <c r="DM455" s="195"/>
      <c r="DN455" s="195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196">
        <v>-10370046</v>
      </c>
      <c r="F456" s="195">
        <v>-26091035.736000001</v>
      </c>
      <c r="G456" s="196">
        <v>10358953</v>
      </c>
      <c r="H456" s="195">
        <v>26063125.748</v>
      </c>
      <c r="I456" s="196">
        <v>11724</v>
      </c>
      <c r="J456" s="195">
        <v>29497.583999999999</v>
      </c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  <c r="DB456" s="195"/>
      <c r="DC456" s="195"/>
      <c r="DD456" s="195"/>
      <c r="DE456" s="195"/>
      <c r="DF456" s="195"/>
      <c r="DG456" s="195"/>
      <c r="DH456" s="195"/>
      <c r="DI456" s="195"/>
      <c r="DJ456" s="195"/>
      <c r="DK456" s="195"/>
      <c r="DL456" s="195"/>
      <c r="DM456" s="195"/>
      <c r="DN456" s="195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196">
        <v>0</v>
      </c>
      <c r="F457" s="195">
        <v>0</v>
      </c>
      <c r="G457" s="196">
        <v>0</v>
      </c>
      <c r="H457" s="195">
        <v>0</v>
      </c>
      <c r="I457" s="196">
        <v>0</v>
      </c>
      <c r="J457" s="195">
        <v>0</v>
      </c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195"/>
      <c r="DM457" s="195"/>
      <c r="DN457" s="195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196">
        <v>0</v>
      </c>
      <c r="F458" s="195">
        <v>0</v>
      </c>
      <c r="G458" s="196">
        <v>0</v>
      </c>
      <c r="H458" s="195">
        <v>0</v>
      </c>
      <c r="I458" s="196">
        <v>0</v>
      </c>
      <c r="J458" s="195">
        <v>0</v>
      </c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195"/>
      <c r="DM458" s="195"/>
      <c r="DN458" s="195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196">
        <v>0</v>
      </c>
      <c r="F459" s="195">
        <v>0</v>
      </c>
      <c r="G459" s="196">
        <v>0</v>
      </c>
      <c r="H459" s="195">
        <v>0</v>
      </c>
      <c r="I459" s="196">
        <v>0</v>
      </c>
      <c r="J459" s="195">
        <v>0</v>
      </c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  <c r="DB459" s="195"/>
      <c r="DC459" s="195"/>
      <c r="DD459" s="195"/>
      <c r="DE459" s="195"/>
      <c r="DF459" s="195"/>
      <c r="DG459" s="195"/>
      <c r="DH459" s="195"/>
      <c r="DI459" s="195"/>
      <c r="DJ459" s="195"/>
      <c r="DK459" s="195"/>
      <c r="DL459" s="195"/>
      <c r="DM459" s="195"/>
      <c r="DN459" s="195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196">
        <v>0</v>
      </c>
      <c r="F460" s="195">
        <v>0</v>
      </c>
      <c r="G460" s="196">
        <v>-409770</v>
      </c>
      <c r="H460" s="195">
        <v>-927925.31</v>
      </c>
      <c r="I460" s="196">
        <v>0</v>
      </c>
      <c r="J460" s="195">
        <v>0</v>
      </c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  <c r="DB460" s="195"/>
      <c r="DC460" s="195"/>
      <c r="DD460" s="195"/>
      <c r="DE460" s="195"/>
      <c r="DF460" s="195"/>
      <c r="DG460" s="195"/>
      <c r="DH460" s="195"/>
      <c r="DI460" s="195"/>
      <c r="DJ460" s="195"/>
      <c r="DK460" s="195"/>
      <c r="DL460" s="195"/>
      <c r="DM460" s="195"/>
      <c r="DN460" s="195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196">
        <v>0</v>
      </c>
      <c r="F461" s="195">
        <v>0</v>
      </c>
      <c r="G461" s="196">
        <v>0</v>
      </c>
      <c r="H461" s="195">
        <v>0</v>
      </c>
      <c r="I461" s="196">
        <v>0</v>
      </c>
      <c r="J461" s="195">
        <v>0</v>
      </c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  <c r="DB461" s="195"/>
      <c r="DC461" s="195"/>
      <c r="DD461" s="195"/>
      <c r="DE461" s="195"/>
      <c r="DF461" s="195"/>
      <c r="DG461" s="195"/>
      <c r="DH461" s="195"/>
      <c r="DI461" s="195"/>
      <c r="DJ461" s="195"/>
      <c r="DK461" s="195"/>
      <c r="DL461" s="195"/>
      <c r="DM461" s="195"/>
      <c r="DN461" s="195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196">
        <v>0</v>
      </c>
      <c r="F462" s="195">
        <v>0</v>
      </c>
      <c r="G462" s="196">
        <v>0</v>
      </c>
      <c r="H462" s="195">
        <v>0</v>
      </c>
      <c r="I462" s="196">
        <v>0</v>
      </c>
      <c r="J462" s="195">
        <v>0</v>
      </c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  <c r="DB462" s="195"/>
      <c r="DC462" s="195"/>
      <c r="DD462" s="195"/>
      <c r="DE462" s="195"/>
      <c r="DF462" s="195"/>
      <c r="DG462" s="195"/>
      <c r="DH462" s="195"/>
      <c r="DI462" s="195"/>
      <c r="DJ462" s="195"/>
      <c r="DK462" s="195"/>
      <c r="DL462" s="195"/>
      <c r="DM462" s="195"/>
      <c r="DN462" s="195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196">
        <v>0</v>
      </c>
      <c r="F463" s="195">
        <v>0</v>
      </c>
      <c r="G463" s="196">
        <v>0</v>
      </c>
      <c r="H463" s="195">
        <v>0</v>
      </c>
      <c r="I463" s="196">
        <v>0</v>
      </c>
      <c r="J463" s="195">
        <v>0</v>
      </c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  <c r="DB463" s="195"/>
      <c r="DC463" s="195"/>
      <c r="DD463" s="195"/>
      <c r="DE463" s="195"/>
      <c r="DF463" s="195"/>
      <c r="DG463" s="195"/>
      <c r="DH463" s="195"/>
      <c r="DI463" s="195"/>
      <c r="DJ463" s="195"/>
      <c r="DK463" s="195"/>
      <c r="DL463" s="195"/>
      <c r="DM463" s="195"/>
      <c r="DN463" s="195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196">
        <v>0</v>
      </c>
      <c r="F464" s="195">
        <v>0</v>
      </c>
      <c r="G464" s="196">
        <v>0</v>
      </c>
      <c r="H464" s="195">
        <v>0</v>
      </c>
      <c r="I464" s="196">
        <v>0</v>
      </c>
      <c r="J464" s="195">
        <v>0</v>
      </c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  <c r="DB464" s="195"/>
      <c r="DC464" s="195"/>
      <c r="DD464" s="195"/>
      <c r="DE464" s="195"/>
      <c r="DF464" s="195"/>
      <c r="DG464" s="195"/>
      <c r="DH464" s="195"/>
      <c r="DI464" s="195"/>
      <c r="DJ464" s="195"/>
      <c r="DK464" s="195"/>
      <c r="DL464" s="195"/>
      <c r="DM464" s="195"/>
      <c r="DN464" s="195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196">
        <v>2912453</v>
      </c>
      <c r="F465" s="195">
        <v>7327731.7479999997</v>
      </c>
      <c r="G465" s="196">
        <v>-2889075</v>
      </c>
      <c r="H465" s="195">
        <v>-7268912.6999999993</v>
      </c>
      <c r="I465" s="196">
        <v>249</v>
      </c>
      <c r="J465" s="195">
        <v>626.48400000000004</v>
      </c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  <c r="DB465" s="195"/>
      <c r="DC465" s="195"/>
      <c r="DD465" s="195"/>
      <c r="DE465" s="195"/>
      <c r="DF465" s="195"/>
      <c r="DG465" s="195"/>
      <c r="DH465" s="195"/>
      <c r="DI465" s="195"/>
      <c r="DJ465" s="195"/>
      <c r="DK465" s="195"/>
      <c r="DL465" s="195"/>
      <c r="DM465" s="195"/>
      <c r="DN465" s="195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196">
        <v>-10270</v>
      </c>
      <c r="F466" s="195">
        <v>-25839.32</v>
      </c>
      <c r="G466" s="196">
        <v>-108</v>
      </c>
      <c r="H466" s="195">
        <v>-271.72800000000001</v>
      </c>
      <c r="I466" s="196">
        <v>95</v>
      </c>
      <c r="J466" s="195">
        <v>239.02</v>
      </c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195"/>
      <c r="DM466" s="195"/>
      <c r="DN466" s="195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196">
        <v>-6041778</v>
      </c>
      <c r="F467" s="195">
        <v>-233128.45</v>
      </c>
      <c r="G467" s="196">
        <v>-10566612</v>
      </c>
      <c r="H467" s="195">
        <v>-113808.15</v>
      </c>
      <c r="I467" s="196">
        <v>-8628</v>
      </c>
      <c r="J467" s="195">
        <v>5310.57</v>
      </c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195"/>
      <c r="DM467" s="195"/>
      <c r="DN467" s="195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196">
        <v>0</v>
      </c>
      <c r="F468" s="195">
        <v>-158446.35</v>
      </c>
      <c r="G468" s="196">
        <v>0</v>
      </c>
      <c r="H468" s="195">
        <v>768</v>
      </c>
      <c r="I468" s="196">
        <v>0</v>
      </c>
      <c r="J468" s="195">
        <v>-66.83</v>
      </c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  <c r="DB468" s="195"/>
      <c r="DC468" s="195"/>
      <c r="DD468" s="195"/>
      <c r="DE468" s="195"/>
      <c r="DF468" s="195"/>
      <c r="DG468" s="195"/>
      <c r="DH468" s="195"/>
      <c r="DI468" s="195"/>
      <c r="DJ468" s="195"/>
      <c r="DK468" s="195"/>
      <c r="DL468" s="195"/>
      <c r="DM468" s="195"/>
      <c r="DN468" s="195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196">
        <v>0</v>
      </c>
      <c r="F469" s="195">
        <v>0</v>
      </c>
      <c r="G469" s="196">
        <v>0</v>
      </c>
      <c r="H469" s="195">
        <v>0</v>
      </c>
      <c r="I469" s="196">
        <v>0</v>
      </c>
      <c r="J469" s="195">
        <v>0</v>
      </c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  <c r="DB469" s="195"/>
      <c r="DC469" s="195"/>
      <c r="DD469" s="195"/>
      <c r="DE469" s="195"/>
      <c r="DF469" s="195"/>
      <c r="DG469" s="195"/>
      <c r="DH469" s="195"/>
      <c r="DI469" s="195"/>
      <c r="DJ469" s="195"/>
      <c r="DK469" s="195"/>
      <c r="DL469" s="195"/>
      <c r="DM469" s="195"/>
      <c r="DN469" s="195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196">
        <v>0</v>
      </c>
      <c r="F470" s="195">
        <v>0</v>
      </c>
      <c r="G470" s="196">
        <v>0</v>
      </c>
      <c r="H470" s="195">
        <v>0</v>
      </c>
      <c r="I470" s="196">
        <v>0</v>
      </c>
      <c r="J470" s="195">
        <v>0</v>
      </c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  <c r="DB470" s="195"/>
      <c r="DC470" s="195"/>
      <c r="DD470" s="195"/>
      <c r="DE470" s="195"/>
      <c r="DF470" s="195"/>
      <c r="DG470" s="195"/>
      <c r="DH470" s="195"/>
      <c r="DI470" s="195"/>
      <c r="DJ470" s="195"/>
      <c r="DK470" s="195"/>
      <c r="DL470" s="195"/>
      <c r="DM470" s="195"/>
      <c r="DN470" s="195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196">
        <v>0</v>
      </c>
      <c r="F471" s="195">
        <v>0</v>
      </c>
      <c r="G471" s="196">
        <v>0</v>
      </c>
      <c r="H471" s="195">
        <v>-799.86</v>
      </c>
      <c r="I471" s="196">
        <v>0</v>
      </c>
      <c r="J471" s="195">
        <v>0</v>
      </c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  <c r="DB471" s="195"/>
      <c r="DC471" s="195"/>
      <c r="DD471" s="195"/>
      <c r="DE471" s="195"/>
      <c r="DF471" s="195"/>
      <c r="DG471" s="195"/>
      <c r="DH471" s="195"/>
      <c r="DI471" s="195"/>
      <c r="DJ471" s="195"/>
      <c r="DK471" s="195"/>
      <c r="DL471" s="195"/>
      <c r="DM471" s="195"/>
      <c r="DN471" s="195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196">
        <v>0</v>
      </c>
      <c r="F472" s="195">
        <v>0</v>
      </c>
      <c r="G472" s="196">
        <v>0</v>
      </c>
      <c r="H472" s="195">
        <v>0</v>
      </c>
      <c r="I472" s="196">
        <v>0</v>
      </c>
      <c r="J472" s="195">
        <v>0</v>
      </c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  <c r="DB472" s="195"/>
      <c r="DC472" s="195"/>
      <c r="DD472" s="195"/>
      <c r="DE472" s="195"/>
      <c r="DF472" s="195"/>
      <c r="DG472" s="195"/>
      <c r="DH472" s="195"/>
      <c r="DI472" s="195"/>
      <c r="DJ472" s="195"/>
      <c r="DK472" s="195"/>
      <c r="DL472" s="195"/>
      <c r="DM472" s="195"/>
      <c r="DN472" s="195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196">
        <v>0</v>
      </c>
      <c r="F473" s="195">
        <v>0</v>
      </c>
      <c r="G473" s="196">
        <v>0</v>
      </c>
      <c r="H473" s="195">
        <v>0</v>
      </c>
      <c r="I473" s="196">
        <v>0</v>
      </c>
      <c r="J473" s="195">
        <v>0</v>
      </c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  <c r="DB473" s="195"/>
      <c r="DC473" s="195"/>
      <c r="DD473" s="195"/>
      <c r="DE473" s="195"/>
      <c r="DF473" s="195"/>
      <c r="DG473" s="195"/>
      <c r="DH473" s="195"/>
      <c r="DI473" s="195"/>
      <c r="DJ473" s="195"/>
      <c r="DK473" s="195"/>
      <c r="DL473" s="195"/>
      <c r="DM473" s="195"/>
      <c r="DN473" s="195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196">
        <v>0</v>
      </c>
      <c r="F474" s="195">
        <v>0</v>
      </c>
      <c r="G474" s="196">
        <v>0</v>
      </c>
      <c r="H474" s="195">
        <v>0</v>
      </c>
      <c r="I474" s="196">
        <v>0</v>
      </c>
      <c r="J474" s="195">
        <v>0</v>
      </c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  <c r="DB474" s="195"/>
      <c r="DC474" s="195"/>
      <c r="DD474" s="195"/>
      <c r="DE474" s="195"/>
      <c r="DF474" s="195"/>
      <c r="DG474" s="195"/>
      <c r="DH474" s="195"/>
      <c r="DI474" s="195"/>
      <c r="DJ474" s="195"/>
      <c r="DK474" s="195"/>
      <c r="DL474" s="195"/>
      <c r="DM474" s="195"/>
      <c r="DN474" s="195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196">
        <v>0</v>
      </c>
      <c r="F475" s="195">
        <v>0</v>
      </c>
      <c r="G475" s="196">
        <v>0</v>
      </c>
      <c r="H475" s="195">
        <v>0</v>
      </c>
      <c r="I475" s="196">
        <v>0</v>
      </c>
      <c r="J475" s="195">
        <v>0</v>
      </c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195"/>
      <c r="DM475" s="195"/>
      <c r="DN475" s="195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196">
        <v>0</v>
      </c>
      <c r="F476" s="195">
        <v>0</v>
      </c>
      <c r="G476" s="196">
        <v>0</v>
      </c>
      <c r="H476" s="195">
        <v>0</v>
      </c>
      <c r="I476" s="196">
        <v>0</v>
      </c>
      <c r="J476" s="195">
        <v>0</v>
      </c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195"/>
      <c r="DM476" s="195"/>
      <c r="DN476" s="195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196">
        <v>0</v>
      </c>
      <c r="F477" s="195">
        <v>0</v>
      </c>
      <c r="G477" s="196">
        <v>0</v>
      </c>
      <c r="H477" s="195">
        <v>0</v>
      </c>
      <c r="I477" s="196">
        <v>0</v>
      </c>
      <c r="J477" s="195">
        <v>0</v>
      </c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  <c r="DB477" s="195"/>
      <c r="DC477" s="195"/>
      <c r="DD477" s="195"/>
      <c r="DE477" s="195"/>
      <c r="DF477" s="195"/>
      <c r="DG477" s="195"/>
      <c r="DH477" s="195"/>
      <c r="DI477" s="195"/>
      <c r="DJ477" s="195"/>
      <c r="DK477" s="195"/>
      <c r="DL477" s="195"/>
      <c r="DM477" s="195"/>
      <c r="DN477" s="195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196">
        <v>0</v>
      </c>
      <c r="F478" s="195">
        <v>-4048.75</v>
      </c>
      <c r="G478" s="196">
        <v>0</v>
      </c>
      <c r="H478" s="195">
        <v>-21665</v>
      </c>
      <c r="I478" s="196">
        <v>0</v>
      </c>
      <c r="J478" s="195">
        <v>0</v>
      </c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  <c r="DB478" s="195"/>
      <c r="DC478" s="195"/>
      <c r="DD478" s="195"/>
      <c r="DE478" s="195"/>
      <c r="DF478" s="195"/>
      <c r="DG478" s="195"/>
      <c r="DH478" s="195"/>
      <c r="DI478" s="195"/>
      <c r="DJ478" s="195"/>
      <c r="DK478" s="195"/>
      <c r="DL478" s="195"/>
      <c r="DM478" s="195"/>
      <c r="DN478" s="195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196">
        <v>0</v>
      </c>
      <c r="F479" s="195">
        <v>0</v>
      </c>
      <c r="G479" s="196">
        <v>0</v>
      </c>
      <c r="H479" s="195">
        <v>0</v>
      </c>
      <c r="I479" s="196">
        <v>0</v>
      </c>
      <c r="J479" s="195">
        <v>0</v>
      </c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  <c r="DB479" s="195"/>
      <c r="DC479" s="195"/>
      <c r="DD479" s="195"/>
      <c r="DE479" s="195"/>
      <c r="DF479" s="195"/>
      <c r="DG479" s="195"/>
      <c r="DH479" s="195"/>
      <c r="DI479" s="195"/>
      <c r="DJ479" s="195"/>
      <c r="DK479" s="195"/>
      <c r="DL479" s="195"/>
      <c r="DM479" s="195"/>
      <c r="DN479" s="195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196">
        <v>0</v>
      </c>
      <c r="F480" s="195">
        <v>0</v>
      </c>
      <c r="G480" s="196">
        <v>0</v>
      </c>
      <c r="H480" s="195">
        <v>0</v>
      </c>
      <c r="I480" s="196">
        <v>0</v>
      </c>
      <c r="J480" s="195">
        <v>0</v>
      </c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  <c r="DB480" s="195"/>
      <c r="DC480" s="195"/>
      <c r="DD480" s="195"/>
      <c r="DE480" s="195"/>
      <c r="DF480" s="195"/>
      <c r="DG480" s="195"/>
      <c r="DH480" s="195"/>
      <c r="DI480" s="195"/>
      <c r="DJ480" s="195"/>
      <c r="DK480" s="195"/>
      <c r="DL480" s="195"/>
      <c r="DM480" s="195"/>
      <c r="DN480" s="195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196">
        <v>0</v>
      </c>
      <c r="F481" s="195">
        <v>0</v>
      </c>
      <c r="G481" s="196">
        <v>0</v>
      </c>
      <c r="H481" s="195">
        <v>0</v>
      </c>
      <c r="I481" s="196">
        <v>0</v>
      </c>
      <c r="J481" s="195">
        <v>0</v>
      </c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  <c r="DB481" s="195"/>
      <c r="DC481" s="195"/>
      <c r="DD481" s="195"/>
      <c r="DE481" s="195"/>
      <c r="DF481" s="195"/>
      <c r="DG481" s="195"/>
      <c r="DH481" s="195"/>
      <c r="DI481" s="195"/>
      <c r="DJ481" s="195"/>
      <c r="DK481" s="195"/>
      <c r="DL481" s="195"/>
      <c r="DM481" s="195"/>
      <c r="DN481" s="195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196">
        <v>0</v>
      </c>
      <c r="F482" s="195">
        <v>0</v>
      </c>
      <c r="G482" s="196">
        <v>0</v>
      </c>
      <c r="H482" s="195">
        <v>0</v>
      </c>
      <c r="I482" s="196">
        <v>0</v>
      </c>
      <c r="J482" s="195">
        <v>0</v>
      </c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  <c r="DB482" s="195"/>
      <c r="DC482" s="195"/>
      <c r="DD482" s="195"/>
      <c r="DE482" s="195"/>
      <c r="DF482" s="195"/>
      <c r="DG482" s="195"/>
      <c r="DH482" s="195"/>
      <c r="DI482" s="195"/>
      <c r="DJ482" s="195"/>
      <c r="DK482" s="195"/>
      <c r="DL482" s="195"/>
      <c r="DM482" s="195"/>
      <c r="DN482" s="195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196">
        <v>0</v>
      </c>
      <c r="F483" s="195">
        <v>0</v>
      </c>
      <c r="G483" s="196">
        <v>0</v>
      </c>
      <c r="H483" s="195">
        <v>0</v>
      </c>
      <c r="I483" s="196">
        <v>0</v>
      </c>
      <c r="J483" s="195">
        <v>0</v>
      </c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  <c r="DB483" s="195"/>
      <c r="DC483" s="195"/>
      <c r="DD483" s="195"/>
      <c r="DE483" s="195"/>
      <c r="DF483" s="195"/>
      <c r="DG483" s="195"/>
      <c r="DH483" s="195"/>
      <c r="DI483" s="195"/>
      <c r="DJ483" s="195"/>
      <c r="DK483" s="195"/>
      <c r="DL483" s="195"/>
      <c r="DM483" s="195"/>
      <c r="DN483" s="195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196">
        <v>39322345</v>
      </c>
      <c r="F484" s="195">
        <v>92746123.709999993</v>
      </c>
      <c r="G484" s="196">
        <v>-606150</v>
      </c>
      <c r="H484" s="195">
        <v>-1483626.41</v>
      </c>
      <c r="I484" s="196">
        <v>614758</v>
      </c>
      <c r="J484" s="195">
        <v>1470897.5</v>
      </c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195"/>
      <c r="DM484" s="195"/>
      <c r="DN484" s="195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196">
        <v>0</v>
      </c>
      <c r="F485" s="195">
        <v>0</v>
      </c>
      <c r="G485" s="196">
        <v>0</v>
      </c>
      <c r="H485" s="195">
        <v>0</v>
      </c>
      <c r="I485" s="196">
        <v>0</v>
      </c>
      <c r="J485" s="195">
        <v>0</v>
      </c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195"/>
      <c r="DM485" s="195"/>
      <c r="DN485" s="195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196">
        <v>12490224</v>
      </c>
      <c r="F486" s="195">
        <v>31431178</v>
      </c>
      <c r="G486" s="196">
        <v>-12460224</v>
      </c>
      <c r="H486" s="195">
        <v>-31351678</v>
      </c>
      <c r="I486" s="196">
        <v>0</v>
      </c>
      <c r="J486" s="195">
        <v>0</v>
      </c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  <c r="DB486" s="195"/>
      <c r="DC486" s="195"/>
      <c r="DD486" s="195"/>
      <c r="DE486" s="195"/>
      <c r="DF486" s="195"/>
      <c r="DG486" s="195"/>
      <c r="DH486" s="195"/>
      <c r="DI486" s="195"/>
      <c r="DJ486" s="195"/>
      <c r="DK486" s="195"/>
      <c r="DL486" s="195"/>
      <c r="DM486" s="195"/>
      <c r="DN486" s="195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196">
        <v>0</v>
      </c>
      <c r="F487" s="195">
        <v>0</v>
      </c>
      <c r="G487" s="196">
        <v>0</v>
      </c>
      <c r="H487" s="195">
        <v>0</v>
      </c>
      <c r="I487" s="196">
        <v>0</v>
      </c>
      <c r="J487" s="195">
        <v>0</v>
      </c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  <c r="DB487" s="195"/>
      <c r="DC487" s="195"/>
      <c r="DD487" s="195"/>
      <c r="DE487" s="195"/>
      <c r="DF487" s="195"/>
      <c r="DG487" s="195"/>
      <c r="DH487" s="195"/>
      <c r="DI487" s="195"/>
      <c r="DJ487" s="195"/>
      <c r="DK487" s="195"/>
      <c r="DL487" s="195"/>
      <c r="DM487" s="195"/>
      <c r="DN487" s="195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196">
        <v>0</v>
      </c>
      <c r="F488" s="195">
        <v>1130170.68</v>
      </c>
      <c r="G488" s="196">
        <v>0</v>
      </c>
      <c r="H488" s="195">
        <v>9320.4500000000007</v>
      </c>
      <c r="I488" s="196">
        <v>0</v>
      </c>
      <c r="J488" s="195">
        <v>0</v>
      </c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  <c r="DB488" s="195"/>
      <c r="DC488" s="195"/>
      <c r="DD488" s="195"/>
      <c r="DE488" s="195"/>
      <c r="DF488" s="195"/>
      <c r="DG488" s="195"/>
      <c r="DH488" s="195"/>
      <c r="DI488" s="195"/>
      <c r="DJ488" s="195"/>
      <c r="DK488" s="195"/>
      <c r="DL488" s="195"/>
      <c r="DM488" s="195"/>
      <c r="DN488" s="195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196">
        <v>-40204839</v>
      </c>
      <c r="F489" s="195">
        <v>-98145863.739999995</v>
      </c>
      <c r="G489" s="196">
        <v>1220603</v>
      </c>
      <c r="H489" s="195">
        <v>3124880.31</v>
      </c>
      <c r="I489" s="196">
        <v>-1245122</v>
      </c>
      <c r="J489" s="195">
        <v>-2809874.05</v>
      </c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  <c r="DB489" s="195"/>
      <c r="DC489" s="195"/>
      <c r="DD489" s="195"/>
      <c r="DE489" s="195"/>
      <c r="DF489" s="195"/>
      <c r="DG489" s="195"/>
      <c r="DH489" s="195"/>
      <c r="DI489" s="195"/>
      <c r="DJ489" s="195"/>
      <c r="DK489" s="195"/>
      <c r="DL489" s="195"/>
      <c r="DM489" s="195"/>
      <c r="DN489" s="195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196">
        <v>0</v>
      </c>
      <c r="F490" s="195">
        <v>0</v>
      </c>
      <c r="G490" s="196">
        <v>0</v>
      </c>
      <c r="H490" s="195">
        <v>0</v>
      </c>
      <c r="I490" s="196">
        <v>0</v>
      </c>
      <c r="J490" s="195">
        <v>0</v>
      </c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  <c r="DB490" s="195"/>
      <c r="DC490" s="195"/>
      <c r="DD490" s="195"/>
      <c r="DE490" s="195"/>
      <c r="DF490" s="195"/>
      <c r="DG490" s="195"/>
      <c r="DH490" s="195"/>
      <c r="DI490" s="195"/>
      <c r="DJ490" s="195"/>
      <c r="DK490" s="195"/>
      <c r="DL490" s="195"/>
      <c r="DM490" s="195"/>
      <c r="DN490" s="195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196">
        <v>-16360937</v>
      </c>
      <c r="F491" s="195">
        <v>-40717506</v>
      </c>
      <c r="G491" s="196">
        <v>16330937</v>
      </c>
      <c r="H491" s="195">
        <v>40637706</v>
      </c>
      <c r="I491" s="196">
        <v>0</v>
      </c>
      <c r="J491" s="195">
        <v>0</v>
      </c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  <c r="DB491" s="195"/>
      <c r="DC491" s="195"/>
      <c r="DD491" s="195"/>
      <c r="DE491" s="195"/>
      <c r="DF491" s="195"/>
      <c r="DG491" s="195"/>
      <c r="DH491" s="195"/>
      <c r="DI491" s="195"/>
      <c r="DJ491" s="195"/>
      <c r="DK491" s="195"/>
      <c r="DL491" s="195"/>
      <c r="DM491" s="195"/>
      <c r="DN491" s="195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196">
        <v>0</v>
      </c>
      <c r="F492" s="195">
        <v>0</v>
      </c>
      <c r="G492" s="196">
        <v>0</v>
      </c>
      <c r="H492" s="195">
        <v>0</v>
      </c>
      <c r="I492" s="196">
        <v>0</v>
      </c>
      <c r="J492" s="195">
        <v>0</v>
      </c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  <c r="DB492" s="195"/>
      <c r="DC492" s="195"/>
      <c r="DD492" s="195"/>
      <c r="DE492" s="195"/>
      <c r="DF492" s="195"/>
      <c r="DG492" s="195"/>
      <c r="DH492" s="195"/>
      <c r="DI492" s="195"/>
      <c r="DJ492" s="195"/>
      <c r="DK492" s="195"/>
      <c r="DL492" s="195"/>
      <c r="DM492" s="195"/>
      <c r="DN492" s="195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196">
        <v>324965</v>
      </c>
      <c r="F493" s="195">
        <v>780890.89500000002</v>
      </c>
      <c r="G493" s="196">
        <v>5132</v>
      </c>
      <c r="H493" s="195">
        <v>12332.196</v>
      </c>
      <c r="I493" s="196">
        <v>-28</v>
      </c>
      <c r="J493" s="195">
        <v>-67.284000000000006</v>
      </c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195"/>
      <c r="DM493" s="195"/>
      <c r="DN493" s="195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196">
        <v>710110</v>
      </c>
      <c r="F494" s="195">
        <v>1751374.36</v>
      </c>
      <c r="G494" s="196">
        <v>0</v>
      </c>
      <c r="H494" s="195">
        <v>0</v>
      </c>
      <c r="I494" s="196">
        <v>0</v>
      </c>
      <c r="J494" s="195">
        <v>0</v>
      </c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195"/>
      <c r="DM494" s="195"/>
      <c r="DN494" s="195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196">
        <v>0</v>
      </c>
      <c r="F495" s="195">
        <v>0</v>
      </c>
      <c r="G495" s="196">
        <v>0</v>
      </c>
      <c r="H495" s="195">
        <v>0</v>
      </c>
      <c r="I495" s="196">
        <v>0</v>
      </c>
      <c r="J495" s="195">
        <v>0</v>
      </c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  <c r="DB495" s="195"/>
      <c r="DC495" s="195"/>
      <c r="DD495" s="195"/>
      <c r="DE495" s="195"/>
      <c r="DF495" s="195"/>
      <c r="DG495" s="195"/>
      <c r="DH495" s="195"/>
      <c r="DI495" s="195"/>
      <c r="DJ495" s="195"/>
      <c r="DK495" s="195"/>
      <c r="DL495" s="195"/>
      <c r="DM495" s="195"/>
      <c r="DN495" s="195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196">
        <v>-48567</v>
      </c>
      <c r="F496" s="195">
        <v>-116706.501</v>
      </c>
      <c r="G496" s="196">
        <v>-146531</v>
      </c>
      <c r="H496" s="195">
        <v>-352113.99300000002</v>
      </c>
      <c r="I496" s="196">
        <v>217161</v>
      </c>
      <c r="J496" s="195">
        <v>521837.88299999997</v>
      </c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  <c r="DB496" s="195"/>
      <c r="DC496" s="195"/>
      <c r="DD496" s="195"/>
      <c r="DE496" s="195"/>
      <c r="DF496" s="195"/>
      <c r="DG496" s="195"/>
      <c r="DH496" s="195"/>
      <c r="DI496" s="195"/>
      <c r="DJ496" s="195"/>
      <c r="DK496" s="195"/>
      <c r="DL496" s="195"/>
      <c r="DM496" s="195"/>
      <c r="DN496" s="195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196">
        <v>0</v>
      </c>
      <c r="F497" s="195">
        <v>0</v>
      </c>
      <c r="G497" s="196">
        <v>0</v>
      </c>
      <c r="H497" s="195">
        <v>0</v>
      </c>
      <c r="I497" s="196">
        <v>0</v>
      </c>
      <c r="J497" s="195">
        <v>0</v>
      </c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  <c r="DB497" s="195"/>
      <c r="DC497" s="195"/>
      <c r="DD497" s="195"/>
      <c r="DE497" s="195"/>
      <c r="DF497" s="195"/>
      <c r="DG497" s="195"/>
      <c r="DH497" s="195"/>
      <c r="DI497" s="195"/>
      <c r="DJ497" s="195"/>
      <c r="DK497" s="195"/>
      <c r="DL497" s="195"/>
      <c r="DM497" s="195"/>
      <c r="DN497" s="195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196">
        <v>0</v>
      </c>
      <c r="F498" s="195">
        <v>0</v>
      </c>
      <c r="G498" s="196">
        <v>4519</v>
      </c>
      <c r="H498" s="195">
        <v>10818.49</v>
      </c>
      <c r="I498" s="196">
        <v>6</v>
      </c>
      <c r="J498" s="195">
        <v>14.56</v>
      </c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  <c r="DB498" s="195"/>
      <c r="DC498" s="195"/>
      <c r="DD498" s="195"/>
      <c r="DE498" s="195"/>
      <c r="DF498" s="195"/>
      <c r="DG498" s="195"/>
      <c r="DH498" s="195"/>
      <c r="DI498" s="195"/>
      <c r="DJ498" s="195"/>
      <c r="DK498" s="195"/>
      <c r="DL498" s="195"/>
      <c r="DM498" s="195"/>
      <c r="DN498" s="195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196">
        <v>0</v>
      </c>
      <c r="F499" s="195">
        <v>0</v>
      </c>
      <c r="G499" s="196">
        <v>0</v>
      </c>
      <c r="H499" s="195">
        <v>0</v>
      </c>
      <c r="I499" s="196">
        <v>0</v>
      </c>
      <c r="J499" s="195">
        <v>0</v>
      </c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  <c r="DB499" s="195"/>
      <c r="DC499" s="195"/>
      <c r="DD499" s="195"/>
      <c r="DE499" s="195"/>
      <c r="DF499" s="195"/>
      <c r="DG499" s="195"/>
      <c r="DH499" s="195"/>
      <c r="DI499" s="195"/>
      <c r="DJ499" s="195"/>
      <c r="DK499" s="195"/>
      <c r="DL499" s="195"/>
      <c r="DM499" s="195"/>
      <c r="DN499" s="195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196">
        <v>35142</v>
      </c>
      <c r="F500" s="195">
        <v>84446.23</v>
      </c>
      <c r="G500" s="196">
        <v>7483</v>
      </c>
      <c r="H500" s="195">
        <v>19708.88</v>
      </c>
      <c r="I500" s="196">
        <v>0</v>
      </c>
      <c r="J500" s="195">
        <v>0</v>
      </c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  <c r="DB500" s="195"/>
      <c r="DC500" s="195"/>
      <c r="DD500" s="195"/>
      <c r="DE500" s="195"/>
      <c r="DF500" s="195"/>
      <c r="DG500" s="195"/>
      <c r="DH500" s="195"/>
      <c r="DI500" s="195"/>
      <c r="DJ500" s="195"/>
      <c r="DK500" s="195"/>
      <c r="DL500" s="195"/>
      <c r="DM500" s="195"/>
      <c r="DN500" s="195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196">
        <v>0</v>
      </c>
      <c r="F501" s="195">
        <v>0</v>
      </c>
      <c r="G501" s="196">
        <v>20247</v>
      </c>
      <c r="H501" s="195">
        <v>47285.43</v>
      </c>
      <c r="I501" s="196">
        <v>0</v>
      </c>
      <c r="J501" s="195">
        <v>0</v>
      </c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  <c r="DB501" s="195"/>
      <c r="DC501" s="195"/>
      <c r="DD501" s="195"/>
      <c r="DE501" s="195"/>
      <c r="DF501" s="195"/>
      <c r="DG501" s="195"/>
      <c r="DH501" s="195"/>
      <c r="DI501" s="195"/>
      <c r="DJ501" s="195"/>
      <c r="DK501" s="195"/>
      <c r="DL501" s="195"/>
      <c r="DM501" s="195"/>
      <c r="DN501" s="195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196">
        <v>0</v>
      </c>
      <c r="F502" s="195">
        <v>0</v>
      </c>
      <c r="G502" s="196">
        <v>0</v>
      </c>
      <c r="H502" s="195">
        <v>0</v>
      </c>
      <c r="I502" s="196">
        <v>0</v>
      </c>
      <c r="J502" s="195">
        <v>0</v>
      </c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  <c r="DB502" s="195"/>
      <c r="DC502" s="195"/>
      <c r="DD502" s="195"/>
      <c r="DE502" s="195"/>
      <c r="DF502" s="195"/>
      <c r="DG502" s="195"/>
      <c r="DH502" s="195"/>
      <c r="DI502" s="195"/>
      <c r="DJ502" s="195"/>
      <c r="DK502" s="195"/>
      <c r="DL502" s="195"/>
      <c r="DM502" s="195"/>
      <c r="DN502" s="195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196">
        <v>0</v>
      </c>
      <c r="F503" s="195">
        <v>0</v>
      </c>
      <c r="G503" s="196">
        <v>0</v>
      </c>
      <c r="H503" s="195">
        <v>0</v>
      </c>
      <c r="I503" s="196">
        <v>0</v>
      </c>
      <c r="J503" s="195">
        <v>0</v>
      </c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  <c r="DB503" s="195"/>
      <c r="DC503" s="195"/>
      <c r="DD503" s="195"/>
      <c r="DE503" s="195"/>
      <c r="DF503" s="195"/>
      <c r="DG503" s="195"/>
      <c r="DH503" s="195"/>
      <c r="DI503" s="195"/>
      <c r="DJ503" s="195"/>
      <c r="DK503" s="195"/>
      <c r="DL503" s="195"/>
      <c r="DM503" s="195"/>
      <c r="DN503" s="195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196">
        <v>0</v>
      </c>
      <c r="F504" s="195">
        <v>0</v>
      </c>
      <c r="G504" s="196">
        <v>0</v>
      </c>
      <c r="H504" s="195">
        <v>0</v>
      </c>
      <c r="I504" s="196">
        <v>0</v>
      </c>
      <c r="J504" s="195">
        <v>0</v>
      </c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  <c r="DB504" s="195"/>
      <c r="DC504" s="195"/>
      <c r="DD504" s="195"/>
      <c r="DE504" s="195"/>
      <c r="DF504" s="195"/>
      <c r="DG504" s="195"/>
      <c r="DH504" s="195"/>
      <c r="DI504" s="195"/>
      <c r="DJ504" s="195"/>
      <c r="DK504" s="195"/>
      <c r="DL504" s="195"/>
      <c r="DM504" s="195"/>
      <c r="DN504" s="195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196">
        <v>3731557</v>
      </c>
      <c r="F505" s="195">
        <v>8966931.4710000008</v>
      </c>
      <c r="G505" s="196">
        <v>-4376016</v>
      </c>
      <c r="H505" s="195">
        <v>-10515566.448000001</v>
      </c>
      <c r="I505" s="196">
        <v>413225</v>
      </c>
      <c r="J505" s="195">
        <v>992979.67500000005</v>
      </c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  <c r="DB505" s="195"/>
      <c r="DC505" s="195"/>
      <c r="DD505" s="195"/>
      <c r="DE505" s="195"/>
      <c r="DF505" s="195"/>
      <c r="DG505" s="195"/>
      <c r="DH505" s="195"/>
      <c r="DI505" s="195"/>
      <c r="DJ505" s="195"/>
      <c r="DK505" s="195"/>
      <c r="DL505" s="195"/>
      <c r="DM505" s="195"/>
      <c r="DN505" s="195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196">
        <v>-324965</v>
      </c>
      <c r="F506" s="195">
        <v>-780890.89500000002</v>
      </c>
      <c r="G506" s="196">
        <v>-5132</v>
      </c>
      <c r="H506" s="195">
        <v>-12332.196</v>
      </c>
      <c r="I506" s="196">
        <v>28</v>
      </c>
      <c r="J506" s="195">
        <v>67.284000000000006</v>
      </c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  <c r="DB506" s="195"/>
      <c r="DC506" s="195"/>
      <c r="DD506" s="195"/>
      <c r="DE506" s="195"/>
      <c r="DF506" s="195"/>
      <c r="DG506" s="195"/>
      <c r="DH506" s="195"/>
      <c r="DI506" s="195"/>
      <c r="DJ506" s="195"/>
      <c r="DK506" s="195"/>
      <c r="DL506" s="195"/>
      <c r="DM506" s="195"/>
      <c r="DN506" s="195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196">
        <v>-20284585</v>
      </c>
      <c r="F507" s="195">
        <v>-332935.93</v>
      </c>
      <c r="G507" s="196">
        <v>2091007</v>
      </c>
      <c r="H507" s="195">
        <v>-377276.37</v>
      </c>
      <c r="I507" s="196">
        <v>-927632</v>
      </c>
      <c r="J507" s="195">
        <v>219.3499999999992</v>
      </c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  <c r="DB507" s="195"/>
      <c r="DC507" s="195"/>
      <c r="DD507" s="195"/>
      <c r="DE507" s="195"/>
      <c r="DF507" s="195"/>
      <c r="DG507" s="195"/>
      <c r="DH507" s="195"/>
      <c r="DI507" s="195"/>
      <c r="DJ507" s="195"/>
      <c r="DK507" s="195"/>
      <c r="DL507" s="195"/>
      <c r="DM507" s="195"/>
      <c r="DN507" s="195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196">
        <v>0</v>
      </c>
      <c r="F508" s="195">
        <v>-2109665.7400000002</v>
      </c>
      <c r="G508" s="196">
        <v>0</v>
      </c>
      <c r="H508" s="195">
        <v>-57600.58</v>
      </c>
      <c r="I508" s="196">
        <v>0</v>
      </c>
      <c r="J508" s="195">
        <v>-112208.17</v>
      </c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  <c r="DB508" s="195"/>
      <c r="DC508" s="195"/>
      <c r="DD508" s="195"/>
      <c r="DE508" s="195"/>
      <c r="DF508" s="195"/>
      <c r="DG508" s="195"/>
      <c r="DH508" s="195"/>
      <c r="DI508" s="195"/>
      <c r="DJ508" s="195"/>
      <c r="DK508" s="195"/>
      <c r="DL508" s="195"/>
      <c r="DM508" s="195"/>
      <c r="DN508" s="195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196">
        <v>0</v>
      </c>
      <c r="F509" s="195">
        <v>0</v>
      </c>
      <c r="G509" s="196">
        <v>0</v>
      </c>
      <c r="H509" s="195">
        <v>0</v>
      </c>
      <c r="I509" s="196">
        <v>0</v>
      </c>
      <c r="J509" s="195">
        <v>0</v>
      </c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  <c r="DB509" s="195"/>
      <c r="DC509" s="195"/>
      <c r="DD509" s="195"/>
      <c r="DE509" s="195"/>
      <c r="DF509" s="195"/>
      <c r="DG509" s="195"/>
      <c r="DH509" s="195"/>
      <c r="DI509" s="195"/>
      <c r="DJ509" s="195"/>
      <c r="DK509" s="195"/>
      <c r="DL509" s="195"/>
      <c r="DM509" s="195"/>
      <c r="DN509" s="195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196">
        <v>0</v>
      </c>
      <c r="F510" s="195">
        <v>0</v>
      </c>
      <c r="G510" s="196">
        <v>0</v>
      </c>
      <c r="H510" s="195">
        <v>0</v>
      </c>
      <c r="I510" s="196">
        <v>0</v>
      </c>
      <c r="J510" s="195">
        <v>0</v>
      </c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  <c r="DB510" s="195"/>
      <c r="DC510" s="195"/>
      <c r="DD510" s="195"/>
      <c r="DE510" s="195"/>
      <c r="DF510" s="195"/>
      <c r="DG510" s="195"/>
      <c r="DH510" s="195"/>
      <c r="DI510" s="195"/>
      <c r="DJ510" s="195"/>
      <c r="DK510" s="195"/>
      <c r="DL510" s="195"/>
      <c r="DM510" s="195"/>
      <c r="DN510" s="195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196">
        <v>0</v>
      </c>
      <c r="F511" s="195">
        <v>0</v>
      </c>
      <c r="G511" s="196">
        <v>0</v>
      </c>
      <c r="H511" s="195">
        <v>0</v>
      </c>
      <c r="I511" s="196">
        <v>0</v>
      </c>
      <c r="J511" s="195">
        <v>0</v>
      </c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  <c r="DB511" s="195"/>
      <c r="DC511" s="195"/>
      <c r="DD511" s="195"/>
      <c r="DE511" s="195"/>
      <c r="DF511" s="195"/>
      <c r="DG511" s="195"/>
      <c r="DH511" s="195"/>
      <c r="DI511" s="195"/>
      <c r="DJ511" s="195"/>
      <c r="DK511" s="195"/>
      <c r="DL511" s="195"/>
      <c r="DM511" s="195"/>
      <c r="DN511" s="195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196">
        <v>0</v>
      </c>
      <c r="F512" s="195">
        <v>0</v>
      </c>
      <c r="G512" s="196">
        <v>0</v>
      </c>
      <c r="H512" s="195">
        <v>0</v>
      </c>
      <c r="I512" s="196">
        <v>0</v>
      </c>
      <c r="J512" s="195">
        <v>0</v>
      </c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  <c r="DB512" s="195"/>
      <c r="DC512" s="195"/>
      <c r="DD512" s="195"/>
      <c r="DE512" s="195"/>
      <c r="DF512" s="195"/>
      <c r="DG512" s="195"/>
      <c r="DH512" s="195"/>
      <c r="DI512" s="195"/>
      <c r="DJ512" s="195"/>
      <c r="DK512" s="195"/>
      <c r="DL512" s="195"/>
      <c r="DM512" s="195"/>
      <c r="DN512" s="195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196">
        <v>0</v>
      </c>
      <c r="F513" s="195">
        <v>0</v>
      </c>
      <c r="G513" s="196">
        <v>0</v>
      </c>
      <c r="H513" s="195">
        <v>0</v>
      </c>
      <c r="I513" s="196">
        <v>0</v>
      </c>
      <c r="J513" s="195">
        <v>0</v>
      </c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  <c r="DB513" s="195"/>
      <c r="DC513" s="195"/>
      <c r="DD513" s="195"/>
      <c r="DE513" s="195"/>
      <c r="DF513" s="195"/>
      <c r="DG513" s="195"/>
      <c r="DH513" s="195"/>
      <c r="DI513" s="195"/>
      <c r="DJ513" s="195"/>
      <c r="DK513" s="195"/>
      <c r="DL513" s="195"/>
      <c r="DM513" s="195"/>
      <c r="DN513" s="195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196">
        <v>0</v>
      </c>
      <c r="F514" s="195">
        <v>0</v>
      </c>
      <c r="G514" s="196">
        <v>0</v>
      </c>
      <c r="H514" s="195">
        <v>0</v>
      </c>
      <c r="I514" s="196">
        <v>0</v>
      </c>
      <c r="J514" s="195">
        <v>0</v>
      </c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  <c r="DB514" s="195"/>
      <c r="DC514" s="195"/>
      <c r="DD514" s="195"/>
      <c r="DE514" s="195"/>
      <c r="DF514" s="195"/>
      <c r="DG514" s="195"/>
      <c r="DH514" s="195"/>
      <c r="DI514" s="195"/>
      <c r="DJ514" s="195"/>
      <c r="DK514" s="195"/>
      <c r="DL514" s="195"/>
      <c r="DM514" s="195"/>
      <c r="DN514" s="195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196">
        <v>0</v>
      </c>
      <c r="F515" s="195">
        <v>0</v>
      </c>
      <c r="G515" s="196">
        <v>0</v>
      </c>
      <c r="H515" s="195">
        <v>0</v>
      </c>
      <c r="I515" s="196">
        <v>0</v>
      </c>
      <c r="J515" s="195">
        <v>0</v>
      </c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  <c r="DB515" s="195"/>
      <c r="DC515" s="195"/>
      <c r="DD515" s="195"/>
      <c r="DE515" s="195"/>
      <c r="DF515" s="195"/>
      <c r="DG515" s="195"/>
      <c r="DH515" s="195"/>
      <c r="DI515" s="195"/>
      <c r="DJ515" s="195"/>
      <c r="DK515" s="195"/>
      <c r="DL515" s="195"/>
      <c r="DM515" s="195"/>
      <c r="DN515" s="195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196">
        <v>0</v>
      </c>
      <c r="F516" s="195">
        <v>0</v>
      </c>
      <c r="G516" s="196">
        <v>0</v>
      </c>
      <c r="H516" s="195">
        <v>0</v>
      </c>
      <c r="I516" s="196">
        <v>0</v>
      </c>
      <c r="J516" s="195">
        <v>0</v>
      </c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  <c r="DB516" s="195"/>
      <c r="DC516" s="195"/>
      <c r="DD516" s="195"/>
      <c r="DE516" s="195"/>
      <c r="DF516" s="195"/>
      <c r="DG516" s="195"/>
      <c r="DH516" s="195"/>
      <c r="DI516" s="195"/>
      <c r="DJ516" s="195"/>
      <c r="DK516" s="195"/>
      <c r="DL516" s="195"/>
      <c r="DM516" s="195"/>
      <c r="DN516" s="195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196">
        <v>0</v>
      </c>
      <c r="F517" s="195">
        <v>0</v>
      </c>
      <c r="G517" s="196">
        <v>0</v>
      </c>
      <c r="H517" s="195">
        <v>0</v>
      </c>
      <c r="I517" s="196">
        <v>0</v>
      </c>
      <c r="J517" s="195">
        <v>0</v>
      </c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  <c r="DB517" s="195"/>
      <c r="DC517" s="195"/>
      <c r="DD517" s="195"/>
      <c r="DE517" s="195"/>
      <c r="DF517" s="195"/>
      <c r="DG517" s="195"/>
      <c r="DH517" s="195"/>
      <c r="DI517" s="195"/>
      <c r="DJ517" s="195"/>
      <c r="DK517" s="195"/>
      <c r="DL517" s="195"/>
      <c r="DM517" s="195"/>
      <c r="DN517" s="195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196">
        <v>0</v>
      </c>
      <c r="F518" s="195">
        <v>-19326.22</v>
      </c>
      <c r="G518" s="196">
        <v>0</v>
      </c>
      <c r="H518" s="195">
        <v>-1166.33</v>
      </c>
      <c r="I518" s="196">
        <v>0</v>
      </c>
      <c r="J518" s="195">
        <v>0</v>
      </c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  <c r="DB518" s="195"/>
      <c r="DC518" s="195"/>
      <c r="DD518" s="195"/>
      <c r="DE518" s="195"/>
      <c r="DF518" s="195"/>
      <c r="DG518" s="195"/>
      <c r="DH518" s="195"/>
      <c r="DI518" s="195"/>
      <c r="DJ518" s="195"/>
      <c r="DK518" s="195"/>
      <c r="DL518" s="195"/>
      <c r="DM518" s="195"/>
      <c r="DN518" s="195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196">
        <v>0</v>
      </c>
      <c r="F519" s="195">
        <v>0</v>
      </c>
      <c r="G519" s="196">
        <v>0</v>
      </c>
      <c r="H519" s="195">
        <v>0</v>
      </c>
      <c r="I519" s="196">
        <v>0</v>
      </c>
      <c r="J519" s="195">
        <v>0</v>
      </c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  <c r="DB519" s="195"/>
      <c r="DC519" s="195"/>
      <c r="DD519" s="195"/>
      <c r="DE519" s="195"/>
      <c r="DF519" s="195"/>
      <c r="DG519" s="195"/>
      <c r="DH519" s="195"/>
      <c r="DI519" s="195"/>
      <c r="DJ519" s="195"/>
      <c r="DK519" s="195"/>
      <c r="DL519" s="195"/>
      <c r="DM519" s="195"/>
      <c r="DN519" s="195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196">
        <v>0</v>
      </c>
      <c r="F520" s="195">
        <v>0</v>
      </c>
      <c r="G520" s="196">
        <v>0</v>
      </c>
      <c r="H520" s="195">
        <v>0</v>
      </c>
      <c r="I520" s="196">
        <v>0</v>
      </c>
      <c r="J520" s="195">
        <v>0</v>
      </c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  <c r="DB520" s="195"/>
      <c r="DC520" s="195"/>
      <c r="DD520" s="195"/>
      <c r="DE520" s="195"/>
      <c r="DF520" s="195"/>
      <c r="DG520" s="195"/>
      <c r="DH520" s="195"/>
      <c r="DI520" s="195"/>
      <c r="DJ520" s="195"/>
      <c r="DK520" s="195"/>
      <c r="DL520" s="195"/>
      <c r="DM520" s="195"/>
      <c r="DN520" s="195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196">
        <v>0</v>
      </c>
      <c r="F521" s="195">
        <v>0</v>
      </c>
      <c r="G521" s="196">
        <v>0</v>
      </c>
      <c r="H521" s="195">
        <v>0</v>
      </c>
      <c r="I521" s="196">
        <v>0</v>
      </c>
      <c r="J521" s="195">
        <v>0</v>
      </c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  <c r="DB521" s="195"/>
      <c r="DC521" s="195"/>
      <c r="DD521" s="195"/>
      <c r="DE521" s="195"/>
      <c r="DF521" s="195"/>
      <c r="DG521" s="195"/>
      <c r="DH521" s="195"/>
      <c r="DI521" s="195"/>
      <c r="DJ521" s="195"/>
      <c r="DK521" s="195"/>
      <c r="DL521" s="195"/>
      <c r="DM521" s="195"/>
      <c r="DN521" s="195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196">
        <v>0</v>
      </c>
      <c r="F522" s="195">
        <v>0</v>
      </c>
      <c r="G522" s="196">
        <v>0</v>
      </c>
      <c r="H522" s="195">
        <v>0</v>
      </c>
      <c r="I522" s="196">
        <v>0</v>
      </c>
      <c r="J522" s="195">
        <v>0</v>
      </c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  <c r="DB522" s="195"/>
      <c r="DC522" s="195"/>
      <c r="DD522" s="195"/>
      <c r="DE522" s="195"/>
      <c r="DF522" s="195"/>
      <c r="DG522" s="195"/>
      <c r="DH522" s="195"/>
      <c r="DI522" s="195"/>
      <c r="DJ522" s="195"/>
      <c r="DK522" s="195"/>
      <c r="DL522" s="195"/>
      <c r="DM522" s="195"/>
      <c r="DN522" s="195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196">
        <v>0</v>
      </c>
      <c r="F523" s="195">
        <v>7142.84</v>
      </c>
      <c r="G523" s="196">
        <v>0</v>
      </c>
      <c r="H523" s="195">
        <v>-2261</v>
      </c>
      <c r="I523" s="196">
        <v>0</v>
      </c>
      <c r="J523" s="195">
        <v>0</v>
      </c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  <c r="DB523" s="195"/>
      <c r="DC523" s="195"/>
      <c r="DD523" s="195"/>
      <c r="DE523" s="195"/>
      <c r="DF523" s="195"/>
      <c r="DG523" s="195"/>
      <c r="DH523" s="195"/>
      <c r="DI523" s="195"/>
      <c r="DJ523" s="195"/>
      <c r="DK523" s="195"/>
      <c r="DL523" s="195"/>
      <c r="DM523" s="195"/>
      <c r="DN523" s="195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196">
        <v>0</v>
      </c>
      <c r="F524" s="195">
        <v>0</v>
      </c>
      <c r="G524" s="196">
        <v>0</v>
      </c>
      <c r="H524" s="195">
        <v>0</v>
      </c>
      <c r="I524" s="196">
        <v>0</v>
      </c>
      <c r="J524" s="195">
        <v>0</v>
      </c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  <c r="DB524" s="195"/>
      <c r="DC524" s="195"/>
      <c r="DD524" s="195"/>
      <c r="DE524" s="195"/>
      <c r="DF524" s="195"/>
      <c r="DG524" s="195"/>
      <c r="DH524" s="195"/>
      <c r="DI524" s="195"/>
      <c r="DJ524" s="195"/>
      <c r="DK524" s="195"/>
      <c r="DL524" s="195"/>
      <c r="DM524" s="195"/>
      <c r="DN524" s="195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196">
        <v>0</v>
      </c>
      <c r="F525" s="195">
        <v>0</v>
      </c>
      <c r="G525" s="196">
        <v>0</v>
      </c>
      <c r="H525" s="195">
        <v>0</v>
      </c>
      <c r="I525" s="196">
        <v>0</v>
      </c>
      <c r="J525" s="195">
        <v>0</v>
      </c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  <c r="DB525" s="195"/>
      <c r="DC525" s="195"/>
      <c r="DD525" s="195"/>
      <c r="DE525" s="195"/>
      <c r="DF525" s="195"/>
      <c r="DG525" s="195"/>
      <c r="DH525" s="195"/>
      <c r="DI525" s="195"/>
      <c r="DJ525" s="195"/>
      <c r="DK525" s="195"/>
      <c r="DL525" s="195"/>
      <c r="DM525" s="195"/>
      <c r="DN525" s="195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196">
        <v>0</v>
      </c>
      <c r="F526" s="195">
        <v>0</v>
      </c>
      <c r="G526" s="196">
        <v>0</v>
      </c>
      <c r="H526" s="195">
        <v>0</v>
      </c>
      <c r="I526" s="196">
        <v>0</v>
      </c>
      <c r="J526" s="195">
        <v>0</v>
      </c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  <c r="DB526" s="195"/>
      <c r="DC526" s="195"/>
      <c r="DD526" s="195"/>
      <c r="DE526" s="195"/>
      <c r="DF526" s="195"/>
      <c r="DG526" s="195"/>
      <c r="DH526" s="195"/>
      <c r="DI526" s="195"/>
      <c r="DJ526" s="195"/>
      <c r="DK526" s="195"/>
      <c r="DL526" s="195"/>
      <c r="DM526" s="195"/>
      <c r="DN526" s="195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196">
        <v>0</v>
      </c>
      <c r="F527" s="195">
        <v>0</v>
      </c>
      <c r="G527" s="196">
        <v>0</v>
      </c>
      <c r="H527" s="195">
        <v>0</v>
      </c>
      <c r="I527" s="196">
        <v>0</v>
      </c>
      <c r="J527" s="195">
        <v>0</v>
      </c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  <c r="DB527" s="195"/>
      <c r="DC527" s="195"/>
      <c r="DD527" s="195"/>
      <c r="DE527" s="195"/>
      <c r="DF527" s="195"/>
      <c r="DG527" s="195"/>
      <c r="DH527" s="195"/>
      <c r="DI527" s="195"/>
      <c r="DJ527" s="195"/>
      <c r="DK527" s="195"/>
      <c r="DL527" s="195"/>
      <c r="DM527" s="195"/>
      <c r="DN527" s="195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196">
        <v>0</v>
      </c>
      <c r="F528" s="195">
        <v>0</v>
      </c>
      <c r="G528" s="196">
        <v>0</v>
      </c>
      <c r="H528" s="195">
        <v>0</v>
      </c>
      <c r="I528" s="196">
        <v>0</v>
      </c>
      <c r="J528" s="195">
        <v>0</v>
      </c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  <c r="DB528" s="195"/>
      <c r="DC528" s="195"/>
      <c r="DD528" s="195"/>
      <c r="DE528" s="195"/>
      <c r="DF528" s="195"/>
      <c r="DG528" s="195"/>
      <c r="DH528" s="195"/>
      <c r="DI528" s="195"/>
      <c r="DJ528" s="195"/>
      <c r="DK528" s="195"/>
      <c r="DL528" s="195"/>
      <c r="DM528" s="195"/>
      <c r="DN528" s="195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196">
        <v>0</v>
      </c>
      <c r="F529" s="195">
        <v>0</v>
      </c>
      <c r="G529" s="196">
        <v>0</v>
      </c>
      <c r="H529" s="195">
        <v>0</v>
      </c>
      <c r="I529" s="196">
        <v>0</v>
      </c>
      <c r="J529" s="195">
        <v>0</v>
      </c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  <c r="DB529" s="195"/>
      <c r="DC529" s="195"/>
      <c r="DD529" s="195"/>
      <c r="DE529" s="195"/>
      <c r="DF529" s="195"/>
      <c r="DG529" s="195"/>
      <c r="DH529" s="195"/>
      <c r="DI529" s="195"/>
      <c r="DJ529" s="195"/>
      <c r="DK529" s="195"/>
      <c r="DL529" s="195"/>
      <c r="DM529" s="195"/>
      <c r="DN529" s="195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196">
        <v>0</v>
      </c>
      <c r="F530" s="195">
        <v>0</v>
      </c>
      <c r="G530" s="196">
        <v>0</v>
      </c>
      <c r="H530" s="195">
        <v>0</v>
      </c>
      <c r="I530" s="196">
        <v>0</v>
      </c>
      <c r="J530" s="195">
        <v>0</v>
      </c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  <c r="DB530" s="195"/>
      <c r="DC530" s="195"/>
      <c r="DD530" s="195"/>
      <c r="DE530" s="195"/>
      <c r="DF530" s="195"/>
      <c r="DG530" s="195"/>
      <c r="DH530" s="195"/>
      <c r="DI530" s="195"/>
      <c r="DJ530" s="195"/>
      <c r="DK530" s="195"/>
      <c r="DL530" s="195"/>
      <c r="DM530" s="195"/>
      <c r="DN530" s="195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196">
        <v>0</v>
      </c>
      <c r="F531" s="195">
        <v>0</v>
      </c>
      <c r="G531" s="196">
        <v>0</v>
      </c>
      <c r="H531" s="195">
        <v>0</v>
      </c>
      <c r="I531" s="196">
        <v>0</v>
      </c>
      <c r="J531" s="195">
        <v>0</v>
      </c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  <c r="DB531" s="195"/>
      <c r="DC531" s="195"/>
      <c r="DD531" s="195"/>
      <c r="DE531" s="195"/>
      <c r="DF531" s="195"/>
      <c r="DG531" s="195"/>
      <c r="DH531" s="195"/>
      <c r="DI531" s="195"/>
      <c r="DJ531" s="195"/>
      <c r="DK531" s="195"/>
      <c r="DL531" s="195"/>
      <c r="DM531" s="195"/>
      <c r="DN531" s="195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196">
        <v>0</v>
      </c>
      <c r="F532" s="195">
        <v>0</v>
      </c>
      <c r="G532" s="196">
        <v>0</v>
      </c>
      <c r="H532" s="195">
        <v>0</v>
      </c>
      <c r="I532" s="196">
        <v>0</v>
      </c>
      <c r="J532" s="195">
        <v>0</v>
      </c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  <c r="DB532" s="195"/>
      <c r="DC532" s="195"/>
      <c r="DD532" s="195"/>
      <c r="DE532" s="195"/>
      <c r="DF532" s="195"/>
      <c r="DG532" s="195"/>
      <c r="DH532" s="195"/>
      <c r="DI532" s="195"/>
      <c r="DJ532" s="195"/>
      <c r="DK532" s="195"/>
      <c r="DL532" s="195"/>
      <c r="DM532" s="195"/>
      <c r="DN532" s="195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196">
        <v>0</v>
      </c>
      <c r="F533" s="195">
        <v>0</v>
      </c>
      <c r="G533" s="196">
        <v>0</v>
      </c>
      <c r="H533" s="195">
        <v>0</v>
      </c>
      <c r="I533" s="196">
        <v>0</v>
      </c>
      <c r="J533" s="195">
        <v>0</v>
      </c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  <c r="DB533" s="195"/>
      <c r="DC533" s="195"/>
      <c r="DD533" s="195"/>
      <c r="DE533" s="195"/>
      <c r="DF533" s="195"/>
      <c r="DG533" s="195"/>
      <c r="DH533" s="195"/>
      <c r="DI533" s="195"/>
      <c r="DJ533" s="195"/>
      <c r="DK533" s="195"/>
      <c r="DL533" s="195"/>
      <c r="DM533" s="195"/>
      <c r="DN533" s="195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196">
        <v>0</v>
      </c>
      <c r="F534" s="195">
        <v>0</v>
      </c>
      <c r="G534" s="196">
        <v>0</v>
      </c>
      <c r="H534" s="195">
        <v>0</v>
      </c>
      <c r="I534" s="196">
        <v>0</v>
      </c>
      <c r="J534" s="195">
        <v>0</v>
      </c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  <c r="DB534" s="195"/>
      <c r="DC534" s="195"/>
      <c r="DD534" s="195"/>
      <c r="DE534" s="195"/>
      <c r="DF534" s="195"/>
      <c r="DG534" s="195"/>
      <c r="DH534" s="195"/>
      <c r="DI534" s="195"/>
      <c r="DJ534" s="195"/>
      <c r="DK534" s="195"/>
      <c r="DL534" s="195"/>
      <c r="DM534" s="195"/>
      <c r="DN534" s="195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196">
        <v>0</v>
      </c>
      <c r="F535" s="195">
        <v>0</v>
      </c>
      <c r="G535" s="196">
        <v>0</v>
      </c>
      <c r="H535" s="195">
        <v>0</v>
      </c>
      <c r="I535" s="196">
        <v>0</v>
      </c>
      <c r="J535" s="195">
        <v>0</v>
      </c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  <c r="DB535" s="195"/>
      <c r="DC535" s="195"/>
      <c r="DD535" s="195"/>
      <c r="DE535" s="195"/>
      <c r="DF535" s="195"/>
      <c r="DG535" s="195"/>
      <c r="DH535" s="195"/>
      <c r="DI535" s="195"/>
      <c r="DJ535" s="195"/>
      <c r="DK535" s="195"/>
      <c r="DL535" s="195"/>
      <c r="DM535" s="195"/>
      <c r="DN535" s="195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196">
        <v>0</v>
      </c>
      <c r="F536" s="195">
        <v>0</v>
      </c>
      <c r="G536" s="196">
        <v>0</v>
      </c>
      <c r="H536" s="195">
        <v>0</v>
      </c>
      <c r="I536" s="196">
        <v>0</v>
      </c>
      <c r="J536" s="195">
        <v>0</v>
      </c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  <c r="DB536" s="195"/>
      <c r="DC536" s="195"/>
      <c r="DD536" s="195"/>
      <c r="DE536" s="195"/>
      <c r="DF536" s="195"/>
      <c r="DG536" s="195"/>
      <c r="DH536" s="195"/>
      <c r="DI536" s="195"/>
      <c r="DJ536" s="195"/>
      <c r="DK536" s="195"/>
      <c r="DL536" s="195"/>
      <c r="DM536" s="195"/>
      <c r="DN536" s="195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196">
        <v>0</v>
      </c>
      <c r="F537" s="195">
        <v>0</v>
      </c>
      <c r="G537" s="196">
        <v>0</v>
      </c>
      <c r="H537" s="195">
        <v>0</v>
      </c>
      <c r="I537" s="196">
        <v>0</v>
      </c>
      <c r="J537" s="195">
        <v>0</v>
      </c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  <c r="DB537" s="195"/>
      <c r="DC537" s="195"/>
      <c r="DD537" s="195"/>
      <c r="DE537" s="195"/>
      <c r="DF537" s="195"/>
      <c r="DG537" s="195"/>
      <c r="DH537" s="195"/>
      <c r="DI537" s="195"/>
      <c r="DJ537" s="195"/>
      <c r="DK537" s="195"/>
      <c r="DL537" s="195"/>
      <c r="DM537" s="195"/>
      <c r="DN537" s="195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196">
        <v>0</v>
      </c>
      <c r="F538" s="195">
        <v>0</v>
      </c>
      <c r="G538" s="196">
        <v>0</v>
      </c>
      <c r="H538" s="195">
        <v>0</v>
      </c>
      <c r="I538" s="196">
        <v>0</v>
      </c>
      <c r="J538" s="195">
        <v>0</v>
      </c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  <c r="DB538" s="195"/>
      <c r="DC538" s="195"/>
      <c r="DD538" s="195"/>
      <c r="DE538" s="195"/>
      <c r="DF538" s="195"/>
      <c r="DG538" s="195"/>
      <c r="DH538" s="195"/>
      <c r="DI538" s="195"/>
      <c r="DJ538" s="195"/>
      <c r="DK538" s="195"/>
      <c r="DL538" s="195"/>
      <c r="DM538" s="195"/>
      <c r="DN538" s="195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196">
        <v>0</v>
      </c>
      <c r="F539" s="195">
        <v>0</v>
      </c>
      <c r="G539" s="196">
        <v>0</v>
      </c>
      <c r="H539" s="195">
        <v>0</v>
      </c>
      <c r="I539" s="196">
        <v>0</v>
      </c>
      <c r="J539" s="195">
        <v>0</v>
      </c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  <c r="DB539" s="195"/>
      <c r="DC539" s="195"/>
      <c r="DD539" s="195"/>
      <c r="DE539" s="195"/>
      <c r="DF539" s="195"/>
      <c r="DG539" s="195"/>
      <c r="DH539" s="195"/>
      <c r="DI539" s="195"/>
      <c r="DJ539" s="195"/>
      <c r="DK539" s="195"/>
      <c r="DL539" s="195"/>
      <c r="DM539" s="195"/>
      <c r="DN539" s="195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196">
        <v>0</v>
      </c>
      <c r="F540" s="195">
        <v>0</v>
      </c>
      <c r="G540" s="196">
        <v>0</v>
      </c>
      <c r="H540" s="195">
        <v>0</v>
      </c>
      <c r="I540" s="196">
        <v>0</v>
      </c>
      <c r="J540" s="195">
        <v>0</v>
      </c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  <c r="DB540" s="195"/>
      <c r="DC540" s="195"/>
      <c r="DD540" s="195"/>
      <c r="DE540" s="195"/>
      <c r="DF540" s="195"/>
      <c r="DG540" s="195"/>
      <c r="DH540" s="195"/>
      <c r="DI540" s="195"/>
      <c r="DJ540" s="195"/>
      <c r="DK540" s="195"/>
      <c r="DL540" s="195"/>
      <c r="DM540" s="195"/>
      <c r="DN540" s="195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196">
        <v>0</v>
      </c>
      <c r="F541" s="195">
        <v>0</v>
      </c>
      <c r="G541" s="196">
        <v>0</v>
      </c>
      <c r="H541" s="195">
        <v>0</v>
      </c>
      <c r="I541" s="196">
        <v>0</v>
      </c>
      <c r="J541" s="195">
        <v>0</v>
      </c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  <c r="DB541" s="195"/>
      <c r="DC541" s="195"/>
      <c r="DD541" s="195"/>
      <c r="DE541" s="195"/>
      <c r="DF541" s="195"/>
      <c r="DG541" s="195"/>
      <c r="DH541" s="195"/>
      <c r="DI541" s="195"/>
      <c r="DJ541" s="195"/>
      <c r="DK541" s="195"/>
      <c r="DL541" s="195"/>
      <c r="DM541" s="195"/>
      <c r="DN541" s="195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196">
        <v>0</v>
      </c>
      <c r="F542" s="195">
        <v>0</v>
      </c>
      <c r="G542" s="196">
        <v>0</v>
      </c>
      <c r="H542" s="195">
        <v>0</v>
      </c>
      <c r="I542" s="196">
        <v>0</v>
      </c>
      <c r="J542" s="195">
        <v>0</v>
      </c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  <c r="DB542" s="195"/>
      <c r="DC542" s="195"/>
      <c r="DD542" s="195"/>
      <c r="DE542" s="195"/>
      <c r="DF542" s="195"/>
      <c r="DG542" s="195"/>
      <c r="DH542" s="195"/>
      <c r="DI542" s="195"/>
      <c r="DJ542" s="195"/>
      <c r="DK542" s="195"/>
      <c r="DL542" s="195"/>
      <c r="DM542" s="195"/>
      <c r="DN542" s="195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196">
        <v>0</v>
      </c>
      <c r="F543" s="195">
        <v>0</v>
      </c>
      <c r="G543" s="196">
        <v>0</v>
      </c>
      <c r="H543" s="195">
        <v>0</v>
      </c>
      <c r="I543" s="196">
        <v>0</v>
      </c>
      <c r="J543" s="195">
        <v>0</v>
      </c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  <c r="DB543" s="195"/>
      <c r="DC543" s="195"/>
      <c r="DD543" s="195"/>
      <c r="DE543" s="195"/>
      <c r="DF543" s="195"/>
      <c r="DG543" s="195"/>
      <c r="DH543" s="195"/>
      <c r="DI543" s="195"/>
      <c r="DJ543" s="195"/>
      <c r="DK543" s="195"/>
      <c r="DL543" s="195"/>
      <c r="DM543" s="195"/>
      <c r="DN543" s="195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196">
        <v>0</v>
      </c>
      <c r="F544" s="195">
        <v>0</v>
      </c>
      <c r="G544" s="196">
        <v>0</v>
      </c>
      <c r="H544" s="195">
        <v>0</v>
      </c>
      <c r="I544" s="196">
        <v>0</v>
      </c>
      <c r="J544" s="195">
        <v>0</v>
      </c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  <c r="DB544" s="195"/>
      <c r="DC544" s="195"/>
      <c r="DD544" s="195"/>
      <c r="DE544" s="195"/>
      <c r="DF544" s="195"/>
      <c r="DG544" s="195"/>
      <c r="DH544" s="195"/>
      <c r="DI544" s="195"/>
      <c r="DJ544" s="195"/>
      <c r="DK544" s="195"/>
      <c r="DL544" s="195"/>
      <c r="DM544" s="195"/>
      <c r="DN544" s="195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196">
        <v>0</v>
      </c>
      <c r="F545" s="195">
        <v>0</v>
      </c>
      <c r="G545" s="196">
        <v>0</v>
      </c>
      <c r="H545" s="195">
        <v>0</v>
      </c>
      <c r="I545" s="196">
        <v>0</v>
      </c>
      <c r="J545" s="195">
        <v>0</v>
      </c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  <c r="DB545" s="195"/>
      <c r="DC545" s="195"/>
      <c r="DD545" s="195"/>
      <c r="DE545" s="195"/>
      <c r="DF545" s="195"/>
      <c r="DG545" s="195"/>
      <c r="DH545" s="195"/>
      <c r="DI545" s="195"/>
      <c r="DJ545" s="195"/>
      <c r="DK545" s="195"/>
      <c r="DL545" s="195"/>
      <c r="DM545" s="195"/>
      <c r="DN545" s="195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196">
        <v>0</v>
      </c>
      <c r="F546" s="195">
        <v>0</v>
      </c>
      <c r="G546" s="196">
        <v>0</v>
      </c>
      <c r="H546" s="195">
        <v>0</v>
      </c>
      <c r="I546" s="196">
        <v>0</v>
      </c>
      <c r="J546" s="195">
        <v>0</v>
      </c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  <c r="DB546" s="195"/>
      <c r="DC546" s="195"/>
      <c r="DD546" s="195"/>
      <c r="DE546" s="195"/>
      <c r="DF546" s="195"/>
      <c r="DG546" s="195"/>
      <c r="DH546" s="195"/>
      <c r="DI546" s="195"/>
      <c r="DJ546" s="195"/>
      <c r="DK546" s="195"/>
      <c r="DL546" s="195"/>
      <c r="DM546" s="195"/>
      <c r="DN546" s="195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196">
        <v>0</v>
      </c>
      <c r="F547" s="195">
        <v>0</v>
      </c>
      <c r="G547" s="196">
        <v>0</v>
      </c>
      <c r="H547" s="195">
        <v>0</v>
      </c>
      <c r="I547" s="196">
        <v>0</v>
      </c>
      <c r="J547" s="195">
        <v>0</v>
      </c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  <c r="DB547" s="195"/>
      <c r="DC547" s="195"/>
      <c r="DD547" s="195"/>
      <c r="DE547" s="195"/>
      <c r="DF547" s="195"/>
      <c r="DG547" s="195"/>
      <c r="DH547" s="195"/>
      <c r="DI547" s="195"/>
      <c r="DJ547" s="195"/>
      <c r="DK547" s="195"/>
      <c r="DL547" s="195"/>
      <c r="DM547" s="195"/>
      <c r="DN547" s="195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196">
        <v>0</v>
      </c>
      <c r="F548" s="195">
        <v>0</v>
      </c>
      <c r="G548" s="196">
        <v>0</v>
      </c>
      <c r="H548" s="195">
        <v>0</v>
      </c>
      <c r="I548" s="196">
        <v>0</v>
      </c>
      <c r="J548" s="195">
        <v>0</v>
      </c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  <c r="DB548" s="195"/>
      <c r="DC548" s="195"/>
      <c r="DD548" s="195"/>
      <c r="DE548" s="195"/>
      <c r="DF548" s="195"/>
      <c r="DG548" s="195"/>
      <c r="DH548" s="195"/>
      <c r="DI548" s="195"/>
      <c r="DJ548" s="195"/>
      <c r="DK548" s="195"/>
      <c r="DL548" s="195"/>
      <c r="DM548" s="195"/>
      <c r="DN548" s="195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196">
        <v>0</v>
      </c>
      <c r="F549" s="195">
        <v>0</v>
      </c>
      <c r="G549" s="196">
        <v>0</v>
      </c>
      <c r="H549" s="195">
        <v>0</v>
      </c>
      <c r="I549" s="196">
        <v>0</v>
      </c>
      <c r="J549" s="195">
        <v>0</v>
      </c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  <c r="DB549" s="195"/>
      <c r="DC549" s="195"/>
      <c r="DD549" s="195"/>
      <c r="DE549" s="195"/>
      <c r="DF549" s="195"/>
      <c r="DG549" s="195"/>
      <c r="DH549" s="195"/>
      <c r="DI549" s="195"/>
      <c r="DJ549" s="195"/>
      <c r="DK549" s="195"/>
      <c r="DL549" s="195"/>
      <c r="DM549" s="195"/>
      <c r="DN549" s="195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196">
        <v>0</v>
      </c>
      <c r="F550" s="195">
        <v>0</v>
      </c>
      <c r="G550" s="196">
        <v>0</v>
      </c>
      <c r="H550" s="195">
        <v>0</v>
      </c>
      <c r="I550" s="196">
        <v>0</v>
      </c>
      <c r="J550" s="195">
        <v>0</v>
      </c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  <c r="DB550" s="195"/>
      <c r="DC550" s="195"/>
      <c r="DD550" s="195"/>
      <c r="DE550" s="195"/>
      <c r="DF550" s="195"/>
      <c r="DG550" s="195"/>
      <c r="DH550" s="195"/>
      <c r="DI550" s="195"/>
      <c r="DJ550" s="195"/>
      <c r="DK550" s="195"/>
      <c r="DL550" s="195"/>
      <c r="DM550" s="195"/>
      <c r="DN550" s="195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196">
        <v>0</v>
      </c>
      <c r="F551" s="195">
        <v>0</v>
      </c>
      <c r="G551" s="196">
        <v>0</v>
      </c>
      <c r="H551" s="195">
        <v>0</v>
      </c>
      <c r="I551" s="196">
        <v>0</v>
      </c>
      <c r="J551" s="195">
        <v>0</v>
      </c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  <c r="DB551" s="195"/>
      <c r="DC551" s="195"/>
      <c r="DD551" s="195"/>
      <c r="DE551" s="195"/>
      <c r="DF551" s="195"/>
      <c r="DG551" s="195"/>
      <c r="DH551" s="195"/>
      <c r="DI551" s="195"/>
      <c r="DJ551" s="195"/>
      <c r="DK551" s="195"/>
      <c r="DL551" s="195"/>
      <c r="DM551" s="195"/>
      <c r="DN551" s="195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196">
        <v>0</v>
      </c>
      <c r="F552" s="195">
        <v>0</v>
      </c>
      <c r="G552" s="196">
        <v>0</v>
      </c>
      <c r="H552" s="195">
        <v>0</v>
      </c>
      <c r="I552" s="196">
        <v>0</v>
      </c>
      <c r="J552" s="195">
        <v>0</v>
      </c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  <c r="DB552" s="195"/>
      <c r="DC552" s="195"/>
      <c r="DD552" s="195"/>
      <c r="DE552" s="195"/>
      <c r="DF552" s="195"/>
      <c r="DG552" s="195"/>
      <c r="DH552" s="195"/>
      <c r="DI552" s="195"/>
      <c r="DJ552" s="195"/>
      <c r="DK552" s="195"/>
      <c r="DL552" s="195"/>
      <c r="DM552" s="195"/>
      <c r="DN552" s="195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196">
        <v>0</v>
      </c>
      <c r="F553" s="195">
        <v>0</v>
      </c>
      <c r="G553" s="196">
        <v>0</v>
      </c>
      <c r="H553" s="195">
        <v>0</v>
      </c>
      <c r="I553" s="196">
        <v>0</v>
      </c>
      <c r="J553" s="195">
        <v>0</v>
      </c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  <c r="DB553" s="195"/>
      <c r="DC553" s="195"/>
      <c r="DD553" s="195"/>
      <c r="DE553" s="195"/>
      <c r="DF553" s="195"/>
      <c r="DG553" s="195"/>
      <c r="DH553" s="195"/>
      <c r="DI553" s="195"/>
      <c r="DJ553" s="195"/>
      <c r="DK553" s="195"/>
      <c r="DL553" s="195"/>
      <c r="DM553" s="195"/>
      <c r="DN553" s="195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196">
        <v>0</v>
      </c>
      <c r="F554" s="195">
        <v>0</v>
      </c>
      <c r="G554" s="196">
        <v>0</v>
      </c>
      <c r="H554" s="195">
        <v>0</v>
      </c>
      <c r="I554" s="196">
        <v>0</v>
      </c>
      <c r="J554" s="195">
        <v>0</v>
      </c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  <c r="DB554" s="195"/>
      <c r="DC554" s="195"/>
      <c r="DD554" s="195"/>
      <c r="DE554" s="195"/>
      <c r="DF554" s="195"/>
      <c r="DG554" s="195"/>
      <c r="DH554" s="195"/>
      <c r="DI554" s="195"/>
      <c r="DJ554" s="195"/>
      <c r="DK554" s="195"/>
      <c r="DL554" s="195"/>
      <c r="DM554" s="195"/>
      <c r="DN554" s="195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196">
        <v>0</v>
      </c>
      <c r="F555" s="195">
        <v>0</v>
      </c>
      <c r="G555" s="196">
        <v>0</v>
      </c>
      <c r="H555" s="195">
        <v>0</v>
      </c>
      <c r="I555" s="196">
        <v>0</v>
      </c>
      <c r="J555" s="195">
        <v>0</v>
      </c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  <c r="DB555" s="195"/>
      <c r="DC555" s="195"/>
      <c r="DD555" s="195"/>
      <c r="DE555" s="195"/>
      <c r="DF555" s="195"/>
      <c r="DG555" s="195"/>
      <c r="DH555" s="195"/>
      <c r="DI555" s="195"/>
      <c r="DJ555" s="195"/>
      <c r="DK555" s="195"/>
      <c r="DL555" s="195"/>
      <c r="DM555" s="195"/>
      <c r="DN555" s="195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196">
        <v>0</v>
      </c>
      <c r="F556" s="195">
        <v>0</v>
      </c>
      <c r="G556" s="196">
        <v>0</v>
      </c>
      <c r="H556" s="195">
        <v>0</v>
      </c>
      <c r="I556" s="196">
        <v>0</v>
      </c>
      <c r="J556" s="195">
        <v>0</v>
      </c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  <c r="DB556" s="195"/>
      <c r="DC556" s="195"/>
      <c r="DD556" s="195"/>
      <c r="DE556" s="195"/>
      <c r="DF556" s="195"/>
      <c r="DG556" s="195"/>
      <c r="DH556" s="195"/>
      <c r="DI556" s="195"/>
      <c r="DJ556" s="195"/>
      <c r="DK556" s="195"/>
      <c r="DL556" s="195"/>
      <c r="DM556" s="195"/>
      <c r="DN556" s="195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196">
        <v>0</v>
      </c>
      <c r="F557" s="195">
        <v>0</v>
      </c>
      <c r="G557" s="196">
        <v>0</v>
      </c>
      <c r="H557" s="195">
        <v>0</v>
      </c>
      <c r="I557" s="196">
        <v>0</v>
      </c>
      <c r="J557" s="195">
        <v>0</v>
      </c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  <c r="DB557" s="195"/>
      <c r="DC557" s="195"/>
      <c r="DD557" s="195"/>
      <c r="DE557" s="195"/>
      <c r="DF557" s="195"/>
      <c r="DG557" s="195"/>
      <c r="DH557" s="195"/>
      <c r="DI557" s="195"/>
      <c r="DJ557" s="195"/>
      <c r="DK557" s="195"/>
      <c r="DL557" s="195"/>
      <c r="DM557" s="195"/>
      <c r="DN557" s="195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196">
        <v>0</v>
      </c>
      <c r="F558" s="195">
        <v>0</v>
      </c>
      <c r="G558" s="196">
        <v>0</v>
      </c>
      <c r="H558" s="195">
        <v>0</v>
      </c>
      <c r="I558" s="196">
        <v>0</v>
      </c>
      <c r="J558" s="195">
        <v>0</v>
      </c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  <c r="DB558" s="195"/>
      <c r="DC558" s="195"/>
      <c r="DD558" s="195"/>
      <c r="DE558" s="195"/>
      <c r="DF558" s="195"/>
      <c r="DG558" s="195"/>
      <c r="DH558" s="195"/>
      <c r="DI558" s="195"/>
      <c r="DJ558" s="195"/>
      <c r="DK558" s="195"/>
      <c r="DL558" s="195"/>
      <c r="DM558" s="195"/>
      <c r="DN558" s="195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196">
        <v>0</v>
      </c>
      <c r="F559" s="195">
        <v>0</v>
      </c>
      <c r="G559" s="196">
        <v>0</v>
      </c>
      <c r="H559" s="195">
        <v>0</v>
      </c>
      <c r="I559" s="196">
        <v>0</v>
      </c>
      <c r="J559" s="195">
        <v>0</v>
      </c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  <c r="DB559" s="195"/>
      <c r="DC559" s="195"/>
      <c r="DD559" s="195"/>
      <c r="DE559" s="195"/>
      <c r="DF559" s="195"/>
      <c r="DG559" s="195"/>
      <c r="DH559" s="195"/>
      <c r="DI559" s="195"/>
      <c r="DJ559" s="195"/>
      <c r="DK559" s="195"/>
      <c r="DL559" s="195"/>
      <c r="DM559" s="195"/>
      <c r="DN559" s="195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196">
        <v>0</v>
      </c>
      <c r="F560" s="195">
        <v>0</v>
      </c>
      <c r="G560" s="196">
        <v>0</v>
      </c>
      <c r="H560" s="195">
        <v>0</v>
      </c>
      <c r="I560" s="196">
        <v>0</v>
      </c>
      <c r="J560" s="195">
        <v>0</v>
      </c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  <c r="DB560" s="195"/>
      <c r="DC560" s="195"/>
      <c r="DD560" s="195"/>
      <c r="DE560" s="195"/>
      <c r="DF560" s="195"/>
      <c r="DG560" s="195"/>
      <c r="DH560" s="195"/>
      <c r="DI560" s="195"/>
      <c r="DJ560" s="195"/>
      <c r="DK560" s="195"/>
      <c r="DL560" s="195"/>
      <c r="DM560" s="195"/>
      <c r="DN560" s="195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196">
        <v>0</v>
      </c>
      <c r="F561" s="195">
        <v>0</v>
      </c>
      <c r="G561" s="196">
        <v>0</v>
      </c>
      <c r="H561" s="195">
        <v>0</v>
      </c>
      <c r="I561" s="196">
        <v>0</v>
      </c>
      <c r="J561" s="195">
        <v>0</v>
      </c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  <c r="DB561" s="195"/>
      <c r="DC561" s="195"/>
      <c r="DD561" s="195"/>
      <c r="DE561" s="195"/>
      <c r="DF561" s="195"/>
      <c r="DG561" s="195"/>
      <c r="DH561" s="195"/>
      <c r="DI561" s="195"/>
      <c r="DJ561" s="195"/>
      <c r="DK561" s="195"/>
      <c r="DL561" s="195"/>
      <c r="DM561" s="195"/>
      <c r="DN561" s="195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196">
        <v>0</v>
      </c>
      <c r="F562" s="195">
        <v>0</v>
      </c>
      <c r="G562" s="196">
        <v>0</v>
      </c>
      <c r="H562" s="195">
        <v>0</v>
      </c>
      <c r="I562" s="196">
        <v>0</v>
      </c>
      <c r="J562" s="195">
        <v>0</v>
      </c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  <c r="DB562" s="195"/>
      <c r="DC562" s="195"/>
      <c r="DD562" s="195"/>
      <c r="DE562" s="195"/>
      <c r="DF562" s="195"/>
      <c r="DG562" s="195"/>
      <c r="DH562" s="195"/>
      <c r="DI562" s="195"/>
      <c r="DJ562" s="195"/>
      <c r="DK562" s="195"/>
      <c r="DL562" s="195"/>
      <c r="DM562" s="195"/>
      <c r="DN562" s="195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196">
        <v>0</v>
      </c>
      <c r="F563" s="195">
        <v>0</v>
      </c>
      <c r="G563" s="196">
        <v>0</v>
      </c>
      <c r="H563" s="195">
        <v>0</v>
      </c>
      <c r="I563" s="196">
        <v>0</v>
      </c>
      <c r="J563" s="195">
        <v>0</v>
      </c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  <c r="DB563" s="195"/>
      <c r="DC563" s="195"/>
      <c r="DD563" s="195"/>
      <c r="DE563" s="195"/>
      <c r="DF563" s="195"/>
      <c r="DG563" s="195"/>
      <c r="DH563" s="195"/>
      <c r="DI563" s="195"/>
      <c r="DJ563" s="195"/>
      <c r="DK563" s="195"/>
      <c r="DL563" s="195"/>
      <c r="DM563" s="195"/>
      <c r="DN563" s="195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196">
        <v>0</v>
      </c>
      <c r="F564" s="195">
        <v>0</v>
      </c>
      <c r="G564" s="196">
        <v>0</v>
      </c>
      <c r="H564" s="195">
        <v>0</v>
      </c>
      <c r="I564" s="196">
        <v>0</v>
      </c>
      <c r="J564" s="195">
        <v>0</v>
      </c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  <c r="DB564" s="195"/>
      <c r="DC564" s="195"/>
      <c r="DD564" s="195"/>
      <c r="DE564" s="195"/>
      <c r="DF564" s="195"/>
      <c r="DG564" s="195"/>
      <c r="DH564" s="195"/>
      <c r="DI564" s="195"/>
      <c r="DJ564" s="195"/>
      <c r="DK564" s="195"/>
      <c r="DL564" s="195"/>
      <c r="DM564" s="195"/>
      <c r="DN564" s="195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196">
        <v>0</v>
      </c>
      <c r="F565" s="195">
        <v>0</v>
      </c>
      <c r="G565" s="196">
        <v>0</v>
      </c>
      <c r="H565" s="195">
        <v>0</v>
      </c>
      <c r="I565" s="196">
        <v>0</v>
      </c>
      <c r="J565" s="195">
        <v>0</v>
      </c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  <c r="DB565" s="195"/>
      <c r="DC565" s="195"/>
      <c r="DD565" s="195"/>
      <c r="DE565" s="195"/>
      <c r="DF565" s="195"/>
      <c r="DG565" s="195"/>
      <c r="DH565" s="195"/>
      <c r="DI565" s="195"/>
      <c r="DJ565" s="195"/>
      <c r="DK565" s="195"/>
      <c r="DL565" s="195"/>
      <c r="DM565" s="195"/>
      <c r="DN565" s="195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196">
        <v>0</v>
      </c>
      <c r="F566" s="195">
        <v>0</v>
      </c>
      <c r="G566" s="196">
        <v>0</v>
      </c>
      <c r="H566" s="195">
        <v>0</v>
      </c>
      <c r="I566" s="196">
        <v>0</v>
      </c>
      <c r="J566" s="195">
        <v>0</v>
      </c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  <c r="DB566" s="195"/>
      <c r="DC566" s="195"/>
      <c r="DD566" s="195"/>
      <c r="DE566" s="195"/>
      <c r="DF566" s="195"/>
      <c r="DG566" s="195"/>
      <c r="DH566" s="195"/>
      <c r="DI566" s="195"/>
      <c r="DJ566" s="195"/>
      <c r="DK566" s="195"/>
      <c r="DL566" s="195"/>
      <c r="DM566" s="195"/>
      <c r="DN566" s="195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196">
        <v>0</v>
      </c>
      <c r="F567" s="195">
        <v>0</v>
      </c>
      <c r="G567" s="196">
        <v>0</v>
      </c>
      <c r="H567" s="195">
        <v>0</v>
      </c>
      <c r="I567" s="196">
        <v>0</v>
      </c>
      <c r="J567" s="195">
        <v>0</v>
      </c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  <c r="DB567" s="195"/>
      <c r="DC567" s="195"/>
      <c r="DD567" s="195"/>
      <c r="DE567" s="195"/>
      <c r="DF567" s="195"/>
      <c r="DG567" s="195"/>
      <c r="DH567" s="195"/>
      <c r="DI567" s="195"/>
      <c r="DJ567" s="195"/>
      <c r="DK567" s="195"/>
      <c r="DL567" s="195"/>
      <c r="DM567" s="195"/>
      <c r="DN567" s="195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196">
        <v>0</v>
      </c>
      <c r="F568" s="195">
        <v>0</v>
      </c>
      <c r="G568" s="196">
        <v>0</v>
      </c>
      <c r="H568" s="195">
        <v>0</v>
      </c>
      <c r="I568" s="196">
        <v>0</v>
      </c>
      <c r="J568" s="195">
        <v>0</v>
      </c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  <c r="DB568" s="195"/>
      <c r="DC568" s="195"/>
      <c r="DD568" s="195"/>
      <c r="DE568" s="195"/>
      <c r="DF568" s="195"/>
      <c r="DG568" s="195"/>
      <c r="DH568" s="195"/>
      <c r="DI568" s="195"/>
      <c r="DJ568" s="195"/>
      <c r="DK568" s="195"/>
      <c r="DL568" s="195"/>
      <c r="DM568" s="195"/>
      <c r="DN568" s="195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196">
        <v>0</v>
      </c>
      <c r="F569" s="195">
        <v>0</v>
      </c>
      <c r="G569" s="196">
        <v>0</v>
      </c>
      <c r="H569" s="195">
        <v>0</v>
      </c>
      <c r="I569" s="196">
        <v>0</v>
      </c>
      <c r="J569" s="195">
        <v>0</v>
      </c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  <c r="DB569" s="195"/>
      <c r="DC569" s="195"/>
      <c r="DD569" s="195"/>
      <c r="DE569" s="195"/>
      <c r="DF569" s="195"/>
      <c r="DG569" s="195"/>
      <c r="DH569" s="195"/>
      <c r="DI569" s="195"/>
      <c r="DJ569" s="195"/>
      <c r="DK569" s="195"/>
      <c r="DL569" s="195"/>
      <c r="DM569" s="195"/>
      <c r="DN569" s="195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197">
        <v>0</v>
      </c>
      <c r="F570" s="33">
        <v>0</v>
      </c>
      <c r="G570" s="197">
        <v>0</v>
      </c>
      <c r="H570" s="33">
        <v>0</v>
      </c>
      <c r="I570" s="197">
        <v>0</v>
      </c>
      <c r="J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197">
        <v>0</v>
      </c>
      <c r="F571" s="33">
        <v>0</v>
      </c>
      <c r="G571" s="197">
        <v>0</v>
      </c>
      <c r="H571" s="33">
        <v>0</v>
      </c>
      <c r="I571" s="197">
        <v>0</v>
      </c>
      <c r="J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197">
        <v>0</v>
      </c>
      <c r="F572" s="33">
        <v>0</v>
      </c>
      <c r="G572" s="197">
        <v>0</v>
      </c>
      <c r="H572" s="33">
        <v>0</v>
      </c>
      <c r="I572" s="197">
        <v>0</v>
      </c>
      <c r="J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197">
        <v>0</v>
      </c>
      <c r="F573" s="33">
        <v>0</v>
      </c>
      <c r="G573" s="197">
        <v>0</v>
      </c>
      <c r="H573" s="33">
        <v>0</v>
      </c>
      <c r="I573" s="197">
        <v>0</v>
      </c>
      <c r="J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197">
        <v>0</v>
      </c>
      <c r="F574" s="33">
        <v>0</v>
      </c>
      <c r="G574" s="197">
        <v>0</v>
      </c>
      <c r="H574" s="33">
        <v>0</v>
      </c>
      <c r="I574" s="197">
        <v>0</v>
      </c>
      <c r="J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197">
        <v>0</v>
      </c>
      <c r="F575" s="33">
        <v>0</v>
      </c>
      <c r="G575" s="197">
        <v>0</v>
      </c>
      <c r="H575" s="33">
        <v>0</v>
      </c>
      <c r="I575" s="197">
        <v>0</v>
      </c>
      <c r="J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197">
        <v>0</v>
      </c>
      <c r="F576" s="33">
        <v>0</v>
      </c>
      <c r="G576" s="197">
        <v>0</v>
      </c>
      <c r="H576" s="33">
        <v>0</v>
      </c>
      <c r="I576" s="197">
        <v>0</v>
      </c>
      <c r="J576" s="33">
        <v>0</v>
      </c>
    </row>
    <row r="577" spans="1:10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197">
        <v>0</v>
      </c>
      <c r="F577" s="33">
        <v>0</v>
      </c>
      <c r="G577" s="197">
        <v>0</v>
      </c>
      <c r="H577" s="33">
        <v>0</v>
      </c>
      <c r="I577" s="197">
        <v>0</v>
      </c>
      <c r="J577" s="33">
        <v>0</v>
      </c>
    </row>
    <row r="578" spans="1:10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197">
        <v>0</v>
      </c>
      <c r="F578" s="33">
        <v>0</v>
      </c>
      <c r="G578" s="197">
        <v>0</v>
      </c>
      <c r="H578" s="33">
        <v>0</v>
      </c>
      <c r="I578" s="197">
        <v>0</v>
      </c>
      <c r="J578" s="33">
        <v>0</v>
      </c>
    </row>
    <row r="579" spans="1:10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197">
        <v>0</v>
      </c>
      <c r="F579" s="33">
        <v>0</v>
      </c>
      <c r="G579" s="197">
        <v>0</v>
      </c>
      <c r="H579" s="33">
        <v>0</v>
      </c>
      <c r="I579" s="197">
        <v>0</v>
      </c>
      <c r="J579" s="33">
        <v>0</v>
      </c>
    </row>
    <row r="580" spans="1:10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197">
        <v>0</v>
      </c>
      <c r="F580" s="33">
        <v>0</v>
      </c>
      <c r="G580" s="197">
        <v>0</v>
      </c>
      <c r="H580" s="33">
        <v>0</v>
      </c>
      <c r="I580" s="197">
        <v>0</v>
      </c>
      <c r="J580" s="33">
        <v>0</v>
      </c>
    </row>
    <row r="581" spans="1:10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197">
        <v>0</v>
      </c>
      <c r="F581" s="33">
        <v>0</v>
      </c>
      <c r="G581" s="197">
        <v>0</v>
      </c>
      <c r="H581" s="33">
        <v>0</v>
      </c>
      <c r="I581" s="197">
        <v>0</v>
      </c>
      <c r="J581" s="33">
        <v>0</v>
      </c>
    </row>
    <row r="582" spans="1:10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197">
        <v>0</v>
      </c>
      <c r="F582" s="33">
        <v>0</v>
      </c>
      <c r="G582" s="197">
        <v>0</v>
      </c>
      <c r="H582" s="33">
        <v>0</v>
      </c>
      <c r="I582" s="197">
        <v>0</v>
      </c>
      <c r="J582" s="33">
        <v>0</v>
      </c>
    </row>
    <row r="583" spans="1:10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197">
        <v>0</v>
      </c>
      <c r="F583" s="33">
        <v>0</v>
      </c>
      <c r="G583" s="197">
        <v>0</v>
      </c>
      <c r="H583" s="33">
        <v>0</v>
      </c>
      <c r="I583" s="197">
        <v>0</v>
      </c>
      <c r="J583" s="33">
        <v>0</v>
      </c>
    </row>
    <row r="584" spans="1:10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197">
        <v>0</v>
      </c>
      <c r="F584" s="33">
        <v>0</v>
      </c>
      <c r="G584" s="197">
        <v>0</v>
      </c>
      <c r="H584" s="33">
        <v>0</v>
      </c>
      <c r="I584" s="197">
        <v>0</v>
      </c>
      <c r="J584" s="33">
        <v>0</v>
      </c>
    </row>
    <row r="585" spans="1:10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197">
        <v>0</v>
      </c>
      <c r="F585" s="33">
        <v>0</v>
      </c>
      <c r="G585" s="197">
        <v>0</v>
      </c>
      <c r="H585" s="33">
        <v>0</v>
      </c>
      <c r="I585" s="197">
        <v>0</v>
      </c>
      <c r="J585" s="33">
        <v>0</v>
      </c>
    </row>
    <row r="586" spans="1:10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197">
        <v>0</v>
      </c>
      <c r="F586" s="33">
        <v>0</v>
      </c>
      <c r="G586" s="197">
        <v>0</v>
      </c>
      <c r="H586" s="33">
        <v>0</v>
      </c>
      <c r="I586" s="197">
        <v>0</v>
      </c>
      <c r="J586" s="33">
        <v>0</v>
      </c>
    </row>
    <row r="587" spans="1:10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197">
        <v>0</v>
      </c>
      <c r="F587" s="33">
        <v>0</v>
      </c>
      <c r="G587" s="197">
        <v>0</v>
      </c>
      <c r="H587" s="33">
        <v>0</v>
      </c>
      <c r="I587" s="197">
        <v>0</v>
      </c>
      <c r="J587" s="33">
        <v>0</v>
      </c>
    </row>
    <row r="588" spans="1:10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197">
        <v>0</v>
      </c>
      <c r="F588" s="33">
        <v>0</v>
      </c>
      <c r="G588" s="197">
        <v>0</v>
      </c>
      <c r="H588" s="33">
        <v>0</v>
      </c>
      <c r="I588" s="197">
        <v>0</v>
      </c>
      <c r="J588" s="33">
        <v>0</v>
      </c>
    </row>
    <row r="589" spans="1:10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197">
        <v>0</v>
      </c>
      <c r="F589" s="33">
        <v>0</v>
      </c>
      <c r="G589" s="197">
        <v>0</v>
      </c>
      <c r="H589" s="33">
        <v>0</v>
      </c>
      <c r="I589" s="197">
        <v>0</v>
      </c>
      <c r="J589" s="33">
        <v>0</v>
      </c>
    </row>
    <row r="590" spans="1:10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197">
        <v>0</v>
      </c>
      <c r="F590" s="33">
        <v>0</v>
      </c>
      <c r="G590" s="197">
        <v>0</v>
      </c>
      <c r="H590" s="33">
        <v>0</v>
      </c>
      <c r="I590" s="197">
        <v>0</v>
      </c>
      <c r="J590" s="33">
        <v>0</v>
      </c>
    </row>
    <row r="591" spans="1:10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197">
        <v>0</v>
      </c>
      <c r="F591" s="33">
        <v>0</v>
      </c>
      <c r="G591" s="197">
        <v>0</v>
      </c>
      <c r="H591" s="33">
        <v>0</v>
      </c>
      <c r="I591" s="197">
        <v>0</v>
      </c>
      <c r="J591" s="33">
        <v>0</v>
      </c>
    </row>
    <row r="592" spans="1:10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197">
        <v>0</v>
      </c>
      <c r="F592" s="33">
        <v>0</v>
      </c>
      <c r="G592" s="197">
        <v>0</v>
      </c>
      <c r="H592" s="33">
        <v>0</v>
      </c>
      <c r="I592" s="197">
        <v>0</v>
      </c>
      <c r="J592" s="33">
        <v>0</v>
      </c>
    </row>
    <row r="593" spans="1:10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197">
        <v>0</v>
      </c>
      <c r="F593" s="33">
        <v>0</v>
      </c>
      <c r="G593" s="197">
        <v>0</v>
      </c>
      <c r="H593" s="33">
        <v>0</v>
      </c>
      <c r="I593" s="197">
        <v>0</v>
      </c>
      <c r="J593" s="33">
        <v>0</v>
      </c>
    </row>
    <row r="594" spans="1:10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197">
        <v>0</v>
      </c>
      <c r="F594" s="33">
        <v>0</v>
      </c>
      <c r="G594" s="197">
        <v>0</v>
      </c>
      <c r="H594" s="33">
        <v>0</v>
      </c>
      <c r="I594" s="197">
        <v>0</v>
      </c>
      <c r="J594" s="33">
        <v>0</v>
      </c>
    </row>
    <row r="595" spans="1:10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197">
        <v>0</v>
      </c>
      <c r="F595" s="33">
        <v>0</v>
      </c>
      <c r="G595" s="197">
        <v>0</v>
      </c>
      <c r="H595" s="33">
        <v>0</v>
      </c>
      <c r="I595" s="197">
        <v>0</v>
      </c>
      <c r="J595" s="33">
        <v>0</v>
      </c>
    </row>
    <row r="596" spans="1:10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197">
        <v>0</v>
      </c>
      <c r="F596" s="33">
        <v>0</v>
      </c>
      <c r="G596" s="197">
        <v>0</v>
      </c>
      <c r="H596" s="33">
        <v>0</v>
      </c>
      <c r="I596" s="197">
        <v>0</v>
      </c>
      <c r="J596" s="33">
        <v>0</v>
      </c>
    </row>
    <row r="597" spans="1:10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197">
        <v>0</v>
      </c>
      <c r="F597" s="33">
        <v>0</v>
      </c>
      <c r="G597" s="197">
        <v>0</v>
      </c>
      <c r="H597" s="33">
        <v>0</v>
      </c>
      <c r="I597" s="197">
        <v>0</v>
      </c>
      <c r="J597" s="33">
        <v>0</v>
      </c>
    </row>
    <row r="598" spans="1:10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197">
        <v>0</v>
      </c>
      <c r="F598" s="33">
        <v>0</v>
      </c>
      <c r="G598" s="197">
        <v>0</v>
      </c>
      <c r="H598" s="33">
        <v>0</v>
      </c>
      <c r="I598" s="197">
        <v>0</v>
      </c>
      <c r="J598" s="33">
        <v>0</v>
      </c>
    </row>
    <row r="599" spans="1:10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197">
        <v>0</v>
      </c>
      <c r="F599" s="33">
        <v>0</v>
      </c>
      <c r="G599" s="197">
        <v>0</v>
      </c>
      <c r="H599" s="33">
        <v>0</v>
      </c>
      <c r="I599" s="197">
        <v>0</v>
      </c>
      <c r="J599" s="33">
        <v>0</v>
      </c>
    </row>
    <row r="600" spans="1:10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197">
        <v>0</v>
      </c>
      <c r="F600" s="33">
        <v>0</v>
      </c>
      <c r="G600" s="197">
        <v>0</v>
      </c>
      <c r="H600" s="33">
        <v>0</v>
      </c>
      <c r="I600" s="197">
        <v>0</v>
      </c>
      <c r="J600" s="33">
        <v>0</v>
      </c>
    </row>
    <row r="601" spans="1:10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197">
        <v>0</v>
      </c>
      <c r="F601" s="33">
        <v>0</v>
      </c>
      <c r="G601" s="197">
        <v>0</v>
      </c>
      <c r="H601" s="33">
        <v>0</v>
      </c>
      <c r="I601" s="197">
        <v>0</v>
      </c>
      <c r="J601" s="33">
        <v>0</v>
      </c>
    </row>
    <row r="602" spans="1:10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197">
        <v>0</v>
      </c>
      <c r="F602" s="33">
        <v>0</v>
      </c>
      <c r="G602" s="197">
        <v>0</v>
      </c>
      <c r="H602" s="33">
        <v>0</v>
      </c>
      <c r="I602" s="197">
        <v>0</v>
      </c>
      <c r="J602" s="33">
        <v>0</v>
      </c>
    </row>
    <row r="603" spans="1:10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197">
        <v>0</v>
      </c>
      <c r="F603" s="33">
        <v>0</v>
      </c>
      <c r="G603" s="197">
        <v>0</v>
      </c>
      <c r="H603" s="33">
        <v>0</v>
      </c>
      <c r="I603" s="197">
        <v>0</v>
      </c>
      <c r="J603" s="33">
        <v>0</v>
      </c>
    </row>
    <row r="633" spans="4:31" x14ac:dyDescent="0.25">
      <c r="I633" s="203"/>
    </row>
    <row r="636" spans="4:31" x14ac:dyDescent="0.25">
      <c r="F636" s="223">
        <v>36557</v>
      </c>
      <c r="G636" s="224"/>
      <c r="H636" s="225">
        <f>+F636+31</f>
        <v>36588</v>
      </c>
      <c r="I636" s="226"/>
      <c r="J636" s="227">
        <f>+H636+31</f>
        <v>36619</v>
      </c>
      <c r="K636" s="228"/>
      <c r="L636" s="227">
        <f>+J636+31</f>
        <v>36650</v>
      </c>
      <c r="M636" s="228"/>
      <c r="N636" s="227">
        <f>+L636+31</f>
        <v>36681</v>
      </c>
      <c r="O636" s="228"/>
      <c r="P636" s="227">
        <f>+N636+31</f>
        <v>36712</v>
      </c>
      <c r="Q636" s="188"/>
      <c r="R636" s="187">
        <f>+P636+31</f>
        <v>36743</v>
      </c>
      <c r="S636" s="188"/>
      <c r="T636" s="187">
        <f>+R636+31</f>
        <v>36774</v>
      </c>
      <c r="U636" s="188"/>
      <c r="V636" s="187">
        <f>+T636+31</f>
        <v>36805</v>
      </c>
      <c r="W636" s="188"/>
      <c r="X636" s="187">
        <f>+V636+31</f>
        <v>36836</v>
      </c>
      <c r="Y636" s="188"/>
      <c r="Z636" s="187">
        <f>+X636+31</f>
        <v>36867</v>
      </c>
      <c r="AA636" s="188"/>
      <c r="AB636" s="187">
        <f>+Z636+31</f>
        <v>36898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197" customFormat="1" x14ac:dyDescent="0.25">
      <c r="D638" s="204" t="s">
        <v>113</v>
      </c>
      <c r="E638" s="205"/>
      <c r="F638" s="206">
        <f>BUG_GL!H82</f>
        <v>0</v>
      </c>
      <c r="G638" s="207">
        <f>BUG_GL!I82</f>
        <v>-1866969.5599999893</v>
      </c>
      <c r="H638" s="206">
        <f>BUG_GL!J82</f>
        <v>0</v>
      </c>
      <c r="I638" s="207">
        <f>BUG_GL!K82</f>
        <v>-4201662.9549999898</v>
      </c>
      <c r="J638" s="206">
        <f>BUG_GL!L82</f>
        <v>0</v>
      </c>
      <c r="K638" s="207">
        <f>BUG_GL!M82</f>
        <v>5961.47</v>
      </c>
      <c r="L638" s="206">
        <f>BUG_GL!N82</f>
        <v>0</v>
      </c>
      <c r="M638" s="206">
        <f>BUG_GL!O82</f>
        <v>0</v>
      </c>
      <c r="N638" s="206">
        <f>BUG_GL!P82</f>
        <v>0</v>
      </c>
      <c r="O638" s="206">
        <f>BUG_GL!Q82</f>
        <v>0</v>
      </c>
      <c r="P638" s="206">
        <f>BUG_GL!R82</f>
        <v>0</v>
      </c>
      <c r="Q638" s="206">
        <f>BUG_GL!S82</f>
        <v>0</v>
      </c>
      <c r="R638" s="206">
        <f>BUG_GL!T82</f>
        <v>0</v>
      </c>
      <c r="S638" s="206">
        <f>BUG_GL!U82</f>
        <v>0</v>
      </c>
      <c r="T638" s="206">
        <f>BUG_GL!V82</f>
        <v>0</v>
      </c>
      <c r="U638" s="206">
        <f>BUG_GL!W82</f>
        <v>0</v>
      </c>
      <c r="V638" s="206">
        <f>BUG_GL!X82</f>
        <v>0</v>
      </c>
      <c r="W638" s="206">
        <f>BUG_GL!Y82</f>
        <v>0</v>
      </c>
      <c r="X638" s="206">
        <f>BUG_GL!Z82</f>
        <v>0</v>
      </c>
      <c r="Y638" s="206">
        <f>BUG_GL!AA82</f>
        <v>0</v>
      </c>
      <c r="Z638" s="206">
        <f>BUG_GL!AB82</f>
        <v>0</v>
      </c>
      <c r="AA638" s="206">
        <f>BUG_GL!AC82</f>
        <v>0</v>
      </c>
      <c r="AB638" s="206">
        <f>BUG_GL!AD82</f>
        <v>0</v>
      </c>
      <c r="AC638" s="206">
        <f>BUG_GL!AE82</f>
        <v>0</v>
      </c>
      <c r="AD638" s="117"/>
      <c r="AE638" s="117"/>
    </row>
    <row r="639" spans="4:31" s="197" customFormat="1" x14ac:dyDescent="0.25">
      <c r="D639" s="204" t="s">
        <v>141</v>
      </c>
      <c r="E639" s="205"/>
      <c r="F639" s="206">
        <f>CE_GL!H82</f>
        <v>0</v>
      </c>
      <c r="G639" s="208">
        <f>CE_GL!I82</f>
        <v>-5093973.4510000255</v>
      </c>
      <c r="H639" s="206">
        <f>CE_GL!J82</f>
        <v>0</v>
      </c>
      <c r="I639" s="207">
        <f>CE_GL!K82</f>
        <v>-20266.274000001053</v>
      </c>
      <c r="J639" s="206">
        <f>CE_GL!L82</f>
        <v>0</v>
      </c>
      <c r="K639" s="207">
        <f>CE_GL!M82</f>
        <v>630069.10099999991</v>
      </c>
      <c r="L639" s="206">
        <f>CE_GL!N82</f>
        <v>0</v>
      </c>
      <c r="M639" s="206">
        <f>CE_GL!O82</f>
        <v>0</v>
      </c>
      <c r="N639" s="206">
        <f>CE_GL!P82</f>
        <v>0</v>
      </c>
      <c r="O639" s="206">
        <f>CE_GL!Q82</f>
        <v>0</v>
      </c>
      <c r="P639" s="206">
        <f>CE_GL!R82</f>
        <v>0</v>
      </c>
      <c r="Q639" s="206">
        <f>CE_GL!S82</f>
        <v>0</v>
      </c>
      <c r="R639" s="206">
        <f>CE_GL!T82</f>
        <v>0</v>
      </c>
      <c r="S639" s="206">
        <f>CE_GL!U82</f>
        <v>0</v>
      </c>
      <c r="T639" s="206">
        <f>CE_GL!V82</f>
        <v>0</v>
      </c>
      <c r="U639" s="206">
        <f>CE_GL!W82</f>
        <v>0</v>
      </c>
      <c r="V639" s="206">
        <f>CE_GL!X82</f>
        <v>0</v>
      </c>
      <c r="W639" s="206">
        <f>CE_GL!Y82</f>
        <v>0</v>
      </c>
      <c r="X639" s="206">
        <f>CE_GL!Z82</f>
        <v>0</v>
      </c>
      <c r="Y639" s="206">
        <f>CE_GL!AA82</f>
        <v>0</v>
      </c>
      <c r="Z639" s="206">
        <f>CE_GL!AB82</f>
        <v>0</v>
      </c>
      <c r="AA639" s="206">
        <f>CE_GL!AC82</f>
        <v>0</v>
      </c>
      <c r="AB639" s="206">
        <f>CE_GL!AD82</f>
        <v>0</v>
      </c>
      <c r="AC639" s="206">
        <f>CE_GL!AE82</f>
        <v>0</v>
      </c>
    </row>
    <row r="640" spans="4:31" s="197" customFormat="1" x14ac:dyDescent="0.25">
      <c r="D640" s="204" t="s">
        <v>142</v>
      </c>
      <c r="E640" s="205"/>
      <c r="F640" s="206">
        <f>+'EAST-EGM-GL'!H82</f>
        <v>0</v>
      </c>
      <c r="G640" s="207">
        <f>+'EAST-EGM-GL'!I82</f>
        <v>10782047.365000019</v>
      </c>
      <c r="H640" s="206">
        <f>+'EAST-EGM-GL'!J82</f>
        <v>0</v>
      </c>
      <c r="I640" s="207">
        <f>+'EAST-EGM-GL'!K82</f>
        <v>6033309.8500000108</v>
      </c>
      <c r="J640" s="206">
        <f>+'EAST-EGM-GL'!L82</f>
        <v>0</v>
      </c>
      <c r="K640" s="207">
        <f>+'EAST-EGM-GL'!M82</f>
        <v>275605.2850000005</v>
      </c>
      <c r="L640" s="206">
        <f>+'EAST-EGM-GL'!N82</f>
        <v>0</v>
      </c>
      <c r="M640" s="206">
        <f>+'EAST-EGM-GL'!O82</f>
        <v>0</v>
      </c>
      <c r="N640" s="206">
        <f>+'EAST-EGM-GL'!P82</f>
        <v>0</v>
      </c>
      <c r="O640" s="206">
        <f>+'EAST-EGM-GL'!Q82</f>
        <v>0</v>
      </c>
      <c r="P640" s="206">
        <f>+'EAST-EGM-GL'!R82</f>
        <v>0</v>
      </c>
      <c r="Q640" s="206">
        <f>+'EAST-EGM-GL'!S82</f>
        <v>0</v>
      </c>
      <c r="R640" s="206">
        <f>+'EAST-EGM-GL'!T82</f>
        <v>0</v>
      </c>
      <c r="S640" s="206">
        <f>+'EAST-EGM-GL'!U82</f>
        <v>0</v>
      </c>
      <c r="T640" s="206">
        <f>+'EAST-EGM-GL'!V82</f>
        <v>0</v>
      </c>
      <c r="U640" s="206">
        <f>+'EAST-EGM-GL'!W82</f>
        <v>0</v>
      </c>
      <c r="V640" s="206">
        <f>+'EAST-EGM-GL'!X82</f>
        <v>0</v>
      </c>
      <c r="W640" s="206">
        <f>+'EAST-EGM-GL'!Y82</f>
        <v>0</v>
      </c>
      <c r="X640" s="206">
        <f>+'EAST-EGM-GL'!Z82</f>
        <v>0</v>
      </c>
      <c r="Y640" s="206">
        <f>+'EAST-EGM-GL'!AA82</f>
        <v>0</v>
      </c>
      <c r="Z640" s="206">
        <f>+'EAST-EGM-GL'!AB82</f>
        <v>0</v>
      </c>
      <c r="AA640" s="206">
        <f>+'EAST-EGM-GL'!AC82</f>
        <v>0</v>
      </c>
      <c r="AB640" s="206">
        <f>+'EAST-EGM-GL'!AD82</f>
        <v>0</v>
      </c>
      <c r="AC640" s="206">
        <f>+'EAST-EGM-GL'!AE82</f>
        <v>0</v>
      </c>
      <c r="AD640" s="198"/>
      <c r="AE640" s="198"/>
    </row>
    <row r="641" spans="4:31" s="197" customFormat="1" x14ac:dyDescent="0.25">
      <c r="D641" s="204" t="s">
        <v>150</v>
      </c>
      <c r="E641" s="205"/>
      <c r="F641" s="206">
        <f>+'EAST-LRC-GL'!H82</f>
        <v>0</v>
      </c>
      <c r="G641" s="207">
        <f>+'EAST-LRC-GL'!I82</f>
        <v>-19838.310000003614</v>
      </c>
      <c r="H641" s="206">
        <f>+'EAST-LRC-GL'!J82</f>
        <v>0</v>
      </c>
      <c r="I641" s="207">
        <f>+'EAST-LRC-GL'!K82</f>
        <v>-104251.51499999962</v>
      </c>
      <c r="J641" s="206">
        <f>+'EAST-LRC-GL'!L82</f>
        <v>0</v>
      </c>
      <c r="K641" s="207">
        <f>+'EAST-LRC-GL'!M82</f>
        <v>-1047.4449999999943</v>
      </c>
      <c r="L641" s="206">
        <f>+'EAST-LRC-GL'!N82</f>
        <v>0</v>
      </c>
      <c r="M641" s="206">
        <f>+'EAST-LRC-GL'!O82</f>
        <v>0</v>
      </c>
      <c r="N641" s="206">
        <f>+'EAST-LRC-GL'!P82</f>
        <v>0</v>
      </c>
      <c r="O641" s="206">
        <f>+'EAST-LRC-GL'!Q82</f>
        <v>0</v>
      </c>
      <c r="P641" s="206">
        <f>+'EAST-LRC-GL'!R82</f>
        <v>0</v>
      </c>
      <c r="Q641" s="206">
        <f>+'EAST-LRC-GL'!S82</f>
        <v>0</v>
      </c>
      <c r="R641" s="206">
        <f>+'EAST-LRC-GL'!T82</f>
        <v>0</v>
      </c>
      <c r="S641" s="206">
        <f>+'EAST-LRC-GL'!U82</f>
        <v>0</v>
      </c>
      <c r="T641" s="206">
        <f>+'EAST-LRC-GL'!V82</f>
        <v>0</v>
      </c>
      <c r="U641" s="206">
        <f>+'EAST-LRC-GL'!W82</f>
        <v>0</v>
      </c>
      <c r="V641" s="206">
        <f>+'EAST-LRC-GL'!X82</f>
        <v>0</v>
      </c>
      <c r="W641" s="206">
        <f>+'EAST-LRC-GL'!Y82</f>
        <v>0</v>
      </c>
      <c r="X641" s="206">
        <f>+'EAST-LRC-GL'!Z82</f>
        <v>0</v>
      </c>
      <c r="Y641" s="206">
        <f>+'EAST-LRC-GL'!AA82</f>
        <v>0</v>
      </c>
      <c r="Z641" s="206">
        <f>+'EAST-LRC-GL'!AB82</f>
        <v>0</v>
      </c>
      <c r="AA641" s="206">
        <f>+'EAST-LRC-GL'!AC82</f>
        <v>0</v>
      </c>
      <c r="AB641" s="206">
        <f>+'EAST-LRC-GL'!AD82</f>
        <v>0</v>
      </c>
      <c r="AC641" s="206">
        <f>+'EAST-LRC-GL'!AE82</f>
        <v>0</v>
      </c>
      <c r="AD641" s="198"/>
      <c r="AE641" s="198"/>
    </row>
    <row r="642" spans="4:31" s="197" customFormat="1" x14ac:dyDescent="0.25">
      <c r="D642" s="204" t="s">
        <v>151</v>
      </c>
      <c r="E642" s="205"/>
      <c r="F642" s="206">
        <f>+'BGC-EGM-GL'!H82</f>
        <v>0</v>
      </c>
      <c r="G642" s="206">
        <f>+'BGC-EGM-GL'!I82</f>
        <v>0</v>
      </c>
      <c r="H642" s="206">
        <f>+'BGC-EGM-GL'!J82</f>
        <v>0</v>
      </c>
      <c r="I642" s="206">
        <f>+'BGC-EGM-GL'!K82</f>
        <v>0</v>
      </c>
      <c r="J642" s="206">
        <f>+'BGC-EGM-GL'!L82</f>
        <v>0</v>
      </c>
      <c r="K642" s="206">
        <f>+'BGC-EGM-GL'!M82</f>
        <v>0</v>
      </c>
      <c r="L642" s="206">
        <f>+'BGC-EGM-GL'!N82</f>
        <v>0</v>
      </c>
      <c r="M642" s="206">
        <f>+'BGC-EGM-GL'!O82</f>
        <v>0</v>
      </c>
      <c r="N642" s="206">
        <f>+'BGC-EGM-GL'!P82</f>
        <v>0</v>
      </c>
      <c r="O642" s="206">
        <f>+'BGC-EGM-GL'!Q82</f>
        <v>0</v>
      </c>
      <c r="P642" s="206">
        <f>+'BGC-EGM-GL'!R82</f>
        <v>0</v>
      </c>
      <c r="Q642" s="206">
        <f>+'BGC-EGM-GL'!S82</f>
        <v>0</v>
      </c>
      <c r="R642" s="206">
        <f>+'BGC-EGM-GL'!T82</f>
        <v>0</v>
      </c>
      <c r="S642" s="206">
        <f>+'BGC-EGM-GL'!U82</f>
        <v>0</v>
      </c>
      <c r="T642" s="206">
        <f>+'BGC-EGM-GL'!V82</f>
        <v>0</v>
      </c>
      <c r="U642" s="206">
        <f>+'BGC-EGM-GL'!W82</f>
        <v>0</v>
      </c>
      <c r="V642" s="206">
        <f>+'BGC-EGM-GL'!X82</f>
        <v>0</v>
      </c>
      <c r="W642" s="206">
        <f>+'BGC-EGM-GL'!Y82</f>
        <v>0</v>
      </c>
      <c r="X642" s="206">
        <f>+'BGC-EGM-GL'!Z82</f>
        <v>0</v>
      </c>
      <c r="Y642" s="206">
        <f>+'BGC-EGM-GL'!AA82</f>
        <v>0</v>
      </c>
      <c r="Z642" s="206">
        <f>+'BGC-EGM-GL'!AB82</f>
        <v>0</v>
      </c>
      <c r="AA642" s="206">
        <f>+'BGC-EGM-GL'!AC82</f>
        <v>0</v>
      </c>
      <c r="AB642" s="206">
        <f>+'BGC-EGM-GL'!AD82</f>
        <v>0</v>
      </c>
      <c r="AC642" s="206">
        <f>+'BGC-EGM-GL'!AE82</f>
        <v>0</v>
      </c>
      <c r="AD642" s="198"/>
      <c r="AE642" s="198"/>
    </row>
    <row r="643" spans="4:31" s="197" customFormat="1" x14ac:dyDescent="0.25">
      <c r="D643" s="204" t="s">
        <v>152</v>
      </c>
      <c r="E643" s="205"/>
      <c r="F643" s="206">
        <f>+'EAST-CON-GL '!H82</f>
        <v>0</v>
      </c>
      <c r="G643" s="206">
        <f>+'EAST-CON-GL '!I82</f>
        <v>10762209.055000002</v>
      </c>
      <c r="H643" s="206">
        <f>+'EAST-CON-GL '!J82</f>
        <v>0</v>
      </c>
      <c r="I643" s="206">
        <f>+'EAST-CON-GL '!K82</f>
        <v>5929058.3350000121</v>
      </c>
      <c r="J643" s="206">
        <f>+'EAST-CON-GL '!L82</f>
        <v>0</v>
      </c>
      <c r="K643" s="206">
        <f>+'EAST-CON-GL '!M82</f>
        <v>274557.84000000026</v>
      </c>
      <c r="L643" s="206">
        <f>+'EAST-CON-GL '!N82</f>
        <v>0</v>
      </c>
      <c r="M643" s="206">
        <f>+'EAST-CON-GL '!O82</f>
        <v>0</v>
      </c>
      <c r="N643" s="206">
        <f>+'EAST-CON-GL '!P82</f>
        <v>0</v>
      </c>
      <c r="O643" s="206">
        <f>+'EAST-CON-GL '!Q82</f>
        <v>0</v>
      </c>
      <c r="P643" s="206">
        <f>+'EAST-CON-GL '!R82</f>
        <v>0</v>
      </c>
      <c r="Q643" s="206">
        <f>+'EAST-CON-GL '!S82</f>
        <v>0</v>
      </c>
      <c r="R643" s="206">
        <f>+'EAST-CON-GL '!T82</f>
        <v>0</v>
      </c>
      <c r="S643" s="206">
        <f>+'EAST-CON-GL '!U82</f>
        <v>0</v>
      </c>
      <c r="T643" s="206">
        <f>+'EAST-CON-GL '!V82</f>
        <v>0</v>
      </c>
      <c r="U643" s="206">
        <f>+'EAST-CON-GL '!W82</f>
        <v>0</v>
      </c>
      <c r="V643" s="206">
        <f>+'EAST-CON-GL '!X82</f>
        <v>0</v>
      </c>
      <c r="W643" s="206">
        <f>+'EAST-CON-GL '!Y82</f>
        <v>0</v>
      </c>
      <c r="X643" s="206">
        <f>+'EAST-CON-GL '!Z82</f>
        <v>0</v>
      </c>
      <c r="Y643" s="206">
        <f>+'EAST-CON-GL '!AA82</f>
        <v>0</v>
      </c>
      <c r="Z643" s="206">
        <f>+'EAST-CON-GL '!AB82</f>
        <v>0</v>
      </c>
      <c r="AA643" s="206">
        <f>+'EAST-CON-GL '!AC82</f>
        <v>0</v>
      </c>
      <c r="AB643" s="206">
        <f>+'EAST-CON-GL '!AD82</f>
        <v>0</v>
      </c>
      <c r="AC643" s="206">
        <f>+'EAST-CON-GL '!AE82</f>
        <v>0</v>
      </c>
      <c r="AD643" s="198"/>
      <c r="AE643" s="198"/>
    </row>
    <row r="644" spans="4:31" s="197" customFormat="1" x14ac:dyDescent="0.25">
      <c r="D644" s="204" t="s">
        <v>153</v>
      </c>
      <c r="E644" s="205"/>
      <c r="F644" s="206">
        <f>+'TX-EGM-GL'!H82</f>
        <v>0</v>
      </c>
      <c r="G644" s="206">
        <f>+'TX-EGM-GL'!I82</f>
        <v>4064920.6519999998</v>
      </c>
      <c r="H644" s="206">
        <f>+'TX-EGM-GL'!J82</f>
        <v>0</v>
      </c>
      <c r="I644" s="207">
        <f>+'TX-EGM-GL'!K91</f>
        <v>-757165.772</v>
      </c>
      <c r="J644" s="206">
        <f>+'TX-EGM-GL'!L82</f>
        <v>0</v>
      </c>
      <c r="K644" s="207">
        <f>+'TX-EGM-GL'!M82</f>
        <v>585505.50800000015</v>
      </c>
      <c r="L644" s="206">
        <f>+'TX-EGM-GL'!N82</f>
        <v>0</v>
      </c>
      <c r="M644" s="206">
        <f>+'TX-EGM-GL'!O82</f>
        <v>0</v>
      </c>
      <c r="N644" s="206">
        <f>+'TX-EGM-GL'!P82</f>
        <v>0</v>
      </c>
      <c r="O644" s="206">
        <f>+'TX-EGM-GL'!Q82</f>
        <v>0</v>
      </c>
      <c r="P644" s="206">
        <f>+'TX-EGM-GL'!R82</f>
        <v>0</v>
      </c>
      <c r="Q644" s="206">
        <f>+'TX-EGM-GL'!S82</f>
        <v>0</v>
      </c>
      <c r="R644" s="206">
        <f>+'TX-EGM-GL'!T82</f>
        <v>0</v>
      </c>
      <c r="S644" s="206">
        <f>+'TX-EGM-GL'!U82</f>
        <v>0</v>
      </c>
      <c r="T644" s="206">
        <f>+'TX-EGM-GL'!V82</f>
        <v>0</v>
      </c>
      <c r="U644" s="206">
        <f>+'TX-EGM-GL'!W82</f>
        <v>0</v>
      </c>
      <c r="V644" s="206">
        <f>+'TX-EGM-GL'!X82</f>
        <v>0</v>
      </c>
      <c r="W644" s="206">
        <f>+'TX-EGM-GL'!Y82</f>
        <v>0</v>
      </c>
      <c r="X644" s="206">
        <f>+'TX-EGM-GL'!Z82</f>
        <v>0</v>
      </c>
      <c r="Y644" s="206">
        <f>+'TX-EGM-GL'!AA82</f>
        <v>0</v>
      </c>
      <c r="Z644" s="206">
        <f>+'TX-EGM-GL'!AB82</f>
        <v>0</v>
      </c>
      <c r="AA644" s="206">
        <f>+'TX-EGM-GL'!AC82</f>
        <v>0</v>
      </c>
      <c r="AB644" s="206">
        <f>+'TX-EGM-GL'!AD82</f>
        <v>0</v>
      </c>
      <c r="AC644" s="206">
        <f>+'TX-EGM-GL'!AE82</f>
        <v>0</v>
      </c>
      <c r="AD644" s="198"/>
      <c r="AE644" s="198"/>
    </row>
    <row r="645" spans="4:31" s="197" customFormat="1" x14ac:dyDescent="0.25">
      <c r="D645" s="204" t="s">
        <v>181</v>
      </c>
      <c r="E645" s="205"/>
      <c r="F645" s="206">
        <f>+'TX-HPLR-GL '!H82</f>
        <v>0</v>
      </c>
      <c r="G645" s="206">
        <f>+'TX-HPLR-GL '!I82</f>
        <v>-9546.4899999999907</v>
      </c>
      <c r="H645" s="206">
        <f>+'TX-HPLR-GL '!J82</f>
        <v>0</v>
      </c>
      <c r="I645" s="207">
        <f>+'TX-HPLR-GL '!K82</f>
        <v>10.710000000000036</v>
      </c>
      <c r="J645" s="206">
        <f>+'TX-HPLR-GL '!L82</f>
        <v>0</v>
      </c>
      <c r="K645" s="207">
        <f>+'TX-HPLR-GL '!M82</f>
        <v>96843.74</v>
      </c>
      <c r="L645" s="206">
        <f>+'TX-HPLR-GL '!N82</f>
        <v>0</v>
      </c>
      <c r="M645" s="206">
        <f>+'TX-HPLR-GL '!O82</f>
        <v>0</v>
      </c>
      <c r="N645" s="206">
        <f>+'TX-HPLR-GL '!P82</f>
        <v>0</v>
      </c>
      <c r="O645" s="206">
        <f>+'TX-HPLR-GL '!Q82</f>
        <v>0</v>
      </c>
      <c r="P645" s="206">
        <f>+'TX-HPLR-GL '!R82</f>
        <v>0</v>
      </c>
      <c r="Q645" s="206">
        <f>+'TX-HPLR-GL '!S82</f>
        <v>0</v>
      </c>
      <c r="R645" s="206">
        <f>+'TX-HPLR-GL '!T82</f>
        <v>0</v>
      </c>
      <c r="S645" s="206">
        <f>+'TX-HPLR-GL '!U82</f>
        <v>0</v>
      </c>
      <c r="T645" s="206">
        <f>+'TX-HPLR-GL '!V82</f>
        <v>0</v>
      </c>
      <c r="U645" s="206">
        <f>+'TX-HPLR-GL '!W82</f>
        <v>0</v>
      </c>
      <c r="V645" s="206">
        <f>+'TX-HPLR-GL '!X82</f>
        <v>0</v>
      </c>
      <c r="W645" s="206">
        <f>+'TX-HPLR-GL '!Y82</f>
        <v>0</v>
      </c>
      <c r="X645" s="206">
        <f>+'TX-HPLR-GL '!Z82</f>
        <v>0</v>
      </c>
      <c r="Y645" s="206">
        <f>+'TX-HPLR-GL '!AA82</f>
        <v>0</v>
      </c>
      <c r="Z645" s="206">
        <f>+'TX-HPLR-GL '!AB82</f>
        <v>0</v>
      </c>
      <c r="AA645" s="206">
        <f>+'TX-HPLR-GL '!AC82</f>
        <v>0</v>
      </c>
      <c r="AB645" s="206">
        <f>+'TX-HPLR-GL '!AD82</f>
        <v>0</v>
      </c>
      <c r="AC645" s="206">
        <f>+'TX-HPLR-GL '!AE82</f>
        <v>0</v>
      </c>
      <c r="AD645" s="198"/>
      <c r="AE645" s="198"/>
    </row>
    <row r="646" spans="4:31" s="197" customFormat="1" x14ac:dyDescent="0.25">
      <c r="D646" s="204" t="s">
        <v>180</v>
      </c>
      <c r="E646" s="205"/>
      <c r="F646" s="206">
        <f>+'TX-HPLC-GL'!H82</f>
        <v>0</v>
      </c>
      <c r="G646" s="206">
        <f>+'TX-HPLC-GL'!I82</f>
        <v>4339265</v>
      </c>
      <c r="H646" s="206">
        <f>+'TX-HPLC-GL'!J82</f>
        <v>0</v>
      </c>
      <c r="I646" s="207">
        <f>+'TX-HPLC-GL'!K82</f>
        <v>-2247810</v>
      </c>
      <c r="J646" s="206">
        <f>+'TX-HPLC-GL'!L82</f>
        <v>0</v>
      </c>
      <c r="K646" s="207">
        <f>+'TX-HPLC-GL'!M82</f>
        <v>4625375.5</v>
      </c>
      <c r="L646" s="206">
        <f>+'TX-HPLC-GL'!N82</f>
        <v>0</v>
      </c>
      <c r="M646" s="206">
        <f>+'TX-HPLC-GL'!O82</f>
        <v>0</v>
      </c>
      <c r="N646" s="206">
        <f>+'TX-HPLC-GL'!P82</f>
        <v>0</v>
      </c>
      <c r="O646" s="206">
        <f>+'TX-HPLC-GL'!Q82</f>
        <v>0</v>
      </c>
      <c r="P646" s="206">
        <f>+'TX-HPLC-GL'!R82</f>
        <v>0</v>
      </c>
      <c r="Q646" s="206">
        <f>+'TX-HPLC-GL'!S82</f>
        <v>0</v>
      </c>
      <c r="R646" s="206">
        <f>+'TX-HPLC-GL'!T82</f>
        <v>0</v>
      </c>
      <c r="S646" s="206">
        <f>+'TX-HPLC-GL'!U82</f>
        <v>0</v>
      </c>
      <c r="T646" s="206">
        <f>+'TX-HPLC-GL'!V82</f>
        <v>0</v>
      </c>
      <c r="U646" s="206">
        <f>+'TX-HPLC-GL'!W82</f>
        <v>0</v>
      </c>
      <c r="V646" s="206">
        <f>+'TX-HPLC-GL'!X82</f>
        <v>0</v>
      </c>
      <c r="W646" s="206">
        <f>+'TX-HPLC-GL'!Y82</f>
        <v>0</v>
      </c>
      <c r="X646" s="206">
        <f>+'TX-HPLC-GL'!Z82</f>
        <v>0</v>
      </c>
      <c r="Y646" s="206">
        <f>+'TX-HPLC-GL'!AA82</f>
        <v>0</v>
      </c>
      <c r="Z646" s="206">
        <f>+'TX-HPLC-GL'!AB82</f>
        <v>0</v>
      </c>
      <c r="AA646" s="206">
        <f>+'TX-HPLC-GL'!AC82</f>
        <v>0</v>
      </c>
      <c r="AB646" s="206">
        <f>+'TX-HPLC-GL'!AD82</f>
        <v>0</v>
      </c>
      <c r="AC646" s="206">
        <f>+'TX-HPLC-GL'!AE82</f>
        <v>0</v>
      </c>
      <c r="AD646" s="198"/>
      <c r="AE646" s="198"/>
    </row>
    <row r="647" spans="4:31" s="197" customFormat="1" x14ac:dyDescent="0.25">
      <c r="D647" s="204" t="s">
        <v>154</v>
      </c>
      <c r="E647" s="205"/>
      <c r="F647" s="206">
        <f>+'TX-CON-GL '!H82</f>
        <v>0</v>
      </c>
      <c r="G647" s="206">
        <f>+'TX-CON-GL '!I82</f>
        <v>8394639.1619999744</v>
      </c>
      <c r="H647" s="206">
        <f>+'TX-CON-GL '!J82</f>
        <v>0</v>
      </c>
      <c r="I647" s="206">
        <f>+'TX-CON-GL '!K82</f>
        <v>-3004965.0620000083</v>
      </c>
      <c r="J647" s="206">
        <f>+'TX-CON-GL '!L82</f>
        <v>0</v>
      </c>
      <c r="K647" s="206">
        <f>+'TX-CON-GL '!M82</f>
        <v>5307724.7479999997</v>
      </c>
      <c r="L647" s="206">
        <f>+'TX-CON-GL '!N82</f>
        <v>0</v>
      </c>
      <c r="M647" s="206">
        <f>+'TX-CON-GL '!O82</f>
        <v>0</v>
      </c>
      <c r="N647" s="206">
        <f>+'TX-CON-GL '!P82</f>
        <v>0</v>
      </c>
      <c r="O647" s="206">
        <f>+'TX-CON-GL '!Q82</f>
        <v>0</v>
      </c>
      <c r="P647" s="206">
        <f>+'TX-CON-GL '!R82</f>
        <v>0</v>
      </c>
      <c r="Q647" s="206">
        <f>+'TX-CON-GL '!S82</f>
        <v>0</v>
      </c>
      <c r="R647" s="206">
        <f>+'TX-CON-GL '!T82</f>
        <v>0</v>
      </c>
      <c r="S647" s="206">
        <f>+'TX-CON-GL '!U82</f>
        <v>0</v>
      </c>
      <c r="T647" s="206">
        <f>+'TX-CON-GL '!V82</f>
        <v>0</v>
      </c>
      <c r="U647" s="206">
        <f>+'TX-CON-GL '!W82</f>
        <v>0</v>
      </c>
      <c r="V647" s="206">
        <f>+'TX-CON-GL '!X82</f>
        <v>0</v>
      </c>
      <c r="W647" s="206">
        <f>+'TX-CON-GL '!Y82</f>
        <v>0</v>
      </c>
      <c r="X647" s="206">
        <f>+'TX-CON-GL '!Z82</f>
        <v>0</v>
      </c>
      <c r="Y647" s="206">
        <f>+'TX-CON-GL '!AA82</f>
        <v>0</v>
      </c>
      <c r="Z647" s="206">
        <f>+'TX-CON-GL '!AB82</f>
        <v>0</v>
      </c>
      <c r="AA647" s="206">
        <f>+'TX-CON-GL '!AC82</f>
        <v>0</v>
      </c>
      <c r="AB647" s="206">
        <f>+'TX-CON-GL '!AD82</f>
        <v>0</v>
      </c>
      <c r="AC647" s="206">
        <f>+'TX-CON-GL '!AE82</f>
        <v>0</v>
      </c>
      <c r="AD647" s="198"/>
      <c r="AE647" s="198"/>
    </row>
    <row r="648" spans="4:31" s="197" customFormat="1" x14ac:dyDescent="0.25">
      <c r="D648" s="204" t="s">
        <v>144</v>
      </c>
      <c r="E648" s="205"/>
      <c r="F648" s="206">
        <f>+'WE-GL '!H82</f>
        <v>0</v>
      </c>
      <c r="G648" s="207">
        <f>+'WE-GL '!I82</f>
        <v>-5324636.8399999933</v>
      </c>
      <c r="H648" s="206">
        <f>+'WE-GL '!J82</f>
        <v>0</v>
      </c>
      <c r="I648" s="207">
        <f>+'WE-GL '!K82</f>
        <v>86030.429000004835</v>
      </c>
      <c r="J648" s="206">
        <f>+'WE-GL '!L82</f>
        <v>0</v>
      </c>
      <c r="K648" s="207">
        <f>+'WE-GL '!M82</f>
        <v>63866.74800000024</v>
      </c>
      <c r="L648" s="206">
        <f>+'WE-GL '!N82</f>
        <v>0</v>
      </c>
      <c r="M648" s="206">
        <f>+'WE-GL '!O82</f>
        <v>0</v>
      </c>
      <c r="N648" s="206">
        <f>+'WE-GL '!P82</f>
        <v>0</v>
      </c>
      <c r="O648" s="206">
        <f>+'WE-GL '!Q82</f>
        <v>0</v>
      </c>
      <c r="P648" s="206">
        <f>+'WE-GL '!R82</f>
        <v>0</v>
      </c>
      <c r="Q648" s="206">
        <f>+'WE-GL '!S82</f>
        <v>0</v>
      </c>
      <c r="R648" s="206">
        <f>+'WE-GL '!T82</f>
        <v>0</v>
      </c>
      <c r="S648" s="206">
        <f>+'WE-GL '!U82</f>
        <v>0</v>
      </c>
      <c r="T648" s="206">
        <f>+'WE-GL '!V82</f>
        <v>0</v>
      </c>
      <c r="U648" s="206">
        <f>+'WE-GL '!W82</f>
        <v>0</v>
      </c>
      <c r="V648" s="206">
        <f>+'WE-GL '!X82</f>
        <v>0</v>
      </c>
      <c r="W648" s="206">
        <f>+'WE-GL '!Y82</f>
        <v>0</v>
      </c>
      <c r="X648" s="206">
        <f>+'WE-GL '!Z82</f>
        <v>0</v>
      </c>
      <c r="Y648" s="206">
        <f>+'WE-GL '!AA82</f>
        <v>0</v>
      </c>
      <c r="Z648" s="206">
        <f>+'WE-GL '!AB82</f>
        <v>0</v>
      </c>
      <c r="AA648" s="206">
        <f>+'WE-GL '!AC82</f>
        <v>0</v>
      </c>
      <c r="AB648" s="206">
        <f>+'WE-GL '!AD82</f>
        <v>0</v>
      </c>
      <c r="AC648" s="206">
        <f>+'WE-GL '!AE82</f>
        <v>0</v>
      </c>
      <c r="AD648" s="198"/>
      <c r="AE648" s="198"/>
    </row>
    <row r="649" spans="4:31" s="197" customFormat="1" x14ac:dyDescent="0.25">
      <c r="D649" s="204" t="s">
        <v>201</v>
      </c>
      <c r="E649" s="205"/>
      <c r="F649" s="206">
        <f>+'DEN-GL'!H82</f>
        <v>0</v>
      </c>
      <c r="G649" s="207">
        <f>+'DEN-GL'!I82</f>
        <v>24218.352000000537</v>
      </c>
      <c r="H649" s="206">
        <f>+'DEN-GL'!J82</f>
        <v>0</v>
      </c>
      <c r="I649" s="207">
        <f>+'DEN-GL'!K82</f>
        <v>-363189.41400000075</v>
      </c>
      <c r="J649" s="206">
        <f>+'DEN-GL'!L82</f>
        <v>0</v>
      </c>
      <c r="K649" s="207">
        <f>+'DEN-GL'!M82</f>
        <v>112.26200000000017</v>
      </c>
      <c r="L649" s="206">
        <f>+'DEN-GL'!N82</f>
        <v>0</v>
      </c>
      <c r="M649" s="206">
        <f>+'DEN-GL'!O82</f>
        <v>0</v>
      </c>
      <c r="N649" s="206">
        <f>+'DEN-GL'!P82</f>
        <v>0</v>
      </c>
      <c r="O649" s="206">
        <f>+'DEN-GL'!Q82</f>
        <v>0</v>
      </c>
      <c r="P649" s="206">
        <f>+'DEN-GL'!R82</f>
        <v>0</v>
      </c>
      <c r="Q649" s="206">
        <f>+'DEN-GL'!S82</f>
        <v>0</v>
      </c>
      <c r="R649" s="206">
        <f>+'DEN-GL'!T82</f>
        <v>0</v>
      </c>
      <c r="S649" s="206">
        <f>+'DEN-GL'!U82</f>
        <v>0</v>
      </c>
      <c r="T649" s="206">
        <f>+'DEN-GL'!V82</f>
        <v>0</v>
      </c>
      <c r="U649" s="206">
        <f>+'DEN-GL'!W82</f>
        <v>0</v>
      </c>
      <c r="V649" s="206">
        <f>+'DEN-GL'!X82</f>
        <v>0</v>
      </c>
      <c r="W649" s="206">
        <f>+'DEN-GL'!Y82</f>
        <v>0</v>
      </c>
      <c r="X649" s="206">
        <f>+'DEN-GL'!Z82</f>
        <v>0</v>
      </c>
      <c r="Y649" s="206">
        <f>+'DEN-GL'!AA82</f>
        <v>0</v>
      </c>
      <c r="Z649" s="206">
        <f>+'DEN-GL'!AB82</f>
        <v>0</v>
      </c>
      <c r="AA649" s="206">
        <f>+'DEN-GL'!AC82</f>
        <v>0</v>
      </c>
      <c r="AB649" s="206">
        <f>+'DEN-GL'!AD82</f>
        <v>0</v>
      </c>
      <c r="AC649" s="206">
        <f>+'DEN-GL'!AE82</f>
        <v>0</v>
      </c>
      <c r="AD649" s="198"/>
      <c r="AE649" s="198"/>
    </row>
    <row r="650" spans="4:31" s="197" customFormat="1" x14ac:dyDescent="0.25">
      <c r="D650" s="204" t="s">
        <v>146</v>
      </c>
      <c r="E650" s="205"/>
      <c r="F650" s="206">
        <f>+STG_GL!H82</f>
        <v>0</v>
      </c>
      <c r="G650" s="206">
        <f>+STG_GL!I82</f>
        <v>0</v>
      </c>
      <c r="H650" s="206">
        <f>+STG_GL!J82</f>
        <v>0</v>
      </c>
      <c r="I650" s="206">
        <f>+STG_GL!K82</f>
        <v>6136016</v>
      </c>
      <c r="J650" s="206">
        <f>+STG_GL!L82</f>
        <v>0</v>
      </c>
      <c r="K650" s="206">
        <f>+STG_GL!M82</f>
        <v>-53846</v>
      </c>
      <c r="L650" s="206">
        <f>+STG_GL!N82</f>
        <v>0</v>
      </c>
      <c r="M650" s="206">
        <f>+STG_GL!O82</f>
        <v>0</v>
      </c>
      <c r="N650" s="206">
        <f>+STG_GL!P82</f>
        <v>0</v>
      </c>
      <c r="O650" s="206">
        <f>+STG_GL!Q82</f>
        <v>0</v>
      </c>
      <c r="P650" s="206">
        <f>+STG_GL!R82</f>
        <v>0</v>
      </c>
      <c r="Q650" s="206">
        <f>+STG_GL!S82</f>
        <v>0</v>
      </c>
      <c r="R650" s="206">
        <f>+STG_GL!T82</f>
        <v>0</v>
      </c>
      <c r="S650" s="206">
        <f>+STG_GL!U82</f>
        <v>0</v>
      </c>
      <c r="T650" s="206">
        <f>+STG_GL!V82</f>
        <v>0</v>
      </c>
      <c r="U650" s="206">
        <f>+STG_GL!W82</f>
        <v>0</v>
      </c>
      <c r="V650" s="206">
        <f>+STG_GL!X82</f>
        <v>0</v>
      </c>
      <c r="W650" s="206">
        <f>+STG_GL!Y82</f>
        <v>0</v>
      </c>
      <c r="X650" s="206">
        <f>+STG_GL!Z82</f>
        <v>0</v>
      </c>
      <c r="Y650" s="206">
        <f>+STG_GL!AA82</f>
        <v>0</v>
      </c>
      <c r="Z650" s="206">
        <f>+STG_GL!AB82</f>
        <v>0</v>
      </c>
      <c r="AA650" s="206">
        <f>+STG_GL!AC82</f>
        <v>0</v>
      </c>
      <c r="AB650" s="206">
        <f>+STG_GL!AD82</f>
        <v>0</v>
      </c>
      <c r="AC650" s="206">
        <f>+STG_GL!AE82</f>
        <v>0</v>
      </c>
      <c r="AD650" s="198"/>
      <c r="AE650" s="198"/>
    </row>
    <row r="651" spans="4:31" s="197" customFormat="1" x14ac:dyDescent="0.25">
      <c r="D651" s="204" t="s">
        <v>160</v>
      </c>
      <c r="E651" s="205"/>
      <c r="F651" s="206">
        <f>+'ONT_GL '!H82</f>
        <v>0</v>
      </c>
      <c r="G651" s="207">
        <f>+'ONT_GL '!I82</f>
        <v>-6712349.3600000003</v>
      </c>
      <c r="H651" s="206">
        <f>+'ONT_GL '!J82</f>
        <v>0</v>
      </c>
      <c r="I651" s="207">
        <f>+'ONT_GL '!K82</f>
        <v>-354033.66999999993</v>
      </c>
      <c r="J651" s="206">
        <f>+'ONT_GL '!L82</f>
        <v>0</v>
      </c>
      <c r="K651" s="207">
        <f>+'ONT_GL '!M82</f>
        <v>-149858.58000000013</v>
      </c>
      <c r="L651" s="206">
        <f>+'ONT_GL '!N82</f>
        <v>0</v>
      </c>
      <c r="M651" s="206">
        <f>+'ONT_GL '!O82</f>
        <v>0</v>
      </c>
      <c r="N651" s="206">
        <f>+'ONT_GL '!P82</f>
        <v>0</v>
      </c>
      <c r="O651" s="206">
        <f>+'ONT_GL '!Q82</f>
        <v>0</v>
      </c>
      <c r="P651" s="206">
        <f>+'ONT_GL '!R82</f>
        <v>0</v>
      </c>
      <c r="Q651" s="206">
        <f>+'ONT_GL '!S82</f>
        <v>0</v>
      </c>
      <c r="R651" s="206">
        <f>+'ONT_GL '!T82</f>
        <v>0</v>
      </c>
      <c r="S651" s="206">
        <f>+'ONT_GL '!U82</f>
        <v>0</v>
      </c>
      <c r="T651" s="206">
        <f>+'ONT_GL '!V82</f>
        <v>0</v>
      </c>
      <c r="U651" s="206">
        <f>+'ONT_GL '!W82</f>
        <v>0</v>
      </c>
      <c r="V651" s="206">
        <f>+'ONT_GL '!X82</f>
        <v>0</v>
      </c>
      <c r="W651" s="206">
        <f>+'ONT_GL '!Y82</f>
        <v>0</v>
      </c>
      <c r="X651" s="206">
        <f>+'ONT_GL '!Z82</f>
        <v>0</v>
      </c>
      <c r="Y651" s="206">
        <f>+'ONT_GL '!AA82</f>
        <v>0</v>
      </c>
      <c r="Z651" s="206">
        <f>+'ONT_GL '!AB82</f>
        <v>0</v>
      </c>
      <c r="AA651" s="206">
        <f>+'ONT_GL '!AC82</f>
        <v>0</v>
      </c>
      <c r="AB651" s="206">
        <f>+'ONT_GL '!AD82</f>
        <v>0</v>
      </c>
      <c r="AC651" s="206">
        <f>+'ONT_GL '!AE82</f>
        <v>0</v>
      </c>
      <c r="AD651" s="198"/>
      <c r="AE651" s="198"/>
    </row>
    <row r="652" spans="4:31" s="197" customFormat="1" x14ac:dyDescent="0.25">
      <c r="D652" s="204" t="s">
        <v>193</v>
      </c>
      <c r="E652" s="205"/>
      <c r="F652" s="206">
        <f>+ARUBA_GL!H82</f>
        <v>0</v>
      </c>
      <c r="G652" s="207">
        <f>+ARUBA_GL!I82</f>
        <v>1534090.480999996</v>
      </c>
      <c r="H652" s="206">
        <f>+ARUBA_GL!J82</f>
        <v>0</v>
      </c>
      <c r="I652" s="207">
        <f>+ARUBA_GL!K82</f>
        <v>-835739.90099999786</v>
      </c>
      <c r="J652" s="206">
        <f>+ARUBA_GL!L82</f>
        <v>0</v>
      </c>
      <c r="K652" s="207">
        <f>+ARUBA_GL!M82</f>
        <v>-531526.70000000007</v>
      </c>
      <c r="L652" s="206">
        <f>+ARUBA_GL!N82</f>
        <v>0</v>
      </c>
      <c r="M652" s="206">
        <f>+ARUBA_GL!O82</f>
        <v>0</v>
      </c>
      <c r="N652" s="206">
        <f>+ARUBA_GL!P82</f>
        <v>0</v>
      </c>
      <c r="O652" s="206">
        <f>+ARUBA_GL!Q82</f>
        <v>0</v>
      </c>
      <c r="P652" s="206">
        <f>+ARUBA_GL!R82</f>
        <v>0</v>
      </c>
      <c r="Q652" s="206">
        <f>+ARUBA_GL!S82</f>
        <v>0</v>
      </c>
      <c r="R652" s="206">
        <f>+ARUBA_GL!T82</f>
        <v>0</v>
      </c>
      <c r="S652" s="206">
        <f>+ARUBA_GL!U82</f>
        <v>0</v>
      </c>
      <c r="T652" s="206">
        <f>+ARUBA_GL!V82</f>
        <v>0</v>
      </c>
      <c r="U652" s="206">
        <f>+ARUBA_GL!W82</f>
        <v>0</v>
      </c>
      <c r="V652" s="206">
        <f>+ARUBA_GL!X82</f>
        <v>0</v>
      </c>
      <c r="W652" s="206">
        <f>+ARUBA_GL!Y82</f>
        <v>0</v>
      </c>
      <c r="X652" s="206">
        <f>+ARUBA_GL!Z82</f>
        <v>0</v>
      </c>
      <c r="Y652" s="206">
        <f>+ARUBA_GL!AA82</f>
        <v>0</v>
      </c>
      <c r="Z652" s="206">
        <f>+ARUBA_GL!AB82</f>
        <v>0</v>
      </c>
      <c r="AA652" s="206">
        <f>+ARUBA_GL!AC82</f>
        <v>0</v>
      </c>
      <c r="AB652" s="206">
        <f>+ARUBA_GL!AD82</f>
        <v>0</v>
      </c>
      <c r="AC652" s="206">
        <f>+ARUBA_GL!AE82</f>
        <v>0</v>
      </c>
      <c r="AD652" s="198"/>
      <c r="AE652" s="198"/>
    </row>
    <row r="653" spans="4:31" s="197" customFormat="1" x14ac:dyDescent="0.25">
      <c r="D653" s="204" t="s">
        <v>197</v>
      </c>
      <c r="E653" s="205"/>
      <c r="F653" s="206">
        <f>+SITHE_GL!H82</f>
        <v>0</v>
      </c>
      <c r="G653" s="207">
        <f>+SITHE_GL!I82</f>
        <v>3740765.0080000013</v>
      </c>
      <c r="H653" s="206">
        <f>+SITHE_GL!J82</f>
        <v>0</v>
      </c>
      <c r="I653" s="207">
        <f>+SITHE_GL!K82</f>
        <v>-2800976.6979999989</v>
      </c>
      <c r="J653" s="206">
        <f>+SITHE_GL!L82</f>
        <v>0</v>
      </c>
      <c r="K653" s="207">
        <f>+SITHE_GL!M82</f>
        <v>-553.4320000000007</v>
      </c>
      <c r="L653" s="206">
        <f>+SITHE_GL!N82</f>
        <v>0</v>
      </c>
      <c r="M653" s="206">
        <f>+SITHE_GL!O82</f>
        <v>0</v>
      </c>
      <c r="N653" s="206">
        <f>+SITHE_GL!P82</f>
        <v>0</v>
      </c>
      <c r="O653" s="206">
        <f>+SITHE_GL!Q82</f>
        <v>0</v>
      </c>
      <c r="P653" s="206">
        <f>+SITHE_GL!R82</f>
        <v>0</v>
      </c>
      <c r="Q653" s="206">
        <f>+SITHE_GL!S82</f>
        <v>0</v>
      </c>
      <c r="R653" s="206">
        <f>+SITHE_GL!T82</f>
        <v>0</v>
      </c>
      <c r="S653" s="206">
        <f>+SITHE_GL!U82</f>
        <v>0</v>
      </c>
      <c r="T653" s="206">
        <f>+SITHE_GL!V82</f>
        <v>0</v>
      </c>
      <c r="U653" s="206">
        <f>+SITHE_GL!W82</f>
        <v>0</v>
      </c>
      <c r="V653" s="206">
        <f>+SITHE_GL!X82</f>
        <v>0</v>
      </c>
      <c r="W653" s="206">
        <f>+SITHE_GL!Y82</f>
        <v>0</v>
      </c>
      <c r="X653" s="206">
        <f>+SITHE_GL!Z82</f>
        <v>0</v>
      </c>
      <c r="Y653" s="206">
        <f>+SITHE_GL!AA82</f>
        <v>0</v>
      </c>
      <c r="Z653" s="206">
        <f>+SITHE_GL!AB82</f>
        <v>0</v>
      </c>
      <c r="AA653" s="206">
        <f>+SITHE_GL!AC82</f>
        <v>0</v>
      </c>
      <c r="AB653" s="206">
        <f>+SITHE_GL!AD82</f>
        <v>0</v>
      </c>
      <c r="AC653" s="206">
        <f>+SITHE_GL!AE82</f>
        <v>0</v>
      </c>
      <c r="AD653" s="198"/>
      <c r="AE653" s="198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Havlíček Jan</cp:lastModifiedBy>
  <cp:lastPrinted>2000-03-17T19:43:10Z</cp:lastPrinted>
  <dcterms:created xsi:type="dcterms:W3CDTF">1997-07-11T21:57:33Z</dcterms:created>
  <dcterms:modified xsi:type="dcterms:W3CDTF">2023-09-10T12:19:13Z</dcterms:modified>
</cp:coreProperties>
</file>